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adivl\Desktop\SCDI\GRADIS 2022\raportare facultati\"/>
    </mc:Choice>
  </mc:AlternateContent>
  <xr:revisionPtr revIDLastSave="0" documentId="13_ncr:1_{B310D04B-2829-499D-B9C9-3A443B0E8069}" xr6:coauthVersionLast="47" xr6:coauthVersionMax="47" xr10:uidLastSave="{00000000-0000-0000-0000-000000000000}"/>
  <bookViews>
    <workbookView xWindow="-98" yWindow="-98" windowWidth="21795" windowHeight="12975" xr2:uid="{00000000-000D-0000-FFFF-FFFF00000000}"/>
  </bookViews>
  <sheets>
    <sheet name="Centralizator facultate" sheetId="1" r:id="rId1"/>
    <sheet name="IC01" sheetId="2" r:id="rId2"/>
    <sheet name="IC02" sheetId="3" r:id="rId3"/>
    <sheet name="IC03" sheetId="4" r:id="rId4"/>
    <sheet name="IC04" sheetId="5" r:id="rId5"/>
    <sheet name="IC05" sheetId="6" r:id="rId6"/>
    <sheet name="IC06" sheetId="7" r:id="rId7"/>
    <sheet name="IC07" sheetId="8" r:id="rId8"/>
    <sheet name="IC08" sheetId="9" r:id="rId9"/>
    <sheet name="IC09" sheetId="10" r:id="rId10"/>
    <sheet name="IC10" sheetId="11" r:id="rId11"/>
    <sheet name="IC11" sheetId="12" r:id="rId12"/>
    <sheet name="IC12" sheetId="13" r:id="rId13"/>
    <sheet name="IC13" sheetId="14" r:id="rId14"/>
    <sheet name="IC14" sheetId="15" r:id="rId15"/>
    <sheet name="IC15" sheetId="16" r:id="rId16"/>
    <sheet name="IC16" sheetId="17" r:id="rId17"/>
    <sheet name="IC17" sheetId="18" r:id="rId18"/>
    <sheet name="ID01" sheetId="19" r:id="rId19"/>
    <sheet name="ID02" sheetId="20" r:id="rId20"/>
    <sheet name="ID03" sheetId="21" r:id="rId21"/>
    <sheet name="ID04" sheetId="22" r:id="rId22"/>
    <sheet name="ID05" sheetId="23" r:id="rId23"/>
    <sheet name="ID06" sheetId="24" r:id="rId24"/>
    <sheet name="ID07" sheetId="25" r:id="rId25"/>
    <sheet name="ID08" sheetId="26" r:id="rId26"/>
    <sheet name="ID09" sheetId="27" r:id="rId27"/>
    <sheet name="ID10" sheetId="28" r:id="rId28"/>
    <sheet name="ID11" sheetId="29" r:id="rId29"/>
    <sheet name="ID12" sheetId="30" r:id="rId30"/>
    <sheet name="ID13" sheetId="31" r:id="rId31"/>
    <sheet name="ID14" sheetId="32" r:id="rId32"/>
    <sheet name="ID15" sheetId="33" r:id="rId33"/>
    <sheet name="ID16" sheetId="34" r:id="rId34"/>
    <sheet name="ID17" sheetId="35" r:id="rId35"/>
    <sheet name="ID18" sheetId="36"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0" roundtripDataChecksum="P9n3V8kC8GNviWDbIvueq5gYjkMjbdcM715vge4EABU="/>
    </ext>
  </extLst>
</workbook>
</file>

<file path=xl/calcChain.xml><?xml version="1.0" encoding="utf-8"?>
<calcChain xmlns="http://schemas.openxmlformats.org/spreadsheetml/2006/main">
  <c r="AQ108" i="1" l="1"/>
  <c r="D183" i="36"/>
  <c r="D182" i="36"/>
  <c r="D181" i="36"/>
  <c r="D172" i="36"/>
  <c r="D168" i="36"/>
  <c r="D167" i="36"/>
  <c r="D166" i="36"/>
  <c r="E148" i="36"/>
  <c r="E146" i="36"/>
  <c r="E145" i="36"/>
  <c r="E137" i="36"/>
  <c r="D133" i="36"/>
  <c r="D132" i="36"/>
  <c r="D131" i="36"/>
  <c r="E130" i="36"/>
  <c r="E129" i="36"/>
  <c r="D129" i="36"/>
  <c r="E128" i="36"/>
  <c r="D128" i="36"/>
  <c r="E122" i="36"/>
  <c r="F96" i="36"/>
  <c r="F95" i="36"/>
  <c r="F94" i="36"/>
  <c r="F93" i="36"/>
  <c r="F92" i="36"/>
  <c r="F91" i="36"/>
  <c r="F90" i="36"/>
  <c r="F89" i="36"/>
  <c r="F88" i="36"/>
  <c r="F87" i="36"/>
  <c r="F86" i="36"/>
  <c r="F85" i="36"/>
  <c r="F84" i="36"/>
  <c r="D70" i="36"/>
  <c r="E58" i="36"/>
  <c r="E57" i="36"/>
  <c r="E56" i="36"/>
  <c r="D55" i="36"/>
  <c r="E51" i="36"/>
  <c r="E50" i="36"/>
  <c r="E49" i="36"/>
  <c r="D49" i="36"/>
  <c r="D39" i="36"/>
  <c r="D26" i="36"/>
  <c r="E26" i="36" s="1"/>
  <c r="E201" i="36" s="1"/>
  <c r="AN109" i="1" s="1"/>
  <c r="M15" i="35"/>
  <c r="F31" i="34"/>
  <c r="E31" i="34"/>
  <c r="E34" i="34" s="1"/>
  <c r="AL109" i="1" s="1"/>
  <c r="F30" i="34"/>
  <c r="F29" i="34"/>
  <c r="F28" i="34"/>
  <c r="F27" i="34"/>
  <c r="F26" i="34"/>
  <c r="F25" i="34"/>
  <c r="F24" i="34"/>
  <c r="E21" i="34"/>
  <c r="E20" i="34"/>
  <c r="E19" i="34"/>
  <c r="L15" i="33"/>
  <c r="L14" i="33"/>
  <c r="L17" i="33" s="1"/>
  <c r="AK109" i="1" s="1"/>
  <c r="E213" i="32"/>
  <c r="E211" i="32"/>
  <c r="E210" i="32"/>
  <c r="D210" i="32"/>
  <c r="E209" i="32"/>
  <c r="E204" i="32"/>
  <c r="E191" i="32"/>
  <c r="E190" i="32"/>
  <c r="E189" i="32"/>
  <c r="E187" i="32"/>
  <c r="E186" i="32"/>
  <c r="E185" i="32"/>
  <c r="E184" i="32"/>
  <c r="E179" i="32"/>
  <c r="E176" i="32"/>
  <c r="D176" i="32"/>
  <c r="D175" i="32"/>
  <c r="E175" i="32" s="1"/>
  <c r="D174" i="32"/>
  <c r="E174" i="32" s="1"/>
  <c r="D173" i="32"/>
  <c r="E173" i="32" s="1"/>
  <c r="E172" i="32"/>
  <c r="D172" i="32"/>
  <c r="D171" i="32"/>
  <c r="E171" i="32" s="1"/>
  <c r="D170" i="32"/>
  <c r="E170" i="32" s="1"/>
  <c r="E169" i="32"/>
  <c r="D169" i="32"/>
  <c r="E168" i="32"/>
  <c r="D168" i="32"/>
  <c r="E167" i="32"/>
  <c r="D165" i="32"/>
  <c r="E165" i="32" s="1"/>
  <c r="D164" i="32"/>
  <c r="E164" i="32" s="1"/>
  <c r="E163" i="32"/>
  <c r="D163" i="32"/>
  <c r="F160" i="32"/>
  <c r="F159" i="32"/>
  <c r="F158" i="32"/>
  <c r="F157" i="32"/>
  <c r="F156" i="32"/>
  <c r="F155" i="32"/>
  <c r="F148" i="32"/>
  <c r="F147" i="32"/>
  <c r="F146" i="32"/>
  <c r="F145" i="32"/>
  <c r="F144" i="32"/>
  <c r="F143" i="32"/>
  <c r="F142" i="32"/>
  <c r="F141" i="32"/>
  <c r="F140" i="32"/>
  <c r="F139" i="32"/>
  <c r="E139" i="32"/>
  <c r="F138" i="32"/>
  <c r="E138" i="32"/>
  <c r="F137" i="32"/>
  <c r="E137" i="32"/>
  <c r="F136" i="32"/>
  <c r="E136" i="32"/>
  <c r="F135" i="32"/>
  <c r="E135" i="32"/>
  <c r="F134" i="32"/>
  <c r="E134" i="32"/>
  <c r="F133" i="32"/>
  <c r="F132" i="32"/>
  <c r="F131" i="32"/>
  <c r="F130" i="32"/>
  <c r="D130" i="32"/>
  <c r="F129" i="32"/>
  <c r="F128" i="32"/>
  <c r="F127" i="32"/>
  <c r="F126" i="32"/>
  <c r="F125" i="32"/>
  <c r="F124" i="32"/>
  <c r="F123" i="32"/>
  <c r="F122" i="32"/>
  <c r="F121" i="32"/>
  <c r="F120" i="32"/>
  <c r="F119" i="32"/>
  <c r="F118" i="32"/>
  <c r="E115" i="32"/>
  <c r="F113" i="32"/>
  <c r="D105" i="32"/>
  <c r="E103" i="32"/>
  <c r="E102" i="32"/>
  <c r="E101" i="32"/>
  <c r="E100" i="32"/>
  <c r="E99" i="32"/>
  <c r="E92" i="32"/>
  <c r="E91" i="32"/>
  <c r="E90" i="32"/>
  <c r="E89" i="32"/>
  <c r="E88" i="32"/>
  <c r="E87" i="32"/>
  <c r="E86" i="32"/>
  <c r="E85" i="32"/>
  <c r="E84" i="32"/>
  <c r="E83" i="32"/>
  <c r="E82" i="32"/>
  <c r="E81" i="32"/>
  <c r="E80" i="32"/>
  <c r="E79" i="32"/>
  <c r="E78" i="32"/>
  <c r="E77" i="32"/>
  <c r="E76" i="32"/>
  <c r="E75" i="32"/>
  <c r="E74" i="32"/>
  <c r="E73" i="32"/>
  <c r="E72" i="32"/>
  <c r="E71" i="32"/>
  <c r="E70" i="32"/>
  <c r="E69" i="32"/>
  <c r="E65" i="32"/>
  <c r="D65" i="32"/>
  <c r="E64" i="32"/>
  <c r="E57" i="32"/>
  <c r="E56" i="32"/>
  <c r="E55" i="32"/>
  <c r="E54" i="32"/>
  <c r="E53" i="32"/>
  <c r="E52" i="32"/>
  <c r="E42" i="32"/>
  <c r="E33" i="32"/>
  <c r="E32" i="32"/>
  <c r="E31" i="32"/>
  <c r="E30" i="32"/>
  <c r="E29" i="32"/>
  <c r="E216" i="31"/>
  <c r="E215" i="31"/>
  <c r="E214" i="31"/>
  <c r="E213" i="31"/>
  <c r="E212" i="31"/>
  <c r="E211" i="31"/>
  <c r="E207" i="31"/>
  <c r="D207" i="31"/>
  <c r="E206" i="31"/>
  <c r="E205" i="31"/>
  <c r="E203" i="31"/>
  <c r="E199" i="31"/>
  <c r="D199" i="31"/>
  <c r="D198" i="31"/>
  <c r="E198" i="31" s="1"/>
  <c r="E197" i="31"/>
  <c r="E196" i="31"/>
  <c r="E195" i="31"/>
  <c r="E190" i="31"/>
  <c r="E189" i="31"/>
  <c r="E188" i="31"/>
  <c r="E187" i="31"/>
  <c r="E186" i="31"/>
  <c r="E176" i="31"/>
  <c r="E175" i="31"/>
  <c r="E173" i="31"/>
  <c r="E171" i="31"/>
  <c r="E170" i="31"/>
  <c r="E169" i="31"/>
  <c r="E168" i="31"/>
  <c r="E167" i="31"/>
  <c r="E166" i="31"/>
  <c r="E165" i="31"/>
  <c r="E164" i="31"/>
  <c r="E163" i="31"/>
  <c r="E162" i="31"/>
  <c r="F150" i="31"/>
  <c r="F149" i="31"/>
  <c r="F148" i="31"/>
  <c r="F147" i="31"/>
  <c r="F146" i="31"/>
  <c r="F145" i="31"/>
  <c r="F144" i="31"/>
  <c r="E144" i="31"/>
  <c r="F143" i="31"/>
  <c r="E143" i="31"/>
  <c r="F142" i="31"/>
  <c r="F141" i="31"/>
  <c r="F140" i="31"/>
  <c r="F139" i="31"/>
  <c r="F138" i="31"/>
  <c r="F137" i="31"/>
  <c r="F136" i="31"/>
  <c r="F135" i="31"/>
  <c r="F134" i="31"/>
  <c r="F133" i="31"/>
  <c r="F132" i="31"/>
  <c r="F131" i="31"/>
  <c r="F130" i="31"/>
  <c r="F129" i="31"/>
  <c r="F128" i="31"/>
  <c r="F127" i="31"/>
  <c r="E127" i="31"/>
  <c r="F126" i="31"/>
  <c r="E126" i="31"/>
  <c r="F125" i="31"/>
  <c r="E125" i="31"/>
  <c r="F124" i="31"/>
  <c r="F123" i="31"/>
  <c r="F122" i="31"/>
  <c r="F121" i="31"/>
  <c r="E121" i="31"/>
  <c r="F120" i="31"/>
  <c r="E120" i="31"/>
  <c r="F119" i="31"/>
  <c r="F118" i="31"/>
  <c r="F117" i="31"/>
  <c r="F116" i="31"/>
  <c r="F115" i="31"/>
  <c r="F114" i="31"/>
  <c r="F113" i="31"/>
  <c r="F112" i="31"/>
  <c r="F111" i="31"/>
  <c r="F110" i="31"/>
  <c r="F109" i="31"/>
  <c r="F108" i="31"/>
  <c r="E108" i="31"/>
  <c r="F107" i="31"/>
  <c r="E107" i="31"/>
  <c r="F106" i="31"/>
  <c r="E106" i="31"/>
  <c r="F105" i="31"/>
  <c r="F104" i="31"/>
  <c r="F103" i="31"/>
  <c r="F102" i="31"/>
  <c r="F101" i="31"/>
  <c r="F100" i="31"/>
  <c r="E97" i="31"/>
  <c r="E96" i="31"/>
  <c r="E95" i="31"/>
  <c r="F94" i="31"/>
  <c r="F93" i="31"/>
  <c r="F92" i="31"/>
  <c r="F91" i="31"/>
  <c r="F90" i="31"/>
  <c r="D85" i="31"/>
  <c r="E85" i="31" s="1"/>
  <c r="D84" i="31"/>
  <c r="E84" i="31" s="1"/>
  <c r="E83" i="31"/>
  <c r="E69" i="31"/>
  <c r="E61" i="31"/>
  <c r="D59" i="31"/>
  <c r="E59" i="31" s="1"/>
  <c r="E58" i="31"/>
  <c r="D58" i="31"/>
  <c r="E57" i="31"/>
  <c r="E47" i="31"/>
  <c r="E46" i="31"/>
  <c r="E45" i="31"/>
  <c r="E38" i="31"/>
  <c r="E37" i="31"/>
  <c r="E345" i="30"/>
  <c r="E344" i="30"/>
  <c r="E343" i="30"/>
  <c r="E342" i="30"/>
  <c r="E341" i="30"/>
  <c r="E340" i="30"/>
  <c r="E339" i="30"/>
  <c r="E338" i="30"/>
  <c r="E337" i="30"/>
  <c r="E336" i="30"/>
  <c r="E335" i="30"/>
  <c r="E334" i="30"/>
  <c r="E333" i="30"/>
  <c r="E332" i="30"/>
  <c r="E331" i="30"/>
  <c r="E330" i="30"/>
  <c r="E329" i="30"/>
  <c r="E327" i="30"/>
  <c r="E326" i="30"/>
  <c r="E325" i="30"/>
  <c r="E324" i="30"/>
  <c r="E323" i="30"/>
  <c r="E322" i="30"/>
  <c r="E321" i="30"/>
  <c r="E320" i="30"/>
  <c r="E319" i="30"/>
  <c r="E313" i="30"/>
  <c r="E312" i="30"/>
  <c r="E311" i="30"/>
  <c r="E310" i="30"/>
  <c r="E309" i="30"/>
  <c r="E308" i="30"/>
  <c r="E307" i="30"/>
  <c r="E306" i="30"/>
  <c r="E294" i="30"/>
  <c r="E293" i="30"/>
  <c r="E276" i="30"/>
  <c r="E275" i="30"/>
  <c r="E274" i="30"/>
  <c r="E273" i="30"/>
  <c r="E272" i="30"/>
  <c r="E271" i="30"/>
  <c r="E270" i="30"/>
  <c r="E269" i="30"/>
  <c r="E268" i="30"/>
  <c r="E267" i="30"/>
  <c r="E266" i="30"/>
  <c r="E265" i="30"/>
  <c r="E264" i="30"/>
  <c r="E263" i="30"/>
  <c r="E243" i="30"/>
  <c r="E242" i="30"/>
  <c r="E241"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E177" i="30"/>
  <c r="F176" i="30"/>
  <c r="E176" i="30"/>
  <c r="F175" i="30"/>
  <c r="E175" i="30"/>
  <c r="F174" i="30"/>
  <c r="E174" i="30"/>
  <c r="F173" i="30"/>
  <c r="E173" i="30"/>
  <c r="F172" i="30"/>
  <c r="E172" i="30"/>
  <c r="F171" i="30"/>
  <c r="E171" i="30"/>
  <c r="F170" i="30"/>
  <c r="E170" i="30"/>
  <c r="F169" i="30"/>
  <c r="F168" i="30"/>
  <c r="E168" i="30"/>
  <c r="F167" i="30"/>
  <c r="E167" i="30"/>
  <c r="F166" i="30"/>
  <c r="E166" i="30"/>
  <c r="F165" i="30"/>
  <c r="E165" i="30"/>
  <c r="F164" i="30"/>
  <c r="E164" i="30"/>
  <c r="F163" i="30"/>
  <c r="E163" i="30"/>
  <c r="F162" i="30"/>
  <c r="E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E136" i="30"/>
  <c r="F123" i="30"/>
  <c r="F122" i="30"/>
  <c r="F121" i="30"/>
  <c r="F120" i="30"/>
  <c r="F119" i="30"/>
  <c r="F118" i="30"/>
  <c r="F117" i="30"/>
  <c r="F116" i="30"/>
  <c r="F115" i="30"/>
  <c r="F114" i="30"/>
  <c r="F113" i="30"/>
  <c r="F112" i="30"/>
  <c r="F111" i="30"/>
  <c r="F110" i="30"/>
  <c r="F109" i="30"/>
  <c r="F108" i="30"/>
  <c r="F107" i="30"/>
  <c r="F106" i="30"/>
  <c r="F105" i="30"/>
  <c r="F104" i="30"/>
  <c r="F103" i="30"/>
  <c r="E103" i="30"/>
  <c r="F102" i="30"/>
  <c r="E102" i="30"/>
  <c r="F101" i="30"/>
  <c r="E101" i="30"/>
  <c r="F100" i="30"/>
  <c r="E100" i="30"/>
  <c r="F99" i="30"/>
  <c r="F98" i="30"/>
  <c r="F97" i="30"/>
  <c r="F96" i="30"/>
  <c r="F95" i="30"/>
  <c r="F94" i="30"/>
  <c r="F93" i="30"/>
  <c r="F92" i="30"/>
  <c r="F91" i="30"/>
  <c r="F90" i="30"/>
  <c r="F89" i="30"/>
  <c r="F88" i="30"/>
  <c r="F87" i="30"/>
  <c r="F86" i="30"/>
  <c r="E86" i="30"/>
  <c r="F85" i="30"/>
  <c r="E85" i="30"/>
  <c r="F84" i="30"/>
  <c r="F83" i="30"/>
  <c r="F82" i="30"/>
  <c r="F81" i="30"/>
  <c r="E69" i="30"/>
  <c r="E68" i="30"/>
  <c r="E67" i="30"/>
  <c r="E66" i="30"/>
  <c r="E65" i="30"/>
  <c r="E64" i="30"/>
  <c r="E63" i="30"/>
  <c r="E62" i="30"/>
  <c r="E61" i="30"/>
  <c r="E60" i="30"/>
  <c r="E59" i="30"/>
  <c r="E58" i="30"/>
  <c r="E57" i="30"/>
  <c r="E56" i="30"/>
  <c r="E54" i="30"/>
  <c r="E53" i="30"/>
  <c r="E40" i="30"/>
  <c r="E39" i="30"/>
  <c r="E38" i="30"/>
  <c r="E37" i="30"/>
  <c r="E36" i="30"/>
  <c r="E35" i="30"/>
  <c r="E34" i="30"/>
  <c r="E33" i="30"/>
  <c r="E32" i="30"/>
  <c r="E21" i="30"/>
  <c r="E16" i="30"/>
  <c r="E15" i="30"/>
  <c r="E11" i="30"/>
  <c r="E353" i="30" s="1"/>
  <c r="AH109" i="1" s="1"/>
  <c r="E615" i="29"/>
  <c r="E614" i="29"/>
  <c r="E609" i="29"/>
  <c r="E608" i="29"/>
  <c r="E607" i="29"/>
  <c r="E606" i="29"/>
  <c r="E605" i="29"/>
  <c r="E604" i="29"/>
  <c r="E603" i="29"/>
  <c r="E602" i="29"/>
  <c r="E601" i="29"/>
  <c r="E600" i="29"/>
  <c r="E599" i="29"/>
  <c r="E598" i="29"/>
  <c r="E597" i="29"/>
  <c r="E583" i="29"/>
  <c r="E582" i="29"/>
  <c r="E581" i="29"/>
  <c r="E566" i="29"/>
  <c r="E550" i="29"/>
  <c r="E549" i="29"/>
  <c r="E548" i="29"/>
  <c r="E547" i="29"/>
  <c r="E546" i="29"/>
  <c r="E545" i="29"/>
  <c r="E544" i="29"/>
  <c r="E543" i="29"/>
  <c r="E542" i="29"/>
  <c r="E541" i="29"/>
  <c r="E540" i="29"/>
  <c r="E539" i="29"/>
  <c r="E538" i="29"/>
  <c r="E537" i="29"/>
  <c r="E536" i="29"/>
  <c r="E535" i="29"/>
  <c r="E534" i="29"/>
  <c r="E533" i="29"/>
  <c r="E532" i="29"/>
  <c r="E531" i="29"/>
  <c r="E530" i="29"/>
  <c r="E527" i="29"/>
  <c r="E526" i="29"/>
  <c r="E525" i="29"/>
  <c r="E524" i="29"/>
  <c r="E523" i="29"/>
  <c r="E522" i="29"/>
  <c r="E521" i="29"/>
  <c r="E520" i="29"/>
  <c r="E519" i="29"/>
  <c r="E518" i="29"/>
  <c r="E517" i="29"/>
  <c r="E516" i="29"/>
  <c r="E515" i="29"/>
  <c r="E514" i="29"/>
  <c r="E513" i="29"/>
  <c r="E501" i="29"/>
  <c r="E500" i="29"/>
  <c r="E499" i="29"/>
  <c r="E498" i="29"/>
  <c r="E497" i="29"/>
  <c r="E496" i="29"/>
  <c r="E477" i="29"/>
  <c r="E476" i="29"/>
  <c r="E475" i="29"/>
  <c r="E474" i="29"/>
  <c r="E473" i="29"/>
  <c r="E472" i="29"/>
  <c r="E471" i="29"/>
  <c r="E470" i="29"/>
  <c r="E469" i="29"/>
  <c r="E468" i="29"/>
  <c r="E467" i="29"/>
  <c r="E466" i="29"/>
  <c r="E465" i="29"/>
  <c r="E464" i="29"/>
  <c r="E463" i="29"/>
  <c r="E462" i="29"/>
  <c r="E461" i="29"/>
  <c r="E460" i="29"/>
  <c r="F448" i="29"/>
  <c r="F447" i="29"/>
  <c r="F446" i="29"/>
  <c r="F445" i="29"/>
  <c r="E445" i="29"/>
  <c r="F444" i="29"/>
  <c r="E444" i="29"/>
  <c r="F443" i="29"/>
  <c r="E443" i="29"/>
  <c r="F442" i="29"/>
  <c r="E442" i="29"/>
  <c r="F441" i="29"/>
  <c r="E441" i="29"/>
  <c r="F440" i="29"/>
  <c r="E440" i="29"/>
  <c r="F439" i="29"/>
  <c r="E439" i="29"/>
  <c r="F438" i="29"/>
  <c r="E438" i="29"/>
  <c r="F437" i="29"/>
  <c r="E437" i="29"/>
  <c r="F436" i="29"/>
  <c r="E436" i="29"/>
  <c r="F435" i="29"/>
  <c r="E435" i="29"/>
  <c r="F434" i="29"/>
  <c r="E434" i="29"/>
  <c r="F433" i="29"/>
  <c r="E433" i="29"/>
  <c r="F432" i="29"/>
  <c r="E432" i="29"/>
  <c r="F431" i="29"/>
  <c r="E431" i="29"/>
  <c r="F430" i="29"/>
  <c r="E430" i="29"/>
  <c r="F429" i="29"/>
  <c r="E429" i="29"/>
  <c r="F428" i="29"/>
  <c r="E428" i="29"/>
  <c r="F427" i="29"/>
  <c r="E427" i="29"/>
  <c r="F426" i="29"/>
  <c r="E426" i="29"/>
  <c r="F425" i="29"/>
  <c r="E425" i="29"/>
  <c r="F424" i="29"/>
  <c r="E424" i="29"/>
  <c r="F423" i="29"/>
  <c r="E423" i="29"/>
  <c r="F422" i="29"/>
  <c r="E422" i="29"/>
  <c r="F421" i="29"/>
  <c r="E421" i="29"/>
  <c r="F420" i="29"/>
  <c r="E420" i="29"/>
  <c r="F419" i="29"/>
  <c r="E419" i="29"/>
  <c r="F418" i="29"/>
  <c r="E418" i="29"/>
  <c r="F417" i="29"/>
  <c r="E417" i="29"/>
  <c r="F416" i="29"/>
  <c r="E416" i="29"/>
  <c r="F415" i="29"/>
  <c r="E415" i="29"/>
  <c r="F414" i="29"/>
  <c r="E414" i="29"/>
  <c r="F413" i="29"/>
  <c r="E413" i="29"/>
  <c r="F412" i="29"/>
  <c r="E412" i="29"/>
  <c r="F411" i="29"/>
  <c r="E411" i="29"/>
  <c r="F410" i="29"/>
  <c r="E410" i="29"/>
  <c r="F409" i="29"/>
  <c r="E409" i="29"/>
  <c r="F408" i="29"/>
  <c r="E408" i="29"/>
  <c r="F407" i="29"/>
  <c r="E407" i="29"/>
  <c r="F406" i="29"/>
  <c r="E406" i="29"/>
  <c r="F405" i="29"/>
  <c r="E405" i="29"/>
  <c r="F404" i="29"/>
  <c r="E404" i="29"/>
  <c r="F403" i="29"/>
  <c r="E403" i="29"/>
  <c r="F402" i="29"/>
  <c r="F401" i="29"/>
  <c r="F400" i="29"/>
  <c r="F399" i="29"/>
  <c r="F398" i="29"/>
  <c r="F397" i="29"/>
  <c r="F396" i="29"/>
  <c r="F395" i="29"/>
  <c r="F394" i="29"/>
  <c r="F393" i="29"/>
  <c r="F392" i="29"/>
  <c r="F391" i="29"/>
  <c r="F390" i="29"/>
  <c r="F389" i="29"/>
  <c r="F388" i="29"/>
  <c r="F387" i="29"/>
  <c r="F386" i="29"/>
  <c r="F385" i="29"/>
  <c r="F384" i="29"/>
  <c r="F383" i="29"/>
  <c r="F382" i="29"/>
  <c r="F381" i="29"/>
  <c r="F380" i="29"/>
  <c r="F379" i="29"/>
  <c r="F378" i="29"/>
  <c r="F377" i="29"/>
  <c r="F376" i="29"/>
  <c r="F375" i="29"/>
  <c r="F374" i="29"/>
  <c r="F373" i="29"/>
  <c r="F372" i="29"/>
  <c r="F371" i="29"/>
  <c r="F370" i="29"/>
  <c r="F369" i="29"/>
  <c r="E369" i="29"/>
  <c r="F368" i="29"/>
  <c r="E368" i="29"/>
  <c r="F367" i="29"/>
  <c r="F366" i="29"/>
  <c r="F365" i="29"/>
  <c r="F364" i="29"/>
  <c r="F363" i="29"/>
  <c r="F362" i="29"/>
  <c r="F361" i="29"/>
  <c r="F360" i="29"/>
  <c r="F359" i="29"/>
  <c r="F358" i="29"/>
  <c r="F357" i="29"/>
  <c r="F356" i="29"/>
  <c r="F355" i="29"/>
  <c r="F354" i="29"/>
  <c r="F353" i="29"/>
  <c r="F352" i="29"/>
  <c r="F351" i="29"/>
  <c r="F350" i="29"/>
  <c r="F349" i="29"/>
  <c r="F348" i="29"/>
  <c r="F347" i="29"/>
  <c r="F346" i="29"/>
  <c r="F345" i="29"/>
  <c r="F344" i="29"/>
  <c r="F343" i="29"/>
  <c r="F342" i="29"/>
  <c r="F341" i="29"/>
  <c r="F340" i="29"/>
  <c r="F339" i="29"/>
  <c r="F338" i="29"/>
  <c r="F337" i="29"/>
  <c r="F336" i="29"/>
  <c r="F335" i="29"/>
  <c r="F334" i="29"/>
  <c r="F333" i="29"/>
  <c r="F332" i="29"/>
  <c r="F331" i="29"/>
  <c r="F330" i="29"/>
  <c r="F329" i="29"/>
  <c r="F328" i="29"/>
  <c r="F327" i="29"/>
  <c r="F326" i="29"/>
  <c r="F325" i="29"/>
  <c r="F324" i="29"/>
  <c r="F323" i="29"/>
  <c r="F322" i="29"/>
  <c r="F321" i="29"/>
  <c r="F320" i="29"/>
  <c r="E319" i="29"/>
  <c r="E318" i="29"/>
  <c r="E317" i="29"/>
  <c r="E316" i="29"/>
  <c r="E315" i="29"/>
  <c r="E314" i="29"/>
  <c r="E313" i="29"/>
  <c r="E312" i="29"/>
  <c r="E311" i="29"/>
  <c r="E310" i="29"/>
  <c r="E309" i="29"/>
  <c r="E308" i="29"/>
  <c r="E307" i="29"/>
  <c r="E306" i="29"/>
  <c r="E305" i="29"/>
  <c r="E304" i="29"/>
  <c r="E303" i="29"/>
  <c r="E302" i="29"/>
  <c r="F301" i="29"/>
  <c r="F300" i="29"/>
  <c r="F299" i="29"/>
  <c r="F298" i="29"/>
  <c r="F297" i="29"/>
  <c r="F296" i="29"/>
  <c r="F295" i="29"/>
  <c r="F294" i="29"/>
  <c r="F293" i="29"/>
  <c r="F292" i="29"/>
  <c r="F291" i="29"/>
  <c r="F290" i="29"/>
  <c r="F289" i="29"/>
  <c r="F288" i="29"/>
  <c r="F287" i="29"/>
  <c r="F286" i="29"/>
  <c r="F285" i="29"/>
  <c r="F284" i="29"/>
  <c r="F279" i="29"/>
  <c r="F278" i="29"/>
  <c r="F277" i="29"/>
  <c r="F276" i="29"/>
  <c r="F275" i="29"/>
  <c r="F274" i="29"/>
  <c r="F273" i="29"/>
  <c r="F272" i="29"/>
  <c r="F271" i="29"/>
  <c r="E263" i="29"/>
  <c r="E262" i="29"/>
  <c r="E261" i="29"/>
  <c r="E260" i="29"/>
  <c r="E259" i="29"/>
  <c r="E258" i="29"/>
  <c r="E257" i="29"/>
  <c r="E256" i="29"/>
  <c r="E255" i="29"/>
  <c r="E239" i="29"/>
  <c r="E238" i="29"/>
  <c r="E237" i="29"/>
  <c r="E236" i="29"/>
  <c r="E235" i="29"/>
  <c r="E234" i="29"/>
  <c r="E233" i="29"/>
  <c r="E232" i="29"/>
  <c r="E231" i="29"/>
  <c r="E230" i="29"/>
  <c r="E229" i="29"/>
  <c r="E228" i="29"/>
  <c r="E227" i="29"/>
  <c r="E226" i="29"/>
  <c r="E225" i="29"/>
  <c r="E224" i="29"/>
  <c r="E223" i="29"/>
  <c r="E220" i="29"/>
  <c r="E219" i="29"/>
  <c r="E218" i="29"/>
  <c r="E204" i="29"/>
  <c r="E203" i="29"/>
  <c r="E202" i="29"/>
  <c r="E201" i="29"/>
  <c r="E200" i="29"/>
  <c r="E199" i="29"/>
  <c r="E198" i="29"/>
  <c r="E197" i="29"/>
  <c r="E196" i="29"/>
  <c r="E195" i="29"/>
  <c r="E188" i="29"/>
  <c r="E187" i="29"/>
  <c r="E186" i="29"/>
  <c r="E185" i="29"/>
  <c r="E184" i="29"/>
  <c r="E183" i="29"/>
  <c r="E182" i="29"/>
  <c r="E181" i="29"/>
  <c r="E180" i="29"/>
  <c r="E179" i="29"/>
  <c r="E178" i="29"/>
  <c r="E177" i="29"/>
  <c r="E176" i="29"/>
  <c r="E175" i="29"/>
  <c r="E174" i="29"/>
  <c r="E173" i="29"/>
  <c r="E172" i="29"/>
  <c r="E171" i="29"/>
  <c r="E170" i="29"/>
  <c r="E169" i="29"/>
  <c r="D134" i="29"/>
  <c r="E134" i="29" s="1"/>
  <c r="E133" i="29"/>
  <c r="E132" i="29"/>
  <c r="E131" i="29"/>
  <c r="E130" i="29"/>
  <c r="E129" i="29"/>
  <c r="E128" i="29"/>
  <c r="E127" i="29"/>
  <c r="E126" i="29"/>
  <c r="E125" i="29"/>
  <c r="E124" i="29"/>
  <c r="E123" i="29"/>
  <c r="E122" i="29"/>
  <c r="E121" i="29"/>
  <c r="E120" i="29"/>
  <c r="E119" i="29"/>
  <c r="E118" i="29"/>
  <c r="E117" i="29"/>
  <c r="E116" i="29"/>
  <c r="E115" i="29"/>
  <c r="A101" i="29"/>
  <c r="A99" i="29"/>
  <c r="E79" i="29"/>
  <c r="E78" i="29"/>
  <c r="E77" i="29"/>
  <c r="E76" i="29"/>
  <c r="E75" i="29"/>
  <c r="E74" i="29"/>
  <c r="E73" i="29"/>
  <c r="E60" i="29"/>
  <c r="E59" i="29"/>
  <c r="E58" i="29"/>
  <c r="E57" i="29"/>
  <c r="E56" i="29"/>
  <c r="E55" i="29"/>
  <c r="E54" i="29"/>
  <c r="E53" i="29"/>
  <c r="E52" i="29"/>
  <c r="E51" i="29"/>
  <c r="E49" i="29"/>
  <c r="E48" i="29"/>
  <c r="E47" i="29"/>
  <c r="E617" i="29" s="1"/>
  <c r="AG109" i="1" s="1"/>
  <c r="E46" i="29"/>
  <c r="E45" i="29"/>
  <c r="E44" i="29"/>
  <c r="E43" i="29"/>
  <c r="E42" i="29"/>
  <c r="E34" i="29"/>
  <c r="F1503" i="28"/>
  <c r="E1503" i="28"/>
  <c r="F1502" i="28"/>
  <c r="E1502" i="28"/>
  <c r="F1501" i="28"/>
  <c r="E1501" i="28"/>
  <c r="F1500" i="28"/>
  <c r="E1500" i="28"/>
  <c r="F1499" i="28"/>
  <c r="E1499" i="28"/>
  <c r="E1498" i="28"/>
  <c r="F1498" i="28" s="1"/>
  <c r="F1497" i="28"/>
  <c r="E1497" i="28"/>
  <c r="E1496" i="28"/>
  <c r="F1496" i="28" s="1"/>
  <c r="E1495" i="28"/>
  <c r="F1495" i="28" s="1"/>
  <c r="F1494" i="28"/>
  <c r="E1494" i="28"/>
  <c r="E1493" i="28"/>
  <c r="E1492" i="28"/>
  <c r="E1491" i="28"/>
  <c r="E1490" i="28"/>
  <c r="E1489" i="28"/>
  <c r="E1488" i="28"/>
  <c r="E1487" i="28"/>
  <c r="E1486" i="28"/>
  <c r="E1485" i="28"/>
  <c r="E1484" i="28"/>
  <c r="E1483" i="28"/>
  <c r="E1482" i="28"/>
  <c r="E1481" i="28"/>
  <c r="E1480" i="28"/>
  <c r="E1479" i="28"/>
  <c r="E1478" i="28"/>
  <c r="F1478" i="28" s="1"/>
  <c r="F1477" i="28"/>
  <c r="E1477" i="28"/>
  <c r="F1476" i="28"/>
  <c r="E1476" i="28"/>
  <c r="E1475" i="28"/>
  <c r="F1475" i="28" s="1"/>
  <c r="E1474" i="28"/>
  <c r="F1474" i="28" s="1"/>
  <c r="E1473" i="28"/>
  <c r="F1473" i="28" s="1"/>
  <c r="E1472" i="28"/>
  <c r="F1472" i="28" s="1"/>
  <c r="F1471" i="28"/>
  <c r="E1471" i="28"/>
  <c r="E1470" i="28"/>
  <c r="F1470" i="28" s="1"/>
  <c r="E1469" i="28"/>
  <c r="F1469" i="28" s="1"/>
  <c r="E1468" i="28"/>
  <c r="F1468" i="28" s="1"/>
  <c r="F1467" i="28"/>
  <c r="E1467" i="28"/>
  <c r="F1466" i="28"/>
  <c r="E1466" i="28"/>
  <c r="E1465" i="28"/>
  <c r="F1465" i="28" s="1"/>
  <c r="E1464" i="28"/>
  <c r="F1464" i="28" s="1"/>
  <c r="E1463" i="28"/>
  <c r="F1463" i="28" s="1"/>
  <c r="E1462" i="28"/>
  <c r="F1462" i="28" s="1"/>
  <c r="F1461" i="28"/>
  <c r="E1461" i="28"/>
  <c r="E1460" i="28"/>
  <c r="F1460" i="28" s="1"/>
  <c r="E1459" i="28"/>
  <c r="F1459" i="28" s="1"/>
  <c r="E1458" i="28"/>
  <c r="F1458" i="28" s="1"/>
  <c r="F1457" i="28"/>
  <c r="E1457" i="28"/>
  <c r="F1456" i="28"/>
  <c r="E1456" i="28"/>
  <c r="E1455" i="28"/>
  <c r="F1455" i="28" s="1"/>
  <c r="E1454" i="28"/>
  <c r="F1454" i="28" s="1"/>
  <c r="E1453" i="28"/>
  <c r="F1453" i="28" s="1"/>
  <c r="E1452" i="28"/>
  <c r="F1452" i="28" s="1"/>
  <c r="F1451" i="28"/>
  <c r="E1451" i="28"/>
  <c r="E1450" i="28"/>
  <c r="F1450" i="28" s="1"/>
  <c r="E1431" i="28"/>
  <c r="F1431" i="28" s="1"/>
  <c r="E1430" i="28"/>
  <c r="F1430" i="28" s="1"/>
  <c r="F1429" i="28"/>
  <c r="E1429" i="28"/>
  <c r="F1428" i="28"/>
  <c r="E1428" i="28"/>
  <c r="E1427" i="28"/>
  <c r="F1427" i="28" s="1"/>
  <c r="E1426" i="28"/>
  <c r="F1426" i="28" s="1"/>
  <c r="E1425" i="28"/>
  <c r="F1425" i="28" s="1"/>
  <c r="E1424" i="28"/>
  <c r="F1424" i="28" s="1"/>
  <c r="F1423" i="28"/>
  <c r="E1423" i="28"/>
  <c r="E1422" i="28"/>
  <c r="F1422" i="28" s="1"/>
  <c r="E1421" i="28"/>
  <c r="F1421" i="28" s="1"/>
  <c r="E1420" i="28"/>
  <c r="F1420" i="28" s="1"/>
  <c r="F1419" i="28"/>
  <c r="E1419" i="28"/>
  <c r="F1418" i="28"/>
  <c r="E1418" i="28"/>
  <c r="E1417" i="28"/>
  <c r="F1417" i="28" s="1"/>
  <c r="E1416" i="28"/>
  <c r="F1416" i="28" s="1"/>
  <c r="E1415" i="28"/>
  <c r="F1415" i="28" s="1"/>
  <c r="E1414" i="28"/>
  <c r="F1414" i="28" s="1"/>
  <c r="F1413" i="28"/>
  <c r="E1413" i="28"/>
  <c r="E1412" i="28"/>
  <c r="F1412" i="28" s="1"/>
  <c r="E1411" i="28"/>
  <c r="F1411" i="28" s="1"/>
  <c r="E1410" i="28"/>
  <c r="F1410" i="28" s="1"/>
  <c r="F1409" i="28"/>
  <c r="E1409" i="28"/>
  <c r="F1408" i="28"/>
  <c r="E1408" i="28"/>
  <c r="E1407" i="28"/>
  <c r="F1407" i="28" s="1"/>
  <c r="E1406" i="28"/>
  <c r="F1406" i="28" s="1"/>
  <c r="E1405" i="28"/>
  <c r="F1405" i="28" s="1"/>
  <c r="E1404" i="28"/>
  <c r="F1404" i="28" s="1"/>
  <c r="F1403" i="28"/>
  <c r="E1403" i="28"/>
  <c r="E1402" i="28"/>
  <c r="F1402" i="28" s="1"/>
  <c r="E1401" i="28"/>
  <c r="F1401" i="28" s="1"/>
  <c r="E1400" i="28"/>
  <c r="F1400" i="28" s="1"/>
  <c r="F1399" i="28"/>
  <c r="E1399" i="28"/>
  <c r="F1398" i="28"/>
  <c r="E1398" i="28"/>
  <c r="E1397" i="28"/>
  <c r="F1397" i="28" s="1"/>
  <c r="E1396" i="28"/>
  <c r="F1396" i="28" s="1"/>
  <c r="E1395" i="28"/>
  <c r="F1395" i="28" s="1"/>
  <c r="E1394" i="28"/>
  <c r="F1394" i="28" s="1"/>
  <c r="F1393" i="28"/>
  <c r="E1393" i="28"/>
  <c r="E1392" i="28"/>
  <c r="F1392" i="28" s="1"/>
  <c r="E1391" i="28"/>
  <c r="F1391" i="28" s="1"/>
  <c r="E1390" i="28"/>
  <c r="F1390" i="28" s="1"/>
  <c r="F1389" i="28"/>
  <c r="E1389" i="28"/>
  <c r="F1388" i="28"/>
  <c r="E1388" i="28"/>
  <c r="E1387" i="28"/>
  <c r="F1387" i="28" s="1"/>
  <c r="E1386" i="28"/>
  <c r="F1386" i="28" s="1"/>
  <c r="E1385" i="28"/>
  <c r="F1385" i="28" s="1"/>
  <c r="E1384" i="28"/>
  <c r="F1384" i="28" s="1"/>
  <c r="F1383" i="28"/>
  <c r="E1383" i="28"/>
  <c r="E1382" i="28"/>
  <c r="F1382" i="28" s="1"/>
  <c r="E1381" i="28"/>
  <c r="F1381" i="28" s="1"/>
  <c r="E1380" i="28"/>
  <c r="F1380" i="28" s="1"/>
  <c r="F1379" i="28"/>
  <c r="E1379" i="28"/>
  <c r="F1378" i="28"/>
  <c r="E1378" i="28"/>
  <c r="E1377" i="28"/>
  <c r="F1377" i="28" s="1"/>
  <c r="E1376" i="28"/>
  <c r="F1376" i="28" s="1"/>
  <c r="E1375" i="28"/>
  <c r="F1375" i="28" s="1"/>
  <c r="E1374" i="28"/>
  <c r="F1374" i="28" s="1"/>
  <c r="F1373" i="28"/>
  <c r="E1373" i="28"/>
  <c r="E1372" i="28"/>
  <c r="F1372" i="28" s="1"/>
  <c r="E1371" i="28"/>
  <c r="F1371" i="28" s="1"/>
  <c r="E1370" i="28"/>
  <c r="F1370" i="28" s="1"/>
  <c r="F1369" i="28"/>
  <c r="E1369" i="28"/>
  <c r="F1368" i="28"/>
  <c r="E1368" i="28"/>
  <c r="E1367" i="28"/>
  <c r="F1367" i="28" s="1"/>
  <c r="E1366" i="28"/>
  <c r="F1366" i="28" s="1"/>
  <c r="E1365" i="28"/>
  <c r="F1365" i="28" s="1"/>
  <c r="E1364" i="28"/>
  <c r="F1364" i="28" s="1"/>
  <c r="F1363" i="28"/>
  <c r="E1363" i="28"/>
  <c r="E1341" i="28"/>
  <c r="F1341" i="28" s="1"/>
  <c r="E1340" i="28"/>
  <c r="F1340" i="28" s="1"/>
  <c r="E1339" i="28"/>
  <c r="F1339" i="28" s="1"/>
  <c r="F1338" i="28"/>
  <c r="E1338" i="28"/>
  <c r="F1337" i="28"/>
  <c r="E1337" i="28"/>
  <c r="F1336" i="28"/>
  <c r="E1336" i="28"/>
  <c r="E1335" i="28"/>
  <c r="F1335" i="28" s="1"/>
  <c r="F1334" i="28"/>
  <c r="E1334" i="28"/>
  <c r="E1333" i="28"/>
  <c r="F1333" i="28" s="1"/>
  <c r="F1332" i="28"/>
  <c r="E1332" i="28"/>
  <c r="F1331" i="28"/>
  <c r="E1331" i="28"/>
  <c r="E1330" i="28"/>
  <c r="F1330" i="28" s="1"/>
  <c r="F1329" i="28"/>
  <c r="E1329" i="28"/>
  <c r="F1328" i="28"/>
  <c r="E1328" i="28"/>
  <c r="F1327" i="28"/>
  <c r="E1327" i="28"/>
  <c r="F1326" i="28"/>
  <c r="E1326" i="28"/>
  <c r="E1325" i="28"/>
  <c r="F1325" i="28" s="1"/>
  <c r="E1324" i="28"/>
  <c r="F1324" i="28" s="1"/>
  <c r="E1323" i="28"/>
  <c r="F1323" i="28" s="1"/>
  <c r="F1322" i="28"/>
  <c r="E1322" i="28"/>
  <c r="E1321" i="28"/>
  <c r="F1321" i="28" s="1"/>
  <c r="E1320" i="28"/>
  <c r="F1320" i="28" s="1"/>
  <c r="E1319" i="28"/>
  <c r="F1319" i="28" s="1"/>
  <c r="F1318" i="28"/>
  <c r="E1318" i="28"/>
  <c r="F1317" i="28"/>
  <c r="E1317" i="28"/>
  <c r="E1316" i="28"/>
  <c r="F1316" i="28" s="1"/>
  <c r="E1315" i="28"/>
  <c r="F1315" i="28" s="1"/>
  <c r="E1314" i="28"/>
  <c r="F1314" i="28" s="1"/>
  <c r="E1313" i="28"/>
  <c r="F1313" i="28" s="1"/>
  <c r="F1312" i="28"/>
  <c r="E1312" i="28"/>
  <c r="E1311" i="28"/>
  <c r="F1311" i="28" s="1"/>
  <c r="E1310" i="28"/>
  <c r="F1310" i="28" s="1"/>
  <c r="E1309" i="28"/>
  <c r="F1309" i="28" s="1"/>
  <c r="F1308" i="28"/>
  <c r="E1308" i="28"/>
  <c r="F1307" i="28"/>
  <c r="E1307" i="28"/>
  <c r="E1306" i="28"/>
  <c r="F1306" i="28" s="1"/>
  <c r="E1305" i="28"/>
  <c r="F1305" i="28" s="1"/>
  <c r="E1304" i="28"/>
  <c r="F1304" i="28" s="1"/>
  <c r="E1303" i="28"/>
  <c r="F1303" i="28" s="1"/>
  <c r="F1302" i="28"/>
  <c r="E1302" i="28"/>
  <c r="E1301" i="28"/>
  <c r="F1301" i="28" s="1"/>
  <c r="E1272" i="28"/>
  <c r="F1272" i="28" s="1"/>
  <c r="E1271" i="28"/>
  <c r="F1271" i="28" s="1"/>
  <c r="F1270" i="28"/>
  <c r="E1270" i="28"/>
  <c r="F1269" i="28"/>
  <c r="E1269" i="28"/>
  <c r="E1268" i="28"/>
  <c r="F1268" i="28" s="1"/>
  <c r="E1267" i="28"/>
  <c r="F1267" i="28" s="1"/>
  <c r="E1266" i="28"/>
  <c r="F1266" i="28" s="1"/>
  <c r="E1265" i="28"/>
  <c r="F1265" i="28" s="1"/>
  <c r="F1264" i="28"/>
  <c r="E1264" i="28"/>
  <c r="E1263" i="28"/>
  <c r="F1263" i="28" s="1"/>
  <c r="E1262" i="28"/>
  <c r="F1262" i="28" s="1"/>
  <c r="E1261" i="28"/>
  <c r="F1261" i="28" s="1"/>
  <c r="F1260" i="28"/>
  <c r="E1260" i="28"/>
  <c r="F1259" i="28"/>
  <c r="E1259" i="28"/>
  <c r="E1258" i="28"/>
  <c r="F1258" i="28" s="1"/>
  <c r="E1257" i="28"/>
  <c r="F1257" i="28" s="1"/>
  <c r="E1256" i="28"/>
  <c r="F1256" i="28" s="1"/>
  <c r="E1228" i="28"/>
  <c r="F1200" i="28"/>
  <c r="E1200" i="28"/>
  <c r="E1199" i="28"/>
  <c r="F1199" i="28" s="1"/>
  <c r="F1198" i="28"/>
  <c r="E1198" i="28"/>
  <c r="F1197" i="28"/>
  <c r="E1197" i="28"/>
  <c r="E1196" i="28"/>
  <c r="F1196" i="28" s="1"/>
  <c r="F1195" i="28"/>
  <c r="E1195" i="28"/>
  <c r="F1192" i="28"/>
  <c r="E1192" i="28"/>
  <c r="E1193" i="28" s="1"/>
  <c r="F1193" i="28" s="1"/>
  <c r="F1191" i="28"/>
  <c r="E1191" i="28"/>
  <c r="F1190" i="28"/>
  <c r="E1190" i="28"/>
  <c r="F1188" i="28"/>
  <c r="E1188" i="28"/>
  <c r="E1189" i="28" s="1"/>
  <c r="F1189" i="28" s="1"/>
  <c r="F1187" i="28"/>
  <c r="E1187" i="28"/>
  <c r="E1186" i="28"/>
  <c r="F1186" i="28" s="1"/>
  <c r="F1185" i="28"/>
  <c r="E1185" i="28"/>
  <c r="E1184" i="28"/>
  <c r="F1184" i="28" s="1"/>
  <c r="F1183" i="28"/>
  <c r="E1183" i="28"/>
  <c r="F1180" i="28"/>
  <c r="E1180" i="28"/>
  <c r="E1182" i="28" s="1"/>
  <c r="F1182" i="28" s="1"/>
  <c r="F1179" i="28"/>
  <c r="E1179" i="28"/>
  <c r="E1176" i="28"/>
  <c r="E1178" i="28" s="1"/>
  <c r="F1178" i="28" s="1"/>
  <c r="F1126" i="28"/>
  <c r="E1126" i="28"/>
  <c r="E1125" i="28"/>
  <c r="F1125" i="28" s="1"/>
  <c r="F1124" i="28"/>
  <c r="E1124" i="28"/>
  <c r="F1123" i="28"/>
  <c r="E1123" i="28"/>
  <c r="F1122" i="28"/>
  <c r="E1122" i="28"/>
  <c r="F1121" i="28"/>
  <c r="E1121" i="28"/>
  <c r="F1120" i="28"/>
  <c r="E1120" i="28"/>
  <c r="F1119" i="28"/>
  <c r="E1119" i="28"/>
  <c r="F1118" i="28"/>
  <c r="E1118" i="28"/>
  <c r="E1117" i="28"/>
  <c r="F1117" i="28" s="1"/>
  <c r="F1116" i="28"/>
  <c r="E1116" i="28"/>
  <c r="E1115" i="28"/>
  <c r="F1115" i="28" s="1"/>
  <c r="F1114" i="28"/>
  <c r="E1114" i="28"/>
  <c r="F1113" i="28"/>
  <c r="E1113" i="28"/>
  <c r="F1112" i="28"/>
  <c r="E1112" i="28"/>
  <c r="F1111" i="28"/>
  <c r="E1111" i="28"/>
  <c r="F1110" i="28"/>
  <c r="E1110" i="28"/>
  <c r="F1109" i="28"/>
  <c r="E1109" i="28"/>
  <c r="F1108" i="28"/>
  <c r="E1108" i="28"/>
  <c r="E1107" i="28"/>
  <c r="F1107" i="28" s="1"/>
  <c r="F1106" i="28"/>
  <c r="E1106" i="28"/>
  <c r="E1105" i="28"/>
  <c r="F1105" i="28" s="1"/>
  <c r="F1104" i="28"/>
  <c r="E1104" i="28"/>
  <c r="F1103" i="28"/>
  <c r="E1103" i="28"/>
  <c r="F1102" i="28"/>
  <c r="E1102" i="28"/>
  <c r="F1083" i="28"/>
  <c r="E1083" i="28"/>
  <c r="F1082" i="28"/>
  <c r="E1082" i="28"/>
  <c r="F1081" i="28"/>
  <c r="E1081" i="28"/>
  <c r="F1080" i="28"/>
  <c r="E1080" i="28"/>
  <c r="E1079" i="28"/>
  <c r="F1079" i="28" s="1"/>
  <c r="F1078" i="28"/>
  <c r="E1078" i="28"/>
  <c r="E1077" i="28"/>
  <c r="F1077" i="28" s="1"/>
  <c r="F1076" i="28"/>
  <c r="E1076" i="28"/>
  <c r="F1075" i="28"/>
  <c r="E1075" i="28"/>
  <c r="F1074" i="28"/>
  <c r="E1074" i="28"/>
  <c r="F1073" i="28"/>
  <c r="E1073" i="28"/>
  <c r="F1072" i="28"/>
  <c r="E1072" i="28"/>
  <c r="F1071" i="28"/>
  <c r="E1071" i="28"/>
  <c r="F1069" i="28"/>
  <c r="E1069" i="28"/>
  <c r="E1068" i="28"/>
  <c r="F1068" i="28" s="1"/>
  <c r="F1067" i="28"/>
  <c r="E1067" i="28"/>
  <c r="F1066" i="28"/>
  <c r="E1066" i="28"/>
  <c r="F1059" i="28"/>
  <c r="E1059" i="28"/>
  <c r="F1058" i="28"/>
  <c r="E1058" i="28"/>
  <c r="F1057" i="28"/>
  <c r="E1057" i="28"/>
  <c r="F1056" i="28"/>
  <c r="E1056" i="28"/>
  <c r="F1055" i="28"/>
  <c r="E1055" i="28"/>
  <c r="F1054" i="28"/>
  <c r="E1054" i="28"/>
  <c r="F1053" i="28"/>
  <c r="E1053" i="28"/>
  <c r="E1052" i="28"/>
  <c r="F1052" i="28" s="1"/>
  <c r="F1051" i="28"/>
  <c r="E1051" i="28"/>
  <c r="F1050" i="28"/>
  <c r="E1050" i="28"/>
  <c r="F1049" i="28"/>
  <c r="E1049" i="28"/>
  <c r="F1048" i="28"/>
  <c r="E1048" i="28"/>
  <c r="F1047" i="28"/>
  <c r="E1047" i="28"/>
  <c r="F1046" i="28"/>
  <c r="E1046" i="28"/>
  <c r="F1045" i="28"/>
  <c r="E1045" i="28"/>
  <c r="F1044" i="28"/>
  <c r="E1044" i="28"/>
  <c r="F1043" i="28"/>
  <c r="E1043" i="28"/>
  <c r="E1042" i="28"/>
  <c r="F1042" i="28" s="1"/>
  <c r="F1041" i="28"/>
  <c r="E1041" i="28"/>
  <c r="F1040" i="28"/>
  <c r="E1040" i="28"/>
  <c r="F1039" i="28"/>
  <c r="E1039" i="28"/>
  <c r="F1038" i="28"/>
  <c r="E1038" i="28"/>
  <c r="F1037" i="28"/>
  <c r="E1037" i="28"/>
  <c r="F1036" i="28"/>
  <c r="E1036" i="28"/>
  <c r="F1035" i="28"/>
  <c r="E1035" i="28"/>
  <c r="F1034" i="28"/>
  <c r="E1034" i="28"/>
  <c r="F1033" i="28"/>
  <c r="E1033" i="28"/>
  <c r="E1032" i="28"/>
  <c r="F1032" i="28" s="1"/>
  <c r="F1031" i="28"/>
  <c r="E1031" i="28"/>
  <c r="F1030" i="28"/>
  <c r="E1030" i="28"/>
  <c r="F1029" i="28"/>
  <c r="E1029" i="28"/>
  <c r="F1028" i="28"/>
  <c r="E1028" i="28"/>
  <c r="F1027" i="28"/>
  <c r="E1027" i="28"/>
  <c r="F1026" i="28"/>
  <c r="E1026" i="28"/>
  <c r="F1025" i="28"/>
  <c r="E1025" i="28"/>
  <c r="E1022" i="28"/>
  <c r="E1024" i="28" s="1"/>
  <c r="F1024" i="28" s="1"/>
  <c r="F1021" i="28"/>
  <c r="E1021" i="28"/>
  <c r="F1020" i="28"/>
  <c r="E1020" i="28"/>
  <c r="F1019" i="28"/>
  <c r="E1019" i="28"/>
  <c r="F1018" i="28"/>
  <c r="E1018" i="28"/>
  <c r="F1017" i="28"/>
  <c r="E1017" i="28"/>
  <c r="F1016" i="28"/>
  <c r="E1016" i="28"/>
  <c r="F1015" i="28"/>
  <c r="E1015" i="28"/>
  <c r="F1014" i="28"/>
  <c r="E1014" i="28"/>
  <c r="F1013" i="28"/>
  <c r="E1013" i="28"/>
  <c r="E1012" i="28"/>
  <c r="F1012" i="28" s="1"/>
  <c r="F1011" i="28"/>
  <c r="E1011" i="28"/>
  <c r="F1010" i="28"/>
  <c r="E1009" i="28"/>
  <c r="F1009" i="28" s="1"/>
  <c r="E1008" i="28"/>
  <c r="F1008" i="28" s="1"/>
  <c r="E1007" i="28"/>
  <c r="F1007" i="28" s="1"/>
  <c r="E1006" i="28"/>
  <c r="F1006" i="28" s="1"/>
  <c r="F1005" i="28"/>
  <c r="E1005" i="28"/>
  <c r="E1004" i="28"/>
  <c r="F1004" i="28" s="1"/>
  <c r="E1003" i="28"/>
  <c r="F1003" i="28" s="1"/>
  <c r="E1002" i="28"/>
  <c r="F1002" i="28" s="1"/>
  <c r="F1001" i="28"/>
  <c r="E1001" i="28"/>
  <c r="E1000" i="28"/>
  <c r="F1000" i="28" s="1"/>
  <c r="E999" i="28"/>
  <c r="F999" i="28" s="1"/>
  <c r="E998" i="28"/>
  <c r="F998" i="28" s="1"/>
  <c r="E997" i="28"/>
  <c r="F997" i="28" s="1"/>
  <c r="E996" i="28"/>
  <c r="F996" i="28" s="1"/>
  <c r="F995" i="28"/>
  <c r="E995" i="28"/>
  <c r="E994" i="28"/>
  <c r="F994" i="28" s="1"/>
  <c r="E993" i="28"/>
  <c r="F993" i="28" s="1"/>
  <c r="E992" i="28"/>
  <c r="F992" i="28" s="1"/>
  <c r="F991" i="28"/>
  <c r="E991" i="28"/>
  <c r="E990" i="28"/>
  <c r="F990" i="28" s="1"/>
  <c r="E989" i="28"/>
  <c r="F989" i="28" s="1"/>
  <c r="E988" i="28"/>
  <c r="F988" i="28" s="1"/>
  <c r="E987" i="28"/>
  <c r="F987" i="28" s="1"/>
  <c r="E986" i="28"/>
  <c r="F986" i="28" s="1"/>
  <c r="F985" i="28"/>
  <c r="E985" i="28"/>
  <c r="E984" i="28"/>
  <c r="F984" i="28" s="1"/>
  <c r="E983" i="28"/>
  <c r="F983" i="28" s="1"/>
  <c r="E982" i="28"/>
  <c r="F982" i="28" s="1"/>
  <c r="F981" i="28"/>
  <c r="E981" i="28"/>
  <c r="E980" i="28"/>
  <c r="F980" i="28" s="1"/>
  <c r="E979" i="28"/>
  <c r="F979" i="28" s="1"/>
  <c r="E978" i="28"/>
  <c r="F978" i="28" s="1"/>
  <c r="E977" i="28"/>
  <c r="F977" i="28" s="1"/>
  <c r="E976" i="28"/>
  <c r="F976" i="28" s="1"/>
  <c r="F975" i="28"/>
  <c r="E975" i="28"/>
  <c r="E974" i="28"/>
  <c r="F974" i="28" s="1"/>
  <c r="E973" i="28"/>
  <c r="F973" i="28" s="1"/>
  <c r="E972" i="28"/>
  <c r="F972" i="28" s="1"/>
  <c r="F971" i="28"/>
  <c r="F969" i="28"/>
  <c r="E969" i="28"/>
  <c r="F968" i="28"/>
  <c r="E968" i="28"/>
  <c r="F967" i="28"/>
  <c r="E967" i="28"/>
  <c r="F966" i="28"/>
  <c r="E966" i="28"/>
  <c r="F965" i="28"/>
  <c r="E965" i="28"/>
  <c r="F964" i="28"/>
  <c r="E964" i="28"/>
  <c r="E963" i="28"/>
  <c r="F963" i="28" s="1"/>
  <c r="F962" i="28"/>
  <c r="E962" i="28"/>
  <c r="F961" i="28"/>
  <c r="E961" i="28"/>
  <c r="E960" i="28"/>
  <c r="F960" i="28" s="1"/>
  <c r="F959" i="28"/>
  <c r="E959" i="28"/>
  <c r="F958" i="28"/>
  <c r="E958" i="28"/>
  <c r="F957" i="28"/>
  <c r="E957" i="28"/>
  <c r="F956" i="28"/>
  <c r="E956" i="28"/>
  <c r="F955" i="28"/>
  <c r="E955" i="28"/>
  <c r="F954" i="28"/>
  <c r="E954" i="28"/>
  <c r="E953" i="28"/>
  <c r="F953" i="28" s="1"/>
  <c r="F952" i="28"/>
  <c r="E952" i="28"/>
  <c r="F951" i="28"/>
  <c r="E951" i="28"/>
  <c r="E950" i="28"/>
  <c r="F950" i="28" s="1"/>
  <c r="F949" i="28"/>
  <c r="E949" i="28"/>
  <c r="F948" i="28"/>
  <c r="E948" i="28"/>
  <c r="F947" i="28"/>
  <c r="E947" i="28"/>
  <c r="F946" i="28"/>
  <c r="E946" i="28"/>
  <c r="F945" i="28"/>
  <c r="E945" i="28"/>
  <c r="F944" i="28"/>
  <c r="E944" i="28"/>
  <c r="F943" i="28"/>
  <c r="E943" i="28"/>
  <c r="F942" i="28"/>
  <c r="E942" i="28"/>
  <c r="F941" i="28"/>
  <c r="E941" i="28"/>
  <c r="E940" i="28"/>
  <c r="F940" i="28" s="1"/>
  <c r="F939" i="28"/>
  <c r="E939" i="28"/>
  <c r="F938" i="28"/>
  <c r="E938" i="28"/>
  <c r="F937" i="28"/>
  <c r="E937" i="28"/>
  <c r="F936" i="28"/>
  <c r="E936" i="28"/>
  <c r="F935" i="28"/>
  <c r="E935" i="28"/>
  <c r="F934" i="28"/>
  <c r="E934" i="28"/>
  <c r="F933" i="28"/>
  <c r="E933" i="28"/>
  <c r="F932" i="28"/>
  <c r="E932" i="28"/>
  <c r="F931" i="28"/>
  <c r="E931" i="28"/>
  <c r="E930" i="28"/>
  <c r="F930" i="28" s="1"/>
  <c r="F929" i="28"/>
  <c r="E929" i="28"/>
  <c r="F928" i="28"/>
  <c r="E928" i="28"/>
  <c r="F927" i="28"/>
  <c r="E927" i="28"/>
  <c r="F926" i="28"/>
  <c r="E926" i="28"/>
  <c r="F925" i="28"/>
  <c r="E925" i="28"/>
  <c r="F921" i="28"/>
  <c r="G915" i="28"/>
  <c r="G914" i="28"/>
  <c r="G913" i="28"/>
  <c r="G910" i="28"/>
  <c r="F910" i="28"/>
  <c r="G909" i="28"/>
  <c r="F909" i="28"/>
  <c r="G908" i="28"/>
  <c r="F908" i="28"/>
  <c r="G907" i="28"/>
  <c r="F907" i="28"/>
  <c r="G906" i="28"/>
  <c r="F906" i="28"/>
  <c r="G905" i="28"/>
  <c r="F905" i="28"/>
  <c r="G904" i="28"/>
  <c r="F904" i="28"/>
  <c r="G903" i="28"/>
  <c r="F903" i="28"/>
  <c r="G902" i="28"/>
  <c r="F902" i="28"/>
  <c r="G901" i="28"/>
  <c r="F901" i="28"/>
  <c r="G900" i="28"/>
  <c r="F900" i="28"/>
  <c r="G896" i="28"/>
  <c r="G895" i="28"/>
  <c r="G894" i="28"/>
  <c r="G893" i="28"/>
  <c r="G892" i="28"/>
  <c r="G891" i="28"/>
  <c r="G890" i="28"/>
  <c r="G889" i="28"/>
  <c r="G888" i="28"/>
  <c r="G887" i="28"/>
  <c r="G886" i="28"/>
  <c r="G885" i="28"/>
  <c r="G884" i="28"/>
  <c r="G883" i="28"/>
  <c r="G882" i="28"/>
  <c r="G881" i="28"/>
  <c r="G880" i="28"/>
  <c r="G879" i="28"/>
  <c r="E879" i="28"/>
  <c r="G878" i="28"/>
  <c r="E878" i="28"/>
  <c r="G877" i="28"/>
  <c r="E877" i="28"/>
  <c r="G876" i="28"/>
  <c r="E876" i="28"/>
  <c r="G875" i="28"/>
  <c r="G874" i="28"/>
  <c r="G873" i="28"/>
  <c r="G872" i="28"/>
  <c r="G871" i="28"/>
  <c r="G870" i="28"/>
  <c r="G869" i="28"/>
  <c r="G868" i="28"/>
  <c r="G867" i="28"/>
  <c r="G866" i="28"/>
  <c r="G865" i="28"/>
  <c r="G864" i="28"/>
  <c r="G863" i="28"/>
  <c r="G862" i="28"/>
  <c r="G861" i="28"/>
  <c r="G860" i="28"/>
  <c r="G859" i="28"/>
  <c r="G858" i="28"/>
  <c r="G857" i="28"/>
  <c r="G856" i="28"/>
  <c r="G855" i="28"/>
  <c r="G854" i="28"/>
  <c r="G853" i="28"/>
  <c r="G852" i="28"/>
  <c r="G851" i="28"/>
  <c r="G850" i="28"/>
  <c r="G849" i="28"/>
  <c r="G848" i="28"/>
  <c r="G847" i="28"/>
  <c r="G846" i="28"/>
  <c r="G845" i="28"/>
  <c r="G844" i="28"/>
  <c r="G843" i="28"/>
  <c r="G842" i="28"/>
  <c r="G841" i="28"/>
  <c r="G840" i="28"/>
  <c r="G839" i="28"/>
  <c r="G838" i="28"/>
  <c r="G837" i="28"/>
  <c r="G836" i="28"/>
  <c r="G835" i="28"/>
  <c r="G834" i="28"/>
  <c r="G833" i="28"/>
  <c r="G832" i="28"/>
  <c r="G831" i="28"/>
  <c r="G830" i="28"/>
  <c r="G829" i="28"/>
  <c r="G828" i="28"/>
  <c r="G827" i="28"/>
  <c r="G826" i="28"/>
  <c r="G825" i="28"/>
  <c r="G824" i="28"/>
  <c r="G822" i="28"/>
  <c r="G821" i="28"/>
  <c r="G820" i="28"/>
  <c r="G819" i="28"/>
  <c r="G818" i="28"/>
  <c r="G817" i="28"/>
  <c r="G816" i="28"/>
  <c r="G815" i="28"/>
  <c r="G814" i="28"/>
  <c r="G813" i="28"/>
  <c r="G812" i="28"/>
  <c r="G811" i="28"/>
  <c r="G810" i="28"/>
  <c r="G809" i="28"/>
  <c r="G808" i="28"/>
  <c r="G807" i="28"/>
  <c r="G806" i="28"/>
  <c r="G805" i="28"/>
  <c r="G804" i="28"/>
  <c r="G803" i="28"/>
  <c r="G802" i="28"/>
  <c r="G801" i="28"/>
  <c r="G800" i="28"/>
  <c r="G799" i="28"/>
  <c r="G798" i="28"/>
  <c r="G797" i="28"/>
  <c r="G796" i="28"/>
  <c r="G795" i="28"/>
  <c r="G794" i="28"/>
  <c r="G793" i="28"/>
  <c r="G792" i="28"/>
  <c r="G791" i="28"/>
  <c r="G790" i="28"/>
  <c r="G789" i="28"/>
  <c r="G788" i="28"/>
  <c r="G787" i="28"/>
  <c r="G783" i="28"/>
  <c r="G782" i="28"/>
  <c r="G781" i="28"/>
  <c r="G780" i="28"/>
  <c r="F780" i="28"/>
  <c r="G779" i="28"/>
  <c r="G778" i="28"/>
  <c r="G777" i="28"/>
  <c r="G776" i="28"/>
  <c r="G775" i="28"/>
  <c r="G774" i="28"/>
  <c r="G773" i="28"/>
  <c r="G772" i="28"/>
  <c r="G771" i="28"/>
  <c r="E770" i="28"/>
  <c r="F770" i="28" s="1"/>
  <c r="E769" i="28"/>
  <c r="F769" i="28" s="1"/>
  <c r="E768" i="28"/>
  <c r="F767" i="28"/>
  <c r="E767" i="28"/>
  <c r="F766" i="28"/>
  <c r="E766" i="28"/>
  <c r="F765" i="28"/>
  <c r="E765" i="28"/>
  <c r="F764" i="28"/>
  <c r="E764" i="28"/>
  <c r="G757" i="28"/>
  <c r="G756" i="28"/>
  <c r="G755" i="28"/>
  <c r="G754" i="28"/>
  <c r="E754" i="28"/>
  <c r="G753" i="28"/>
  <c r="E753" i="28"/>
  <c r="G752" i="28"/>
  <c r="F752" i="28"/>
  <c r="E752" i="28"/>
  <c r="G751" i="28"/>
  <c r="F751" i="28"/>
  <c r="E751" i="28"/>
  <c r="G750" i="28"/>
  <c r="E750" i="28"/>
  <c r="F744" i="28"/>
  <c r="F743" i="28"/>
  <c r="G737" i="28"/>
  <c r="F737" i="28"/>
  <c r="G736" i="28"/>
  <c r="G735" i="28"/>
  <c r="G734" i="28"/>
  <c r="G733" i="28"/>
  <c r="G732" i="28"/>
  <c r="F729" i="28"/>
  <c r="F728" i="28"/>
  <c r="F727" i="28"/>
  <c r="F726" i="28"/>
  <c r="F725" i="28"/>
  <c r="F724" i="28"/>
  <c r="F723" i="28"/>
  <c r="F722" i="28"/>
  <c r="F721" i="28"/>
  <c r="F720" i="28"/>
  <c r="F719" i="28"/>
  <c r="F718" i="28"/>
  <c r="F717" i="28"/>
  <c r="F716" i="28"/>
  <c r="F715" i="28"/>
  <c r="F714" i="28"/>
  <c r="F713" i="28"/>
  <c r="F712" i="28"/>
  <c r="F711" i="28"/>
  <c r="F710" i="28"/>
  <c r="F709" i="28"/>
  <c r="F708" i="28"/>
  <c r="F664" i="28"/>
  <c r="E664" i="28"/>
  <c r="F663" i="28"/>
  <c r="E663" i="28"/>
  <c r="F662" i="28"/>
  <c r="E662" i="28"/>
  <c r="F661" i="28"/>
  <c r="E661" i="28"/>
  <c r="F660" i="28"/>
  <c r="E660" i="28"/>
  <c r="F659" i="28"/>
  <c r="E659" i="28"/>
  <c r="F658" i="28"/>
  <c r="E658" i="28"/>
  <c r="F657" i="28"/>
  <c r="E657" i="28"/>
  <c r="F656" i="28"/>
  <c r="E656" i="28"/>
  <c r="F655" i="28"/>
  <c r="E655" i="28"/>
  <c r="F654" i="28"/>
  <c r="E654" i="28"/>
  <c r="F618" i="28"/>
  <c r="F617" i="28"/>
  <c r="F616" i="28"/>
  <c r="F615" i="28"/>
  <c r="F614" i="28"/>
  <c r="F613" i="28"/>
  <c r="F612" i="28"/>
  <c r="F611" i="28"/>
  <c r="F610" i="28"/>
  <c r="F609" i="28"/>
  <c r="F608" i="28"/>
  <c r="F607" i="28"/>
  <c r="F606" i="28"/>
  <c r="E605" i="28"/>
  <c r="E604" i="28"/>
  <c r="E603" i="28"/>
  <c r="E602" i="28"/>
  <c r="E601" i="28"/>
  <c r="E600" i="28"/>
  <c r="E599" i="28"/>
  <c r="F599" i="28" s="1"/>
  <c r="E598" i="28"/>
  <c r="F597" i="28"/>
  <c r="E597" i="28"/>
  <c r="F596" i="28"/>
  <c r="E596" i="28"/>
  <c r="F595" i="28"/>
  <c r="E595" i="28"/>
  <c r="E594" i="28"/>
  <c r="E592" i="28"/>
  <c r="F592" i="28" s="1"/>
  <c r="E591" i="28"/>
  <c r="F591" i="28" s="1"/>
  <c r="E590" i="28"/>
  <c r="F590" i="28" s="1"/>
  <c r="F589" i="28"/>
  <c r="E589" i="28"/>
  <c r="F588" i="28"/>
  <c r="E588" i="28"/>
  <c r="E587" i="28"/>
  <c r="F587" i="28" s="1"/>
  <c r="E586" i="28"/>
  <c r="F586" i="28" s="1"/>
  <c r="E585" i="28"/>
  <c r="F585" i="28" s="1"/>
  <c r="E584" i="28"/>
  <c r="F584" i="28" s="1"/>
  <c r="F583" i="28"/>
  <c r="E583" i="28"/>
  <c r="E582" i="28"/>
  <c r="F582" i="28" s="1"/>
  <c r="E581" i="28"/>
  <c r="F581" i="28" s="1"/>
  <c r="E580" i="28"/>
  <c r="F580" i="28" s="1"/>
  <c r="F579" i="28"/>
  <c r="E579" i="28"/>
  <c r="F578" i="28"/>
  <c r="E578" i="28"/>
  <c r="E577" i="28"/>
  <c r="F577" i="28" s="1"/>
  <c r="E576" i="28"/>
  <c r="F576" i="28" s="1"/>
  <c r="E575" i="28"/>
  <c r="F575" i="28" s="1"/>
  <c r="E574" i="28"/>
  <c r="F574" i="28" s="1"/>
  <c r="F573" i="28"/>
  <c r="E573" i="28"/>
  <c r="E572" i="28"/>
  <c r="F572" i="28" s="1"/>
  <c r="E571" i="28"/>
  <c r="F571" i="28" s="1"/>
  <c r="E570" i="28"/>
  <c r="F570" i="28" s="1"/>
  <c r="F569" i="28"/>
  <c r="E569" i="28"/>
  <c r="F568" i="28"/>
  <c r="E568" i="28"/>
  <c r="E567" i="28"/>
  <c r="F567" i="28" s="1"/>
  <c r="E566" i="28"/>
  <c r="F566" i="28" s="1"/>
  <c r="E565" i="28"/>
  <c r="F565" i="28" s="1"/>
  <c r="E564" i="28"/>
  <c r="F564" i="28" s="1"/>
  <c r="F563" i="28"/>
  <c r="F562" i="28"/>
  <c r="F561" i="28"/>
  <c r="F560" i="28"/>
  <c r="F559" i="28"/>
  <c r="F558" i="28"/>
  <c r="F557" i="28"/>
  <c r="F556" i="28"/>
  <c r="F555" i="28"/>
  <c r="F554" i="28"/>
  <c r="F553" i="28"/>
  <c r="F552" i="28"/>
  <c r="F551" i="28"/>
  <c r="F548" i="28"/>
  <c r="F547" i="28"/>
  <c r="F546" i="28"/>
  <c r="F545" i="28"/>
  <c r="F544" i="28"/>
  <c r="F543" i="28"/>
  <c r="F542" i="28"/>
  <c r="F541" i="28"/>
  <c r="F540" i="28"/>
  <c r="F539" i="28"/>
  <c r="F538" i="28"/>
  <c r="F537" i="28"/>
  <c r="F536" i="28"/>
  <c r="F535" i="28"/>
  <c r="F534" i="28"/>
  <c r="F495" i="28"/>
  <c r="F494" i="28"/>
  <c r="F493" i="28"/>
  <c r="F492" i="28"/>
  <c r="F491" i="28"/>
  <c r="F490" i="28"/>
  <c r="F489" i="28"/>
  <c r="F488" i="28"/>
  <c r="F487" i="28"/>
  <c r="F486" i="28"/>
  <c r="F485" i="28"/>
  <c r="F484" i="28"/>
  <c r="F483" i="28"/>
  <c r="F482" i="28"/>
  <c r="F481" i="28"/>
  <c r="F480" i="28"/>
  <c r="F479" i="28"/>
  <c r="F478" i="28"/>
  <c r="F477" i="28"/>
  <c r="F476" i="28"/>
  <c r="F471" i="28"/>
  <c r="F470" i="28"/>
  <c r="F469" i="28"/>
  <c r="F468" i="28"/>
  <c r="F457" i="28"/>
  <c r="F456" i="28"/>
  <c r="E427" i="28"/>
  <c r="F427" i="28" s="1"/>
  <c r="E426" i="28"/>
  <c r="F426" i="28" s="1"/>
  <c r="E425" i="28"/>
  <c r="F425" i="28" s="1"/>
  <c r="F424" i="28"/>
  <c r="E424" i="28"/>
  <c r="E423" i="28"/>
  <c r="F423" i="28" s="1"/>
  <c r="F422" i="28"/>
  <c r="E422" i="28"/>
  <c r="E421" i="28"/>
  <c r="F421" i="28" s="1"/>
  <c r="F420" i="28"/>
  <c r="E420" i="28"/>
  <c r="E419" i="28"/>
  <c r="F419" i="28" s="1"/>
  <c r="E418" i="28"/>
  <c r="F418" i="28" s="1"/>
  <c r="E417" i="28"/>
  <c r="F417" i="28" s="1"/>
  <c r="E416" i="28"/>
  <c r="F416" i="28" s="1"/>
  <c r="E415" i="28"/>
  <c r="F415" i="28" s="1"/>
  <c r="F414" i="28"/>
  <c r="E414" i="28"/>
  <c r="E413" i="28"/>
  <c r="F413" i="28" s="1"/>
  <c r="F412" i="28"/>
  <c r="E412" i="28"/>
  <c r="E411" i="28"/>
  <c r="F411" i="28" s="1"/>
  <c r="F410" i="28"/>
  <c r="E410" i="28"/>
  <c r="E409" i="28"/>
  <c r="F409" i="28" s="1"/>
  <c r="E408" i="28"/>
  <c r="F408" i="28" s="1"/>
  <c r="E407" i="28"/>
  <c r="F407" i="28" s="1"/>
  <c r="E406" i="28"/>
  <c r="F406" i="28" s="1"/>
  <c r="E405" i="28"/>
  <c r="F405" i="28" s="1"/>
  <c r="F404" i="28"/>
  <c r="E404" i="28"/>
  <c r="E403" i="28"/>
  <c r="F403" i="28" s="1"/>
  <c r="F402" i="28"/>
  <c r="E402" i="28"/>
  <c r="E401" i="28"/>
  <c r="F401" i="28" s="1"/>
  <c r="F400" i="28"/>
  <c r="E400" i="28"/>
  <c r="F399" i="28"/>
  <c r="E399" i="28"/>
  <c r="E398" i="28"/>
  <c r="F383" i="28"/>
  <c r="E383" i="28"/>
  <c r="F382" i="28"/>
  <c r="E382" i="28"/>
  <c r="F381" i="28"/>
  <c r="E381" i="28"/>
  <c r="F380" i="28"/>
  <c r="E380" i="28"/>
  <c r="E379" i="28"/>
  <c r="F379" i="28" s="1"/>
  <c r="F378" i="28"/>
  <c r="E378" i="28"/>
  <c r="E377" i="28"/>
  <c r="F377" i="28" s="1"/>
  <c r="E376" i="28"/>
  <c r="F376" i="28" s="1"/>
  <c r="F375" i="28"/>
  <c r="E375" i="28"/>
  <c r="F374" i="28"/>
  <c r="E374" i="28"/>
  <c r="F373" i="28"/>
  <c r="E373" i="28"/>
  <c r="F372" i="28"/>
  <c r="E372" i="28"/>
  <c r="F371" i="28"/>
  <c r="E371" i="28"/>
  <c r="F370" i="28"/>
  <c r="E370" i="28"/>
  <c r="E369" i="28"/>
  <c r="F369" i="28" s="1"/>
  <c r="F368" i="28"/>
  <c r="E368" i="28"/>
  <c r="F367" i="28"/>
  <c r="E367" i="28"/>
  <c r="E366" i="28"/>
  <c r="F366" i="28" s="1"/>
  <c r="F365" i="28"/>
  <c r="E365" i="28"/>
  <c r="F364" i="28"/>
  <c r="E364" i="28"/>
  <c r="F363" i="28"/>
  <c r="E363" i="28"/>
  <c r="F362" i="28"/>
  <c r="E362" i="28"/>
  <c r="F361" i="28"/>
  <c r="E361" i="28"/>
  <c r="F360" i="28"/>
  <c r="E360" i="28"/>
  <c r="E359" i="28"/>
  <c r="F359" i="28" s="1"/>
  <c r="F358" i="28"/>
  <c r="E358" i="28"/>
  <c r="F357" i="28"/>
  <c r="E357" i="28"/>
  <c r="E356" i="28"/>
  <c r="F356" i="28" s="1"/>
  <c r="F355" i="28"/>
  <c r="E355" i="28"/>
  <c r="F354" i="28"/>
  <c r="E354" i="28"/>
  <c r="F353" i="28"/>
  <c r="E353" i="28"/>
  <c r="F352" i="28"/>
  <c r="E352" i="28"/>
  <c r="F351" i="28"/>
  <c r="E351" i="28"/>
  <c r="F350" i="28"/>
  <c r="E350" i="28"/>
  <c r="E349" i="28"/>
  <c r="F349" i="28" s="1"/>
  <c r="F348" i="28"/>
  <c r="E348" i="28"/>
  <c r="F347" i="28"/>
  <c r="E347" i="28"/>
  <c r="E346" i="28"/>
  <c r="F346" i="28" s="1"/>
  <c r="F345" i="28"/>
  <c r="E345" i="28"/>
  <c r="F344" i="28"/>
  <c r="E344" i="28"/>
  <c r="F343" i="28"/>
  <c r="E343" i="28"/>
  <c r="F342" i="28"/>
  <c r="E342" i="28"/>
  <c r="F341" i="28"/>
  <c r="E341" i="28"/>
  <c r="F340" i="28"/>
  <c r="E340" i="28"/>
  <c r="E339" i="28"/>
  <c r="F339" i="28" s="1"/>
  <c r="F338" i="28"/>
  <c r="E338" i="28"/>
  <c r="F337" i="28"/>
  <c r="E337" i="28"/>
  <c r="E336" i="28"/>
  <c r="F336" i="28" s="1"/>
  <c r="F335" i="28"/>
  <c r="E335" i="28"/>
  <c r="E334" i="28"/>
  <c r="F334" i="28" s="1"/>
  <c r="F333" i="28"/>
  <c r="E333" i="28"/>
  <c r="F332" i="28"/>
  <c r="E332" i="28"/>
  <c r="F322" i="28"/>
  <c r="F321" i="28"/>
  <c r="F320" i="28"/>
  <c r="F319" i="28"/>
  <c r="F318" i="28"/>
  <c r="F317" i="28"/>
  <c r="F313" i="28"/>
  <c r="E313" i="28"/>
  <c r="F312" i="28"/>
  <c r="E312" i="28"/>
  <c r="E311" i="28"/>
  <c r="F311" i="28" s="1"/>
  <c r="F310" i="28"/>
  <c r="E310" i="28"/>
  <c r="E309" i="28"/>
  <c r="F309" i="28" s="1"/>
  <c r="F308" i="28"/>
  <c r="E308" i="28"/>
  <c r="F307" i="28"/>
  <c r="E307" i="28"/>
  <c r="F306" i="28"/>
  <c r="E306" i="28"/>
  <c r="F305" i="28"/>
  <c r="E305" i="28"/>
  <c r="F304" i="28"/>
  <c r="E304" i="28"/>
  <c r="F302" i="28"/>
  <c r="F299" i="28"/>
  <c r="F297" i="28"/>
  <c r="E260" i="28"/>
  <c r="D260" i="28"/>
  <c r="B260" i="28"/>
  <c r="E259" i="28"/>
  <c r="D259" i="28"/>
  <c r="A259" i="28"/>
  <c r="D258" i="28"/>
  <c r="A258" i="28"/>
  <c r="D257" i="28"/>
  <c r="A257" i="28"/>
  <c r="E256" i="28"/>
  <c r="D256" i="28"/>
  <c r="A256" i="28"/>
  <c r="E255" i="28"/>
  <c r="D255" i="28"/>
  <c r="B255" i="28"/>
  <c r="A255" i="28"/>
  <c r="E254" i="28"/>
  <c r="D254" i="28"/>
  <c r="A254" i="28"/>
  <c r="E253" i="28"/>
  <c r="D253" i="28"/>
  <c r="B253" i="28"/>
  <c r="A253" i="28"/>
  <c r="B252" i="28"/>
  <c r="B256" i="28" s="1"/>
  <c r="A252" i="28"/>
  <c r="A260" i="28" s="1"/>
  <c r="B251" i="28"/>
  <c r="B259" i="28" s="1"/>
  <c r="B250" i="28"/>
  <c r="B258" i="28" s="1"/>
  <c r="D249" i="28"/>
  <c r="B249" i="28"/>
  <c r="B257" i="28" s="1"/>
  <c r="A249" i="28"/>
  <c r="D248" i="28"/>
  <c r="A247" i="28"/>
  <c r="B246" i="28"/>
  <c r="A246" i="28"/>
  <c r="B245" i="28"/>
  <c r="B248" i="28" s="1"/>
  <c r="A245" i="28"/>
  <c r="A248" i="28" s="1"/>
  <c r="B244" i="28"/>
  <c r="A244" i="28"/>
  <c r="B243" i="28"/>
  <c r="A243" i="28"/>
  <c r="B242" i="28"/>
  <c r="A242" i="28"/>
  <c r="E240" i="28"/>
  <c r="E239" i="28"/>
  <c r="E238" i="28"/>
  <c r="E237" i="28"/>
  <c r="E236" i="28"/>
  <c r="E235" i="28"/>
  <c r="E234" i="28"/>
  <c r="E233" i="28"/>
  <c r="E231" i="28"/>
  <c r="E230" i="28"/>
  <c r="E229" i="28"/>
  <c r="E228" i="28"/>
  <c r="E227" i="28"/>
  <c r="E226" i="28"/>
  <c r="E225" i="28"/>
  <c r="E223" i="28"/>
  <c r="E222" i="28"/>
  <c r="E221" i="28"/>
  <c r="E208" i="28"/>
  <c r="F208" i="28" s="1"/>
  <c r="E207" i="28"/>
  <c r="F207" i="28" s="1"/>
  <c r="F206" i="28"/>
  <c r="E206" i="28"/>
  <c r="E205" i="28"/>
  <c r="F205" i="28" s="1"/>
  <c r="E204" i="28"/>
  <c r="F204" i="28" s="1"/>
  <c r="E203" i="28"/>
  <c r="F203" i="28" s="1"/>
  <c r="F202" i="28"/>
  <c r="E202" i="28"/>
  <c r="F181" i="28"/>
  <c r="E181" i="28"/>
  <c r="F180" i="28"/>
  <c r="E180" i="28"/>
  <c r="F179" i="28"/>
  <c r="E179" i="28"/>
  <c r="F178" i="28"/>
  <c r="E178" i="28"/>
  <c r="F177" i="28"/>
  <c r="E177" i="28"/>
  <c r="F176" i="28"/>
  <c r="E176" i="28"/>
  <c r="F175" i="28"/>
  <c r="E175" i="28"/>
  <c r="F174" i="28"/>
  <c r="E174" i="28"/>
  <c r="F173" i="28"/>
  <c r="E173" i="28"/>
  <c r="F172" i="28"/>
  <c r="E172" i="28"/>
  <c r="F171" i="28"/>
  <c r="E171" i="28"/>
  <c r="F170" i="28"/>
  <c r="E170" i="28"/>
  <c r="F169" i="28"/>
  <c r="E169" i="28"/>
  <c r="F168" i="28"/>
  <c r="E168" i="28"/>
  <c r="E167" i="28"/>
  <c r="F167" i="28" s="1"/>
  <c r="F166" i="28"/>
  <c r="E166" i="28"/>
  <c r="E165" i="28"/>
  <c r="F165" i="28" s="1"/>
  <c r="E164" i="28"/>
  <c r="F164" i="28" s="1"/>
  <c r="F163" i="28"/>
  <c r="F162" i="28"/>
  <c r="F161" i="28"/>
  <c r="F160" i="28"/>
  <c r="E160" i="28"/>
  <c r="F157" i="28"/>
  <c r="E157" i="28"/>
  <c r="F156" i="28"/>
  <c r="E156" i="28"/>
  <c r="F155" i="28"/>
  <c r="E155" i="28"/>
  <c r="F154" i="28"/>
  <c r="E154" i="28"/>
  <c r="F153" i="28"/>
  <c r="E153" i="28"/>
  <c r="E152" i="28"/>
  <c r="F152" i="28" s="1"/>
  <c r="E151" i="28"/>
  <c r="F151" i="28" s="1"/>
  <c r="F150" i="28"/>
  <c r="E150" i="28"/>
  <c r="E158" i="28" s="1"/>
  <c r="F158" i="28" s="1"/>
  <c r="E125" i="28"/>
  <c r="F125" i="28" s="1"/>
  <c r="F124" i="28"/>
  <c r="E124" i="28"/>
  <c r="F123" i="28"/>
  <c r="E123" i="28"/>
  <c r="F122" i="28"/>
  <c r="E122" i="28"/>
  <c r="F121" i="28"/>
  <c r="E121" i="28"/>
  <c r="F89" i="28"/>
  <c r="E89" i="28"/>
  <c r="F88" i="28"/>
  <c r="E88" i="28"/>
  <c r="E87" i="28"/>
  <c r="F87" i="28" s="1"/>
  <c r="E86" i="28"/>
  <c r="F86" i="28" s="1"/>
  <c r="F85" i="28"/>
  <c r="E85" i="28"/>
  <c r="E84" i="28"/>
  <c r="F84" i="28" s="1"/>
  <c r="F83" i="28"/>
  <c r="E83" i="28"/>
  <c r="F82" i="28"/>
  <c r="E82" i="28"/>
  <c r="F81" i="28"/>
  <c r="E81" i="28"/>
  <c r="F80" i="28"/>
  <c r="E80" i="28"/>
  <c r="F79" i="28"/>
  <c r="E79" i="28"/>
  <c r="E128" i="27"/>
  <c r="E127" i="27"/>
  <c r="D127" i="27"/>
  <c r="E126" i="27"/>
  <c r="E124" i="27"/>
  <c r="D124" i="27"/>
  <c r="E122" i="27"/>
  <c r="E120" i="27"/>
  <c r="D119" i="27"/>
  <c r="E119" i="27" s="1"/>
  <c r="E117" i="27"/>
  <c r="E114" i="27"/>
  <c r="E112" i="27"/>
  <c r="E109" i="27"/>
  <c r="E107" i="27"/>
  <c r="E106" i="27"/>
  <c r="D106" i="27"/>
  <c r="E105" i="27"/>
  <c r="E104" i="27"/>
  <c r="E103" i="27"/>
  <c r="E102" i="27"/>
  <c r="E101" i="27"/>
  <c r="F98" i="27"/>
  <c r="F97" i="27"/>
  <c r="F96" i="27"/>
  <c r="E96" i="27"/>
  <c r="F95" i="27"/>
  <c r="D95" i="27"/>
  <c r="E95" i="27" s="1"/>
  <c r="F94" i="27"/>
  <c r="F93" i="27"/>
  <c r="F92" i="27"/>
  <c r="F91" i="27"/>
  <c r="D91" i="27"/>
  <c r="F90" i="27"/>
  <c r="D90" i="27"/>
  <c r="F89" i="27"/>
  <c r="E89" i="27"/>
  <c r="D89" i="27"/>
  <c r="F88" i="27"/>
  <c r="F87" i="27"/>
  <c r="D87" i="27"/>
  <c r="E87" i="27" s="1"/>
  <c r="F86" i="27"/>
  <c r="F85" i="27"/>
  <c r="F84" i="27"/>
  <c r="F83" i="27"/>
  <c r="F82" i="27"/>
  <c r="F81" i="27"/>
  <c r="F80" i="27"/>
  <c r="F79" i="27"/>
  <c r="F78" i="27"/>
  <c r="E78" i="27"/>
  <c r="F77" i="27"/>
  <c r="D77" i="27"/>
  <c r="E77" i="27" s="1"/>
  <c r="F76" i="27"/>
  <c r="E74" i="27"/>
  <c r="D70" i="27"/>
  <c r="E70" i="27" s="1"/>
  <c r="E68" i="27"/>
  <c r="D67" i="27"/>
  <c r="E67" i="27" s="1"/>
  <c r="D65" i="27"/>
  <c r="E64" i="27"/>
  <c r="D64" i="27"/>
  <c r="E63" i="27"/>
  <c r="D63" i="27"/>
  <c r="D62" i="27"/>
  <c r="E62" i="27" s="1"/>
  <c r="E61" i="27"/>
  <c r="E60" i="27"/>
  <c r="D60" i="27"/>
  <c r="E59" i="27"/>
  <c r="D58" i="27"/>
  <c r="E58" i="27" s="1"/>
  <c r="E56" i="27"/>
  <c r="D56" i="27"/>
  <c r="E54" i="27"/>
  <c r="E53" i="27"/>
  <c r="D53" i="27"/>
  <c r="E52" i="27"/>
  <c r="D51" i="27"/>
  <c r="E51" i="27" s="1"/>
  <c r="E49" i="27"/>
  <c r="D49" i="27"/>
  <c r="E47" i="27"/>
  <c r="D47" i="27"/>
  <c r="E45" i="27"/>
  <c r="E43" i="27"/>
  <c r="D43" i="27"/>
  <c r="D42" i="27"/>
  <c r="D35" i="27"/>
  <c r="E35" i="27" s="1"/>
  <c r="E33" i="27"/>
  <c r="D33" i="27"/>
  <c r="D21" i="27"/>
  <c r="D19" i="27"/>
  <c r="D10" i="27"/>
  <c r="E126" i="26"/>
  <c r="E125" i="26"/>
  <c r="D125" i="26"/>
  <c r="E124" i="26"/>
  <c r="E122" i="26"/>
  <c r="D122" i="26"/>
  <c r="E120" i="26"/>
  <c r="E118" i="26"/>
  <c r="D117" i="26"/>
  <c r="E117" i="26" s="1"/>
  <c r="E115" i="26"/>
  <c r="E112" i="26"/>
  <c r="E107" i="26"/>
  <c r="E105" i="26"/>
  <c r="E104" i="26"/>
  <c r="E103" i="26"/>
  <c r="E101" i="26"/>
  <c r="E100" i="26"/>
  <c r="E99" i="26"/>
  <c r="F96" i="26"/>
  <c r="F95" i="26"/>
  <c r="F94" i="26"/>
  <c r="E94" i="26"/>
  <c r="F93" i="26"/>
  <c r="E93" i="26"/>
  <c r="D93" i="26"/>
  <c r="F92" i="26"/>
  <c r="F91" i="26"/>
  <c r="F90" i="26"/>
  <c r="F89" i="26"/>
  <c r="D89" i="26"/>
  <c r="F88" i="26"/>
  <c r="D88" i="26"/>
  <c r="F87" i="26"/>
  <c r="D87" i="26"/>
  <c r="E87" i="26" s="1"/>
  <c r="F86" i="26"/>
  <c r="F85" i="26"/>
  <c r="D85" i="26"/>
  <c r="E85" i="26" s="1"/>
  <c r="F84" i="26"/>
  <c r="F83" i="26"/>
  <c r="F82" i="26"/>
  <c r="F81" i="26"/>
  <c r="F80" i="26"/>
  <c r="F79" i="26"/>
  <c r="F78" i="26"/>
  <c r="F77" i="26"/>
  <c r="F76" i="26"/>
  <c r="E76" i="26"/>
  <c r="F75" i="26"/>
  <c r="E75" i="26"/>
  <c r="D75" i="26"/>
  <c r="F74" i="26"/>
  <c r="E72" i="26"/>
  <c r="E69" i="26"/>
  <c r="E68" i="26"/>
  <c r="D68" i="26"/>
  <c r="E66" i="26"/>
  <c r="E65" i="26"/>
  <c r="D65" i="26"/>
  <c r="E63" i="26"/>
  <c r="D63" i="26"/>
  <c r="D62" i="26"/>
  <c r="E62" i="26" s="1"/>
  <c r="E61" i="26"/>
  <c r="D61" i="26"/>
  <c r="E60" i="26"/>
  <c r="D60" i="26"/>
  <c r="E59" i="26"/>
  <c r="D58" i="26"/>
  <c r="E58" i="26" s="1"/>
  <c r="D57" i="26"/>
  <c r="E57" i="26" s="1"/>
  <c r="D56" i="26"/>
  <c r="E56" i="26" s="1"/>
  <c r="E54" i="26"/>
  <c r="D54" i="26"/>
  <c r="E52" i="26"/>
  <c r="E51" i="26"/>
  <c r="D50" i="26"/>
  <c r="E50" i="26" s="1"/>
  <c r="D48" i="26"/>
  <c r="E48" i="26" s="1"/>
  <c r="E46" i="26"/>
  <c r="D46" i="26"/>
  <c r="E44" i="26"/>
  <c r="E42" i="26"/>
  <c r="D42" i="26"/>
  <c r="E35" i="26"/>
  <c r="D35" i="26"/>
  <c r="D33" i="26"/>
  <c r="D21" i="26"/>
  <c r="D19" i="26"/>
  <c r="D10" i="26"/>
  <c r="F22" i="25"/>
  <c r="AC109" i="1" s="1"/>
  <c r="G19" i="25"/>
  <c r="G18" i="25"/>
  <c r="G17" i="25"/>
  <c r="F17" i="25"/>
  <c r="F22" i="24"/>
  <c r="F20" i="24"/>
  <c r="G19" i="24"/>
  <c r="G18" i="24"/>
  <c r="G17" i="24"/>
  <c r="H15" i="23"/>
  <c r="AA109" i="1" s="1"/>
  <c r="H11" i="22"/>
  <c r="H37" i="22" s="1"/>
  <c r="Z109" i="1" s="1"/>
  <c r="H43" i="21"/>
  <c r="G43" i="21"/>
  <c r="H39" i="21"/>
  <c r="G38" i="21"/>
  <c r="H38" i="21" s="1"/>
  <c r="G37" i="21"/>
  <c r="I32" i="21"/>
  <c r="I31" i="21"/>
  <c r="I30" i="21"/>
  <c r="I29" i="21"/>
  <c r="I28" i="21"/>
  <c r="I27" i="21"/>
  <c r="G27" i="21"/>
  <c r="H27" i="21" s="1"/>
  <c r="I26" i="21"/>
  <c r="H18" i="21"/>
  <c r="H16" i="21"/>
  <c r="H46" i="21" s="1"/>
  <c r="Y109" i="1" s="1"/>
  <c r="L13" i="20"/>
  <c r="M14" i="19"/>
  <c r="I15" i="18"/>
  <c r="H13" i="17"/>
  <c r="I12" i="16"/>
  <c r="O115" i="15"/>
  <c r="O111" i="15"/>
  <c r="O110" i="15"/>
  <c r="O109" i="15"/>
  <c r="O108" i="15"/>
  <c r="O105" i="15"/>
  <c r="O104" i="15"/>
  <c r="O101" i="15"/>
  <c r="O99" i="15"/>
  <c r="O88" i="15"/>
  <c r="O85" i="15"/>
  <c r="O84" i="15"/>
  <c r="O83" i="15"/>
  <c r="P79" i="15"/>
  <c r="P78" i="15"/>
  <c r="P77" i="15"/>
  <c r="P76" i="15"/>
  <c r="P75" i="15"/>
  <c r="P74" i="15"/>
  <c r="O74" i="15"/>
  <c r="N74" i="15"/>
  <c r="P73" i="15"/>
  <c r="N73" i="15"/>
  <c r="O73" i="15" s="1"/>
  <c r="P72" i="15"/>
  <c r="O72" i="15"/>
  <c r="N72" i="15"/>
  <c r="P71" i="15"/>
  <c r="O71" i="15"/>
  <c r="N71" i="15"/>
  <c r="P70" i="15"/>
  <c r="N70" i="15"/>
  <c r="O70" i="15" s="1"/>
  <c r="P69" i="15"/>
  <c r="N69" i="15"/>
  <c r="O69" i="15" s="1"/>
  <c r="P68" i="15"/>
  <c r="P67" i="15"/>
  <c r="P66" i="15"/>
  <c r="P65" i="15"/>
  <c r="P64" i="15"/>
  <c r="O63" i="15"/>
  <c r="O62" i="15"/>
  <c r="O61" i="15"/>
  <c r="O60" i="15"/>
  <c r="O57" i="15"/>
  <c r="N57" i="15"/>
  <c r="O47" i="15"/>
  <c r="N47" i="15"/>
  <c r="O46" i="15"/>
  <c r="O45" i="15"/>
  <c r="O44" i="15"/>
  <c r="O43" i="15"/>
  <c r="O14" i="15"/>
  <c r="N14" i="15"/>
  <c r="I401" i="14"/>
  <c r="I399" i="14"/>
  <c r="I398" i="14"/>
  <c r="I397" i="14"/>
  <c r="I396" i="14"/>
  <c r="I395" i="14"/>
  <c r="I376" i="14"/>
  <c r="I343" i="14"/>
  <c r="G343" i="14"/>
  <c r="I342" i="14"/>
  <c r="G342" i="14"/>
  <c r="I341" i="14"/>
  <c r="G341" i="14"/>
  <c r="G340" i="14"/>
  <c r="I340" i="14" s="1"/>
  <c r="G339" i="14"/>
  <c r="I339" i="14" s="1"/>
  <c r="I338" i="14"/>
  <c r="G338" i="14"/>
  <c r="I317" i="14"/>
  <c r="I314" i="14"/>
  <c r="I313" i="14"/>
  <c r="J276" i="14"/>
  <c r="J275" i="14"/>
  <c r="J274" i="14"/>
  <c r="J273" i="14"/>
  <c r="J272" i="14"/>
  <c r="J271" i="14"/>
  <c r="J270" i="14"/>
  <c r="J269" i="14"/>
  <c r="J268" i="14"/>
  <c r="J267" i="14"/>
  <c r="J266" i="14"/>
  <c r="J265" i="14"/>
  <c r="J264" i="14"/>
  <c r="J263" i="14"/>
  <c r="J262" i="14"/>
  <c r="J261" i="14"/>
  <c r="J260" i="14"/>
  <c r="J259" i="14"/>
  <c r="G259" i="14"/>
  <c r="I259" i="14" s="1"/>
  <c r="J258" i="14"/>
  <c r="I258" i="14"/>
  <c r="G258" i="14"/>
  <c r="J257" i="14"/>
  <c r="G257" i="14"/>
  <c r="I257" i="14" s="1"/>
  <c r="J256" i="14"/>
  <c r="G256" i="14"/>
  <c r="I256" i="14" s="1"/>
  <c r="J255" i="14"/>
  <c r="I255" i="14"/>
  <c r="G255" i="14"/>
  <c r="J254" i="14"/>
  <c r="G254" i="14"/>
  <c r="I254" i="14" s="1"/>
  <c r="J253" i="14"/>
  <c r="G253" i="14"/>
  <c r="I253" i="14" s="1"/>
  <c r="J252" i="14"/>
  <c r="I252" i="14"/>
  <c r="G252" i="14"/>
  <c r="J251" i="14"/>
  <c r="G251" i="14"/>
  <c r="I251" i="14" s="1"/>
  <c r="J250" i="14"/>
  <c r="I250" i="14"/>
  <c r="G250" i="14"/>
  <c r="J249" i="14"/>
  <c r="I249" i="14"/>
  <c r="J248" i="14"/>
  <c r="I248" i="14"/>
  <c r="G248" i="14"/>
  <c r="J247" i="14"/>
  <c r="G247" i="14"/>
  <c r="I247" i="14" s="1"/>
  <c r="J246" i="14"/>
  <c r="G246" i="14"/>
  <c r="I246" i="14" s="1"/>
  <c r="J245" i="14"/>
  <c r="J243" i="14"/>
  <c r="J242" i="14"/>
  <c r="J241" i="14"/>
  <c r="J240" i="14"/>
  <c r="J239" i="14"/>
  <c r="J238" i="14"/>
  <c r="J237" i="14"/>
  <c r="J236" i="14"/>
  <c r="I226" i="14"/>
  <c r="I223" i="14"/>
  <c r="I222" i="14"/>
  <c r="I221" i="14"/>
  <c r="I220" i="14"/>
  <c r="I219" i="14"/>
  <c r="I218" i="14"/>
  <c r="I217" i="14"/>
  <c r="I216" i="14"/>
  <c r="I215" i="14"/>
  <c r="I214" i="14"/>
  <c r="I213" i="14"/>
  <c r="I211" i="14"/>
  <c r="I210" i="14"/>
  <c r="D152" i="14"/>
  <c r="C152" i="14"/>
  <c r="B152" i="14"/>
  <c r="A152" i="14"/>
  <c r="E151" i="14"/>
  <c r="D151" i="14"/>
  <c r="C151" i="14"/>
  <c r="B151" i="14"/>
  <c r="A151" i="14"/>
  <c r="A150" i="14"/>
  <c r="D149" i="14"/>
  <c r="B149" i="14"/>
  <c r="A149" i="14"/>
  <c r="D148" i="14"/>
  <c r="B148" i="14"/>
  <c r="A148" i="14"/>
  <c r="B147" i="14"/>
  <c r="G146" i="14"/>
  <c r="G145" i="14"/>
  <c r="I55" i="14"/>
  <c r="K584" i="13"/>
  <c r="K583" i="13"/>
  <c r="K582" i="13"/>
  <c r="K581" i="13"/>
  <c r="K580" i="13"/>
  <c r="K579" i="13"/>
  <c r="K578" i="13"/>
  <c r="K577" i="13"/>
  <c r="K576" i="13"/>
  <c r="K575" i="13"/>
  <c r="K574" i="13"/>
  <c r="K573" i="13"/>
  <c r="K572" i="13"/>
  <c r="K571" i="13"/>
  <c r="K570" i="13"/>
  <c r="K569" i="13"/>
  <c r="K568" i="13"/>
  <c r="K567" i="13"/>
  <c r="K566" i="13"/>
  <c r="K565" i="13"/>
  <c r="K564" i="13"/>
  <c r="K563" i="13"/>
  <c r="K562" i="13"/>
  <c r="K561" i="13"/>
  <c r="K560" i="13"/>
  <c r="K559" i="13"/>
  <c r="K558" i="13"/>
  <c r="K557" i="13"/>
  <c r="K556" i="13"/>
  <c r="K555" i="13"/>
  <c r="K554" i="13"/>
  <c r="K553" i="13"/>
  <c r="K552" i="13"/>
  <c r="K551" i="13"/>
  <c r="K550" i="13"/>
  <c r="K549" i="13"/>
  <c r="K548" i="13"/>
  <c r="K547" i="13"/>
  <c r="K546" i="13"/>
  <c r="K545" i="13"/>
  <c r="K544" i="13"/>
  <c r="K543" i="13"/>
  <c r="K542" i="13"/>
  <c r="K541" i="13"/>
  <c r="K540" i="13"/>
  <c r="K539" i="13"/>
  <c r="K538" i="13"/>
  <c r="K537" i="13"/>
  <c r="K536" i="13"/>
  <c r="K535" i="13"/>
  <c r="K534" i="13"/>
  <c r="K533" i="13"/>
  <c r="K532" i="13"/>
  <c r="K531" i="13"/>
  <c r="K530" i="13"/>
  <c r="K529" i="13"/>
  <c r="K528" i="13"/>
  <c r="K527" i="13"/>
  <c r="K526" i="13"/>
  <c r="K525" i="13"/>
  <c r="K524" i="13"/>
  <c r="K523" i="13"/>
  <c r="K522" i="13"/>
  <c r="K521" i="13"/>
  <c r="K520" i="13"/>
  <c r="K519" i="13"/>
  <c r="K518" i="13"/>
  <c r="K517" i="13"/>
  <c r="K516" i="13"/>
  <c r="K514" i="13"/>
  <c r="K513" i="13"/>
  <c r="K512" i="13"/>
  <c r="K511" i="13"/>
  <c r="K510" i="13"/>
  <c r="K509" i="13"/>
  <c r="K508" i="13"/>
  <c r="K507" i="13"/>
  <c r="K506" i="13"/>
  <c r="K503" i="13"/>
  <c r="K502" i="13"/>
  <c r="K501" i="13"/>
  <c r="K500" i="13"/>
  <c r="K499" i="13"/>
  <c r="K498" i="13"/>
  <c r="K497" i="13"/>
  <c r="K496" i="13"/>
  <c r="K495" i="13"/>
  <c r="K494" i="13"/>
  <c r="K493" i="13"/>
  <c r="K492" i="13"/>
  <c r="K480" i="13"/>
  <c r="K479" i="13"/>
  <c r="K478" i="13"/>
  <c r="K477" i="13"/>
  <c r="K476" i="13"/>
  <c r="K475" i="13"/>
  <c r="K474" i="13"/>
  <c r="K473" i="13"/>
  <c r="K472" i="13"/>
  <c r="K470" i="13"/>
  <c r="K469" i="13"/>
  <c r="K468" i="13"/>
  <c r="K467" i="13"/>
  <c r="K466" i="13"/>
  <c r="K464" i="13"/>
  <c r="K463" i="13"/>
  <c r="K462" i="13"/>
  <c r="K461" i="13"/>
  <c r="K460" i="13"/>
  <c r="K459" i="13"/>
  <c r="K458" i="13"/>
  <c r="K457" i="13"/>
  <c r="K456" i="13"/>
  <c r="K455" i="13"/>
  <c r="K454" i="13"/>
  <c r="K453" i="13"/>
  <c r="K452" i="13"/>
  <c r="K451" i="13"/>
  <c r="K450" i="13"/>
  <c r="K449" i="13"/>
  <c r="K448" i="13"/>
  <c r="K447" i="13"/>
  <c r="K446" i="13"/>
  <c r="K445" i="13"/>
  <c r="K444" i="13"/>
  <c r="K443" i="13"/>
  <c r="K442" i="13"/>
  <c r="K441" i="13"/>
  <c r="K440" i="13"/>
  <c r="K439" i="13"/>
  <c r="K438" i="13"/>
  <c r="K437" i="13"/>
  <c r="K436" i="13"/>
  <c r="K435" i="13"/>
  <c r="K434" i="13"/>
  <c r="K433" i="13"/>
  <c r="K432" i="13"/>
  <c r="K431" i="13"/>
  <c r="K430" i="13"/>
  <c r="K429" i="13"/>
  <c r="K428" i="13"/>
  <c r="K427" i="13"/>
  <c r="K426" i="13"/>
  <c r="K425" i="13"/>
  <c r="K424" i="13"/>
  <c r="K423" i="13"/>
  <c r="K422" i="13"/>
  <c r="K421" i="13"/>
  <c r="K420" i="13"/>
  <c r="K419" i="13"/>
  <c r="K418" i="13"/>
  <c r="K417" i="13"/>
  <c r="K416" i="13"/>
  <c r="K415" i="13"/>
  <c r="K414" i="13"/>
  <c r="K413" i="13"/>
  <c r="K412" i="13"/>
  <c r="K411" i="13"/>
  <c r="K410" i="13"/>
  <c r="K409" i="13"/>
  <c r="K408" i="13"/>
  <c r="K407" i="13"/>
  <c r="K406" i="13"/>
  <c r="K400" i="13"/>
  <c r="K399" i="13"/>
  <c r="K398" i="13"/>
  <c r="K397" i="13"/>
  <c r="K396" i="13"/>
  <c r="K395" i="13"/>
  <c r="K394" i="13"/>
  <c r="K393" i="13"/>
  <c r="K374" i="13"/>
  <c r="K373" i="13"/>
  <c r="K372" i="13"/>
  <c r="K371" i="13"/>
  <c r="K370" i="13"/>
  <c r="K369" i="13"/>
  <c r="K368" i="13"/>
  <c r="K367" i="13"/>
  <c r="K366" i="13"/>
  <c r="K365" i="13"/>
  <c r="K364" i="13"/>
  <c r="K363" i="13"/>
  <c r="K362" i="13"/>
  <c r="K361" i="13"/>
  <c r="K360" i="13"/>
  <c r="K359" i="13"/>
  <c r="K358" i="13"/>
  <c r="K357" i="13"/>
  <c r="K356" i="13"/>
  <c r="K355" i="13"/>
  <c r="K354" i="13"/>
  <c r="K353" i="13"/>
  <c r="K352" i="13"/>
  <c r="K351" i="13"/>
  <c r="K350" i="13"/>
  <c r="K349" i="13"/>
  <c r="K348" i="13"/>
  <c r="K347" i="13"/>
  <c r="K346" i="13"/>
  <c r="K345" i="13"/>
  <c r="K344" i="13"/>
  <c r="K343" i="13"/>
  <c r="K340" i="13"/>
  <c r="K339" i="13"/>
  <c r="K338" i="13"/>
  <c r="K337" i="13"/>
  <c r="K336" i="13"/>
  <c r="K335" i="13"/>
  <c r="K334" i="13"/>
  <c r="K333" i="13"/>
  <c r="K330" i="13"/>
  <c r="K329" i="13"/>
  <c r="K328" i="13"/>
  <c r="K327" i="13"/>
  <c r="K326" i="13"/>
  <c r="K325" i="13"/>
  <c r="K324" i="13"/>
  <c r="K323" i="13"/>
  <c r="K322" i="13"/>
  <c r="K321" i="13"/>
  <c r="K320" i="13"/>
  <c r="K319" i="13"/>
  <c r="K318" i="13"/>
  <c r="K317" i="13"/>
  <c r="K316" i="13"/>
  <c r="K302" i="13"/>
  <c r="K301" i="13"/>
  <c r="K297" i="13"/>
  <c r="K296" i="13"/>
  <c r="K295" i="13"/>
  <c r="K294" i="13"/>
  <c r="K293" i="13"/>
  <c r="K292" i="13"/>
  <c r="K291" i="13"/>
  <c r="K290" i="13"/>
  <c r="K289" i="13"/>
  <c r="K288" i="13"/>
  <c r="K287" i="13"/>
  <c r="K286" i="13"/>
  <c r="K285" i="13"/>
  <c r="K284" i="13"/>
  <c r="K283" i="13"/>
  <c r="K282" i="13"/>
  <c r="K281" i="13"/>
  <c r="K280" i="13"/>
  <c r="K279" i="13"/>
  <c r="K278" i="13"/>
  <c r="K277" i="13"/>
  <c r="K276" i="13"/>
  <c r="K275" i="13"/>
  <c r="K274" i="13"/>
  <c r="K273" i="13"/>
  <c r="K272" i="13"/>
  <c r="K271" i="13"/>
  <c r="K270" i="13"/>
  <c r="K269" i="13"/>
  <c r="K268" i="13"/>
  <c r="K267" i="13"/>
  <c r="K266" i="13"/>
  <c r="K265" i="13"/>
  <c r="K264" i="13"/>
  <c r="K263" i="13"/>
  <c r="K262" i="13"/>
  <c r="K261" i="13"/>
  <c r="K260" i="13"/>
  <c r="K259" i="13"/>
  <c r="K258" i="13"/>
  <c r="K257" i="13"/>
  <c r="K255" i="13"/>
  <c r="K252" i="13"/>
  <c r="K251" i="13"/>
  <c r="K250" i="13"/>
  <c r="K249" i="13"/>
  <c r="K248" i="13"/>
  <c r="K247" i="13"/>
  <c r="K246" i="13"/>
  <c r="K245" i="13"/>
  <c r="K244" i="13"/>
  <c r="K241" i="13"/>
  <c r="K239" i="13"/>
  <c r="K238" i="13"/>
  <c r="K237" i="13"/>
  <c r="K236" i="13"/>
  <c r="K231" i="13"/>
  <c r="K230" i="13"/>
  <c r="K229" i="13"/>
  <c r="K228" i="13"/>
  <c r="K227" i="13"/>
  <c r="K226" i="13"/>
  <c r="K225" i="13"/>
  <c r="K222" i="13"/>
  <c r="K221" i="13"/>
  <c r="K220" i="13"/>
  <c r="K219" i="13"/>
  <c r="K173" i="13"/>
  <c r="K172" i="13"/>
  <c r="K169" i="13"/>
  <c r="K168" i="13"/>
  <c r="K167" i="13"/>
  <c r="K166" i="13"/>
  <c r="K165" i="13"/>
  <c r="K164" i="13"/>
  <c r="K163" i="13"/>
  <c r="K162" i="13"/>
  <c r="K161" i="13"/>
  <c r="K160" i="13"/>
  <c r="K159" i="13"/>
  <c r="K158" i="13"/>
  <c r="K157" i="13"/>
  <c r="K156" i="13"/>
  <c r="K155" i="13"/>
  <c r="K154" i="13"/>
  <c r="K153" i="13"/>
  <c r="K152" i="13"/>
  <c r="K151" i="13"/>
  <c r="K150" i="13"/>
  <c r="K149" i="13"/>
  <c r="K148" i="13"/>
  <c r="K147" i="13"/>
  <c r="K146" i="13"/>
  <c r="K145" i="13"/>
  <c r="K144" i="13"/>
  <c r="K143" i="13"/>
  <c r="K142" i="13"/>
  <c r="K141" i="13"/>
  <c r="K140" i="13"/>
  <c r="K139" i="13"/>
  <c r="K138" i="13"/>
  <c r="K137" i="13"/>
  <c r="K136" i="13"/>
  <c r="K135" i="13"/>
  <c r="K134" i="13"/>
  <c r="K133" i="13"/>
  <c r="K132" i="13"/>
  <c r="K131" i="13"/>
  <c r="K130" i="13"/>
  <c r="K129" i="13"/>
  <c r="K128" i="13"/>
  <c r="K127" i="13"/>
  <c r="K126" i="13"/>
  <c r="K125" i="13"/>
  <c r="K124" i="13"/>
  <c r="K123" i="13"/>
  <c r="K122" i="13"/>
  <c r="K121" i="13"/>
  <c r="K120" i="13"/>
  <c r="K119" i="13"/>
  <c r="K118" i="13"/>
  <c r="K117" i="13"/>
  <c r="K116" i="13"/>
  <c r="K115" i="13"/>
  <c r="K114" i="13"/>
  <c r="K113" i="13"/>
  <c r="K112" i="13"/>
  <c r="K111" i="13"/>
  <c r="K110" i="13"/>
  <c r="K109" i="13"/>
  <c r="K108" i="13"/>
  <c r="K107" i="13"/>
  <c r="B103" i="13"/>
  <c r="K70" i="13"/>
  <c r="K69" i="13"/>
  <c r="K68" i="13"/>
  <c r="K67" i="13"/>
  <c r="K66" i="13"/>
  <c r="K65" i="13"/>
  <c r="K64" i="13"/>
  <c r="K63" i="13"/>
  <c r="K62" i="13"/>
  <c r="K61" i="13"/>
  <c r="K60" i="13"/>
  <c r="K59" i="13"/>
  <c r="K58" i="13"/>
  <c r="K57" i="13"/>
  <c r="K56" i="13"/>
  <c r="K55" i="13"/>
  <c r="K54" i="13"/>
  <c r="K53" i="13"/>
  <c r="K52" i="13"/>
  <c r="K51" i="13"/>
  <c r="K50" i="13"/>
  <c r="K49" i="13"/>
  <c r="K48" i="13"/>
  <c r="K590" i="13" s="1"/>
  <c r="Q109" i="1" s="1"/>
  <c r="J26" i="12"/>
  <c r="K23" i="12"/>
  <c r="K22" i="12"/>
  <c r="K21" i="12"/>
  <c r="J19" i="12"/>
  <c r="L38" i="11"/>
  <c r="M38" i="11" s="1"/>
  <c r="M37" i="11"/>
  <c r="L37" i="11"/>
  <c r="L36" i="11"/>
  <c r="M36" i="11" s="1"/>
  <c r="L35" i="11"/>
  <c r="M35" i="11" s="1"/>
  <c r="L34" i="11"/>
  <c r="M34" i="11" s="1"/>
  <c r="L33" i="11"/>
  <c r="M33" i="11" s="1"/>
  <c r="L32" i="11"/>
  <c r="M32" i="11" s="1"/>
  <c r="F30" i="11"/>
  <c r="E30" i="11"/>
  <c r="D30" i="11"/>
  <c r="M26" i="11"/>
  <c r="L26" i="11"/>
  <c r="M25" i="11"/>
  <c r="L25" i="11"/>
  <c r="L24" i="11"/>
  <c r="M24" i="11" s="1"/>
  <c r="M23" i="11"/>
  <c r="L23" i="11"/>
  <c r="M22" i="11"/>
  <c r="L22" i="11"/>
  <c r="M21" i="11"/>
  <c r="L21" i="11"/>
  <c r="M20" i="11"/>
  <c r="L20" i="11"/>
  <c r="M19" i="11"/>
  <c r="L19" i="11"/>
  <c r="N86" i="10"/>
  <c r="N85" i="10"/>
  <c r="N84" i="10"/>
  <c r="N81" i="10"/>
  <c r="N80" i="10"/>
  <c r="N78" i="10"/>
  <c r="N77" i="10"/>
  <c r="N76" i="10"/>
  <c r="N69" i="10"/>
  <c r="N66" i="10"/>
  <c r="N65" i="10"/>
  <c r="N64" i="10"/>
  <c r="N58" i="10"/>
  <c r="N57" i="10"/>
  <c r="N55" i="10"/>
  <c r="N54" i="10"/>
  <c r="O52" i="10"/>
  <c r="N49" i="10"/>
  <c r="N48" i="10"/>
  <c r="N47" i="10"/>
  <c r="N46" i="10"/>
  <c r="N45" i="10"/>
  <c r="N44" i="10"/>
  <c r="N43" i="10"/>
  <c r="N42" i="10"/>
  <c r="N41" i="10"/>
  <c r="N40" i="10"/>
  <c r="N39" i="10"/>
  <c r="N38" i="10"/>
  <c r="N29" i="10"/>
  <c r="N28" i="10"/>
  <c r="N27" i="10"/>
  <c r="N26" i="10"/>
  <c r="N25" i="10"/>
  <c r="N24" i="10"/>
  <c r="N23" i="10"/>
  <c r="N22" i="10"/>
  <c r="N21" i="10"/>
  <c r="N20" i="10"/>
  <c r="N18" i="10"/>
  <c r="N88" i="10" s="1"/>
  <c r="N109" i="1" s="1"/>
  <c r="I17" i="9"/>
  <c r="M109" i="1" s="1"/>
  <c r="H12" i="8"/>
  <c r="I26" i="7"/>
  <c r="I25" i="7"/>
  <c r="I24" i="7"/>
  <c r="I23" i="7"/>
  <c r="I22" i="7"/>
  <c r="I20" i="7"/>
  <c r="I18" i="7"/>
  <c r="I28" i="7" s="1"/>
  <c r="K109" i="1" s="1"/>
  <c r="I17" i="7"/>
  <c r="I16" i="7"/>
  <c r="I15" i="7"/>
  <c r="L15" i="6"/>
  <c r="J109" i="1" s="1"/>
  <c r="K1340" i="5"/>
  <c r="K1339" i="5"/>
  <c r="K1338" i="5"/>
  <c r="K1337" i="5"/>
  <c r="K1335" i="5"/>
  <c r="K1334" i="5"/>
  <c r="K1333" i="5"/>
  <c r="K1332" i="5"/>
  <c r="K1331" i="5"/>
  <c r="K1328" i="5"/>
  <c r="K1327" i="5"/>
  <c r="K1326" i="5"/>
  <c r="K1325" i="5"/>
  <c r="K1324"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0"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099" i="5"/>
  <c r="K1098" i="5"/>
  <c r="K1095" i="5"/>
  <c r="K1094" i="5"/>
  <c r="K1093" i="5"/>
  <c r="K1092" i="5"/>
  <c r="K1091" i="5"/>
  <c r="K1090" i="5"/>
  <c r="K1089" i="5"/>
  <c r="K1088" i="5"/>
  <c r="K1087" i="5"/>
  <c r="K1086" i="5"/>
  <c r="K1085" i="5"/>
  <c r="K1084" i="5"/>
  <c r="K1054" i="5"/>
  <c r="K1053" i="5"/>
  <c r="K1052" i="5"/>
  <c r="K1051" i="5"/>
  <c r="K1050" i="5"/>
  <c r="K1047" i="5"/>
  <c r="K1017" i="5"/>
  <c r="K1016" i="5"/>
  <c r="K1015" i="5"/>
  <c r="K1014" i="5"/>
  <c r="K1013" i="5"/>
  <c r="K1012" i="5"/>
  <c r="K1011" i="5"/>
  <c r="K1010" i="5"/>
  <c r="K1009" i="5"/>
  <c r="K1008" i="5"/>
  <c r="K1007" i="5"/>
  <c r="K1006" i="5"/>
  <c r="K1005" i="5"/>
  <c r="K1004" i="5"/>
  <c r="K1003" i="5"/>
  <c r="K1002" i="5"/>
  <c r="K1001" i="5"/>
  <c r="K1000" i="5"/>
  <c r="K999" i="5"/>
  <c r="K998" i="5"/>
  <c r="K997" i="5"/>
  <c r="K996"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821" i="5"/>
  <c r="K820" i="5"/>
  <c r="K819" i="5"/>
  <c r="K818" i="5"/>
  <c r="K817" i="5"/>
  <c r="K756" i="5"/>
  <c r="K755" i="5"/>
  <c r="K753" i="5"/>
  <c r="K752" i="5"/>
  <c r="K751" i="5"/>
  <c r="K750" i="5"/>
  <c r="K749" i="5"/>
  <c r="K741" i="5"/>
  <c r="K740" i="5"/>
  <c r="K739" i="5"/>
  <c r="K734" i="5"/>
  <c r="K733" i="5"/>
  <c r="K732" i="5"/>
  <c r="K731" i="5"/>
  <c r="K730" i="5"/>
  <c r="K729" i="5"/>
  <c r="K728" i="5"/>
  <c r="K727" i="5"/>
  <c r="K726" i="5"/>
  <c r="K720" i="5"/>
  <c r="K719" i="5"/>
  <c r="K718" i="5"/>
  <c r="K717" i="5"/>
  <c r="K716" i="5"/>
  <c r="K715" i="5"/>
  <c r="K714" i="5"/>
  <c r="K713" i="5"/>
  <c r="K712" i="5"/>
  <c r="K711" i="5"/>
  <c r="K710" i="5"/>
  <c r="K705" i="5"/>
  <c r="K704" i="5"/>
  <c r="K703" i="5"/>
  <c r="K702" i="5"/>
  <c r="K701" i="5"/>
  <c r="K700" i="5"/>
  <c r="K699" i="5"/>
  <c r="K698" i="5"/>
  <c r="K697" i="5"/>
  <c r="K696" i="5"/>
  <c r="K695" i="5"/>
  <c r="K694" i="5"/>
  <c r="K693" i="5"/>
  <c r="K692" i="5"/>
  <c r="K687" i="5"/>
  <c r="K686" i="5"/>
  <c r="K685" i="5"/>
  <c r="K684" i="5"/>
  <c r="K683" i="5"/>
  <c r="K682" i="5"/>
  <c r="K680" i="5"/>
  <c r="K679" i="5"/>
  <c r="K678"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4" i="5"/>
  <c r="K553" i="5"/>
  <c r="K552" i="5"/>
  <c r="K551" i="5"/>
  <c r="K550" i="5"/>
  <c r="K549" i="5"/>
  <c r="K548" i="5"/>
  <c r="K547" i="5"/>
  <c r="K546" i="5"/>
  <c r="K545" i="5"/>
  <c r="K544" i="5"/>
  <c r="K543" i="5"/>
  <c r="K542" i="5"/>
  <c r="K540" i="5"/>
  <c r="K539" i="5"/>
  <c r="K524" i="5"/>
  <c r="K523" i="5"/>
  <c r="K522" i="5"/>
  <c r="K521" i="5"/>
  <c r="K520" i="5"/>
  <c r="K519" i="5"/>
  <c r="K518" i="5"/>
  <c r="K515" i="5"/>
  <c r="K514"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0" i="5"/>
  <c r="K479" i="5"/>
  <c r="K478" i="5"/>
  <c r="K477" i="5"/>
  <c r="K476" i="5"/>
  <c r="K475" i="5"/>
  <c r="K474" i="5"/>
  <c r="K473" i="5"/>
  <c r="K472" i="5"/>
  <c r="K468" i="5"/>
  <c r="K467" i="5"/>
  <c r="K437" i="5"/>
  <c r="K436"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F395" i="5"/>
  <c r="K254" i="5"/>
  <c r="K253" i="5"/>
  <c r="K252" i="5"/>
  <c r="K22" i="5"/>
  <c r="K21" i="5"/>
  <c r="K1342" i="5" s="1"/>
  <c r="I109" i="1" s="1"/>
  <c r="M30" i="4"/>
  <c r="M29" i="4"/>
  <c r="M28" i="4"/>
  <c r="M24" i="4"/>
  <c r="M23" i="4"/>
  <c r="M22" i="4"/>
  <c r="M17" i="4"/>
  <c r="K17" i="4"/>
  <c r="M16" i="4"/>
  <c r="L15" i="4"/>
  <c r="L35" i="4" s="1"/>
  <c r="H109" i="1" s="1"/>
  <c r="L20" i="3"/>
  <c r="G109" i="1" s="1"/>
  <c r="V166" i="2"/>
  <c r="V165" i="2"/>
  <c r="V164" i="2"/>
  <c r="V163" i="2"/>
  <c r="V162" i="2"/>
  <c r="V161" i="2"/>
  <c r="V160" i="2"/>
  <c r="V159" i="2"/>
  <c r="V158" i="2"/>
  <c r="V157" i="2"/>
  <c r="V156" i="2"/>
  <c r="V155" i="2"/>
  <c r="V154" i="2"/>
  <c r="V153" i="2"/>
  <c r="V152" i="2"/>
  <c r="V150" i="2"/>
  <c r="V149" i="2"/>
  <c r="V148" i="2"/>
  <c r="V147" i="2"/>
  <c r="V146" i="2"/>
  <c r="V145" i="2"/>
  <c r="V143" i="2"/>
  <c r="V142" i="2"/>
  <c r="V141" i="2"/>
  <c r="V140" i="2"/>
  <c r="V138" i="2"/>
  <c r="V137" i="2"/>
  <c r="V136" i="2"/>
  <c r="V135" i="2"/>
  <c r="V134" i="2"/>
  <c r="V133" i="2"/>
  <c r="V129" i="2"/>
  <c r="V128" i="2"/>
  <c r="V127" i="2"/>
  <c r="V122" i="2"/>
  <c r="V121" i="2"/>
  <c r="V120" i="2"/>
  <c r="V119" i="2"/>
  <c r="V118" i="2"/>
  <c r="V117" i="2"/>
  <c r="V116" i="2"/>
  <c r="V115" i="2"/>
  <c r="W92" i="2"/>
  <c r="W91" i="2"/>
  <c r="V83" i="2"/>
  <c r="V81" i="2"/>
  <c r="V80" i="2"/>
  <c r="V79" i="2"/>
  <c r="V78" i="2"/>
  <c r="V77" i="2"/>
  <c r="V76" i="2"/>
  <c r="V75" i="2"/>
  <c r="V74" i="2"/>
  <c r="V73" i="2"/>
  <c r="V72" i="2"/>
  <c r="V71" i="2"/>
  <c r="V70" i="2"/>
  <c r="V69" i="2"/>
  <c r="V68" i="2"/>
  <c r="V67" i="2"/>
  <c r="V66" i="2"/>
  <c r="V64" i="2"/>
  <c r="V63" i="2"/>
  <c r="V62" i="2"/>
  <c r="V59" i="2"/>
  <c r="V58" i="2"/>
  <c r="V54" i="2"/>
  <c r="V53" i="2"/>
  <c r="V52" i="2"/>
  <c r="V51" i="2"/>
  <c r="V50" i="2"/>
  <c r="V49" i="2"/>
  <c r="V48" i="2"/>
  <c r="V47" i="2"/>
  <c r="V46" i="2"/>
  <c r="V168" i="2" s="1"/>
  <c r="F109" i="1" s="1"/>
  <c r="G30" i="2"/>
  <c r="G29" i="2"/>
  <c r="D113" i="1"/>
  <c r="D114" i="1" s="1"/>
  <c r="AM109" i="1"/>
  <c r="AB109" i="1"/>
  <c r="X109" i="1"/>
  <c r="W109" i="1"/>
  <c r="V109" i="1"/>
  <c r="U109" i="1"/>
  <c r="T109" i="1"/>
  <c r="P109" i="1"/>
  <c r="L109"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AO107" i="1"/>
  <c r="AR107" i="1" s="1"/>
  <c r="AO106" i="1"/>
  <c r="AR106" i="1" s="1"/>
  <c r="AO105" i="1"/>
  <c r="AS105" i="1" s="1"/>
  <c r="AO104" i="1"/>
  <c r="AR104" i="1" s="1"/>
  <c r="AO103" i="1"/>
  <c r="AS103" i="1" s="1"/>
  <c r="AO102" i="1"/>
  <c r="AS102" i="1" s="1"/>
  <c r="AO101" i="1"/>
  <c r="AS101" i="1" s="1"/>
  <c r="AO100" i="1"/>
  <c r="AS100" i="1" s="1"/>
  <c r="AO99" i="1"/>
  <c r="AR99" i="1" s="1"/>
  <c r="AO98" i="1"/>
  <c r="AS98" i="1" s="1"/>
  <c r="AO97" i="1"/>
  <c r="AS97" i="1" s="1"/>
  <c r="AO96" i="1"/>
  <c r="AS96" i="1" s="1"/>
  <c r="AO95" i="1"/>
  <c r="AS95" i="1" s="1"/>
  <c r="AO94" i="1"/>
  <c r="AS94" i="1" s="1"/>
  <c r="AO93" i="1"/>
  <c r="AS93" i="1" s="1"/>
  <c r="AO92" i="1"/>
  <c r="AS92" i="1" s="1"/>
  <c r="AO91" i="1"/>
  <c r="AS91" i="1" s="1"/>
  <c r="AO90" i="1"/>
  <c r="AR90" i="1" s="1"/>
  <c r="AO89" i="1"/>
  <c r="AR89" i="1" s="1"/>
  <c r="AO88" i="1"/>
  <c r="AS88" i="1" s="1"/>
  <c r="AO87" i="1"/>
  <c r="AR87" i="1" s="1"/>
  <c r="AO86" i="1"/>
  <c r="AR86" i="1" s="1"/>
  <c r="AO85" i="1"/>
  <c r="AR85" i="1" s="1"/>
  <c r="AO84" i="1"/>
  <c r="AS84" i="1" s="1"/>
  <c r="AO83" i="1"/>
  <c r="AS83" i="1" s="1"/>
  <c r="AO82" i="1"/>
  <c r="AS82" i="1" s="1"/>
  <c r="AO81" i="1"/>
  <c r="AS81" i="1" s="1"/>
  <c r="AO80" i="1"/>
  <c r="AS80" i="1" s="1"/>
  <c r="AO79" i="1"/>
  <c r="AR79" i="1" s="1"/>
  <c r="AO78" i="1"/>
  <c r="AS78" i="1" s="1"/>
  <c r="AO77" i="1"/>
  <c r="AR77" i="1" s="1"/>
  <c r="AO76" i="1"/>
  <c r="AS76" i="1" s="1"/>
  <c r="AO75" i="1"/>
  <c r="AS75" i="1" s="1"/>
  <c r="AO74" i="1"/>
  <c r="AS74" i="1" s="1"/>
  <c r="AO73" i="1"/>
  <c r="AS73" i="1" s="1"/>
  <c r="AO72" i="1"/>
  <c r="AS72" i="1" s="1"/>
  <c r="AO71" i="1"/>
  <c r="AR71" i="1" s="1"/>
  <c r="AO70" i="1"/>
  <c r="AR70" i="1" s="1"/>
  <c r="AO69" i="1"/>
  <c r="AR69" i="1" s="1"/>
  <c r="AO68" i="1"/>
  <c r="AS68" i="1" s="1"/>
  <c r="AO67" i="1"/>
  <c r="AR67" i="1" s="1"/>
  <c r="AO66" i="1"/>
  <c r="AS66" i="1" s="1"/>
  <c r="AO65" i="1"/>
  <c r="AS65" i="1" s="1"/>
  <c r="AO64" i="1"/>
  <c r="AS64" i="1" s="1"/>
  <c r="AO63" i="1"/>
  <c r="AS63" i="1" s="1"/>
  <c r="AO62" i="1"/>
  <c r="AS62" i="1" s="1"/>
  <c r="AO61" i="1"/>
  <c r="AS61" i="1" s="1"/>
  <c r="AO60" i="1"/>
  <c r="AS60" i="1" s="1"/>
  <c r="AO59" i="1"/>
  <c r="AR59" i="1" s="1"/>
  <c r="AO58" i="1"/>
  <c r="AS58" i="1" s="1"/>
  <c r="AO57" i="1"/>
  <c r="AS57" i="1" s="1"/>
  <c r="AO56" i="1"/>
  <c r="AS56" i="1" s="1"/>
  <c r="AO55" i="1"/>
  <c r="AS55" i="1" s="1"/>
  <c r="AO54" i="1"/>
  <c r="AS54" i="1" s="1"/>
  <c r="AO53" i="1"/>
  <c r="AS53" i="1" s="1"/>
  <c r="AO52" i="1"/>
  <c r="AS52" i="1" s="1"/>
  <c r="AO51" i="1"/>
  <c r="AS51" i="1" s="1"/>
  <c r="AO50" i="1"/>
  <c r="AR50" i="1" s="1"/>
  <c r="AO49" i="1"/>
  <c r="AR49" i="1" s="1"/>
  <c r="AO48" i="1"/>
  <c r="AS48" i="1" s="1"/>
  <c r="AO47" i="1"/>
  <c r="AR47" i="1" s="1"/>
  <c r="AO46" i="1"/>
  <c r="AS46" i="1" s="1"/>
  <c r="AO45" i="1"/>
  <c r="AS45" i="1" s="1"/>
  <c r="AO44" i="1"/>
  <c r="AS44" i="1" s="1"/>
  <c r="AO43" i="1"/>
  <c r="AS43" i="1" s="1"/>
  <c r="AO42" i="1"/>
  <c r="AS42" i="1" s="1"/>
  <c r="AO41" i="1"/>
  <c r="AS41" i="1" s="1"/>
  <c r="AO40" i="1"/>
  <c r="AS40" i="1" s="1"/>
  <c r="AO39" i="1"/>
  <c r="AR39" i="1" s="1"/>
  <c r="AO38" i="1"/>
  <c r="AS38" i="1" s="1"/>
  <c r="AO37" i="1"/>
  <c r="AS37" i="1" s="1"/>
  <c r="AO36" i="1"/>
  <c r="AS36" i="1" s="1"/>
  <c r="AO35" i="1"/>
  <c r="AR35" i="1" s="1"/>
  <c r="AO34" i="1"/>
  <c r="AS34" i="1" s="1"/>
  <c r="AO33" i="1"/>
  <c r="AS33" i="1" s="1"/>
  <c r="AO32" i="1"/>
  <c r="AS32" i="1" s="1"/>
  <c r="AO31" i="1"/>
  <c r="AR31" i="1" s="1"/>
  <c r="AO30" i="1"/>
  <c r="AR30" i="1" s="1"/>
  <c r="AO29" i="1"/>
  <c r="AR29" i="1" s="1"/>
  <c r="AO28" i="1"/>
  <c r="AS28" i="1" s="1"/>
  <c r="AO27" i="1"/>
  <c r="AR27" i="1" s="1"/>
  <c r="AO26" i="1"/>
  <c r="AR26" i="1" s="1"/>
  <c r="AO25" i="1"/>
  <c r="AS25" i="1" s="1"/>
  <c r="AO24" i="1"/>
  <c r="AS24" i="1" s="1"/>
  <c r="AO23" i="1"/>
  <c r="AS23" i="1" s="1"/>
  <c r="AO22" i="1"/>
  <c r="AS22" i="1" s="1"/>
  <c r="AO21" i="1"/>
  <c r="AS21" i="1" s="1"/>
  <c r="AO20" i="1"/>
  <c r="AS20" i="1" s="1"/>
  <c r="AO19" i="1"/>
  <c r="AR19" i="1" s="1"/>
  <c r="AO18" i="1"/>
  <c r="AR18" i="1" s="1"/>
  <c r="AO17" i="1"/>
  <c r="AS17" i="1" s="1"/>
  <c r="AO16" i="1"/>
  <c r="AS16" i="1" s="1"/>
  <c r="AO15" i="1"/>
  <c r="AS15" i="1" s="1"/>
  <c r="AO14" i="1"/>
  <c r="AS14" i="1" s="1"/>
  <c r="AO13" i="1"/>
  <c r="AS13" i="1" s="1"/>
  <c r="AO12" i="1"/>
  <c r="AS12" i="1" s="1"/>
  <c r="AO11" i="1"/>
  <c r="AS11" i="1" s="1"/>
  <c r="AO10" i="1"/>
  <c r="AR10" i="1" s="1"/>
  <c r="AO9" i="1"/>
  <c r="AR9" i="1" s="1"/>
  <c r="AO8" i="1"/>
  <c r="AS8" i="1" s="1"/>
  <c r="AO7" i="1"/>
  <c r="AR7" i="1" s="1"/>
  <c r="AO6" i="1"/>
  <c r="AR6" i="1" s="1"/>
  <c r="AO5" i="1"/>
  <c r="AS5" i="1" s="1"/>
  <c r="X110" i="1" l="1"/>
  <c r="AB110" i="1"/>
  <c r="AS67" i="1"/>
  <c r="J110" i="1"/>
  <c r="AR92" i="1"/>
  <c r="AM110" i="1"/>
  <c r="AS87" i="1"/>
  <c r="AR76" i="1"/>
  <c r="AS86" i="1"/>
  <c r="AL110" i="1"/>
  <c r="H110" i="1"/>
  <c r="AR52" i="1"/>
  <c r="AR96" i="1"/>
  <c r="AS18" i="1"/>
  <c r="AG110" i="1"/>
  <c r="AR66" i="1"/>
  <c r="N110" i="1"/>
  <c r="AH110" i="1"/>
  <c r="M110" i="1"/>
  <c r="AS69" i="1"/>
  <c r="AR54" i="1"/>
  <c r="AR37" i="1"/>
  <c r="AR36" i="1"/>
  <c r="P110" i="1"/>
  <c r="AR103" i="1"/>
  <c r="AS7" i="1"/>
  <c r="AS26" i="1"/>
  <c r="T110" i="1"/>
  <c r="AR46" i="1"/>
  <c r="AS30" i="1"/>
  <c r="V110" i="1"/>
  <c r="AR81" i="1"/>
  <c r="AS49" i="1"/>
  <c r="W110" i="1"/>
  <c r="AR97" i="1"/>
  <c r="AS9" i="1"/>
  <c r="AR32" i="1"/>
  <c r="AR98" i="1"/>
  <c r="AR34" i="1"/>
  <c r="AR56" i="1"/>
  <c r="AS77" i="1"/>
  <c r="AS89" i="1"/>
  <c r="AR78" i="1"/>
  <c r="AS10" i="1"/>
  <c r="AR24" i="1"/>
  <c r="AR57" i="1"/>
  <c r="AS90" i="1"/>
  <c r="AR44" i="1"/>
  <c r="AR101" i="1"/>
  <c r="AR14" i="1"/>
  <c r="AS47" i="1"/>
  <c r="U110" i="1"/>
  <c r="L110" i="1"/>
  <c r="Z110" i="1"/>
  <c r="AR12" i="1"/>
  <c r="AR58" i="1"/>
  <c r="AS70" i="1"/>
  <c r="AA110" i="1"/>
  <c r="Y110" i="1"/>
  <c r="AS27" i="1"/>
  <c r="AR94" i="1"/>
  <c r="AS50" i="1"/>
  <c r="AR61" i="1"/>
  <c r="AR105" i="1"/>
  <c r="AS6" i="1"/>
  <c r="AR17" i="1"/>
  <c r="AS29" i="1"/>
  <c r="AR74" i="1"/>
  <c r="AN110" i="1"/>
  <c r="AR38" i="1"/>
  <c r="AR84" i="1"/>
  <c r="AS106" i="1"/>
  <c r="G110" i="1"/>
  <c r="AR16" i="1"/>
  <c r="AR72" i="1"/>
  <c r="AO108" i="1"/>
  <c r="AR41" i="1"/>
  <c r="AR64" i="1"/>
  <c r="F110" i="1"/>
  <c r="E229" i="31"/>
  <c r="AI109" i="1" s="1"/>
  <c r="AI110" i="1" s="1"/>
  <c r="I424" i="14"/>
  <c r="R109" i="1" s="1"/>
  <c r="R110" i="1" s="1"/>
  <c r="Q110" i="1"/>
  <c r="AK110" i="1"/>
  <c r="M42" i="11"/>
  <c r="O109" i="1" s="1"/>
  <c r="O110" i="1" s="1"/>
  <c r="E129" i="26"/>
  <c r="AD109" i="1" s="1"/>
  <c r="AD110" i="1" s="1"/>
  <c r="E131" i="27"/>
  <c r="AE109" i="1" s="1"/>
  <c r="AE110" i="1" s="1"/>
  <c r="I110" i="1"/>
  <c r="AC110" i="1"/>
  <c r="F1505" i="28"/>
  <c r="AF109" i="1" s="1"/>
  <c r="AF110" i="1" s="1"/>
  <c r="E238" i="32"/>
  <c r="AJ109" i="1" s="1"/>
  <c r="AJ110" i="1" s="1"/>
  <c r="K110" i="1"/>
  <c r="O117" i="15"/>
  <c r="S109" i="1" s="1"/>
  <c r="S110" i="1" s="1"/>
  <c r="AS85" i="1"/>
  <c r="AR13" i="1"/>
  <c r="AR33" i="1"/>
  <c r="AR53" i="1"/>
  <c r="AR73" i="1"/>
  <c r="AR93" i="1"/>
  <c r="E159" i="28"/>
  <c r="F159" i="28" s="1"/>
  <c r="E1194" i="28"/>
  <c r="F1194" i="28" s="1"/>
  <c r="AS31" i="1"/>
  <c r="AS104" i="1"/>
  <c r="AR20" i="1"/>
  <c r="AR40" i="1"/>
  <c r="AR60" i="1"/>
  <c r="AR80" i="1"/>
  <c r="AR100" i="1"/>
  <c r="AS71" i="1"/>
  <c r="AS19" i="1"/>
  <c r="AS39" i="1"/>
  <c r="AS59" i="1"/>
  <c r="AS79" i="1"/>
  <c r="AS99" i="1"/>
  <c r="B254" i="28"/>
  <c r="AR68" i="1"/>
  <c r="AR8" i="1"/>
  <c r="AR28" i="1"/>
  <c r="AR48" i="1"/>
  <c r="F1022" i="28"/>
  <c r="AR55" i="1"/>
  <c r="AR75" i="1"/>
  <c r="AR95" i="1"/>
  <c r="B247" i="28"/>
  <c r="E1023" i="28"/>
  <c r="F1023" i="28" s="1"/>
  <c r="E1177" i="28"/>
  <c r="F1177" i="28" s="1"/>
  <c r="AR21" i="1"/>
  <c r="AR15" i="1"/>
  <c r="AS107" i="1"/>
  <c r="AS35" i="1"/>
  <c r="AR42" i="1"/>
  <c r="AR62" i="1"/>
  <c r="AR82" i="1"/>
  <c r="AR102" i="1"/>
  <c r="AR88" i="1"/>
  <c r="F1176" i="28"/>
  <c r="AR22" i="1"/>
  <c r="AR43" i="1"/>
  <c r="AR63" i="1"/>
  <c r="AR83" i="1"/>
  <c r="AR23" i="1"/>
  <c r="AR11" i="1"/>
  <c r="AR51" i="1"/>
  <c r="AR91" i="1"/>
  <c r="E1181" i="28"/>
  <c r="F1181" i="28" s="1"/>
  <c r="AR5" i="1"/>
  <c r="AR25" i="1"/>
  <c r="AR45" i="1"/>
  <c r="AR65" i="1"/>
  <c r="AO109" i="1" l="1"/>
  <c r="AO110" i="1"/>
</calcChain>
</file>

<file path=xl/sharedStrings.xml><?xml version="1.0" encoding="utf-8"?>
<sst xmlns="http://schemas.openxmlformats.org/spreadsheetml/2006/main" count="36439" uniqueCount="10992">
  <si>
    <t>Facultate:</t>
  </si>
  <si>
    <t>INGINERIE</t>
  </si>
  <si>
    <t>Personal didactic: 1600
Cercetători titulari: 1800 din care min IC excelență
As cercetare: 450
CS III: 900
CS II: 1350
CS I: 1800</t>
  </si>
  <si>
    <r>
      <rPr>
        <sz val="11"/>
        <color theme="1"/>
        <rFont val="Calibri"/>
      </rPr>
      <t xml:space="preserve">Galben = OK
</t>
    </r>
    <r>
      <rPr>
        <sz val="11"/>
        <color rgb="FFFF0000"/>
        <rFont val="Calibri"/>
      </rPr>
      <t>Rosu = ATENTIE</t>
    </r>
  </si>
  <si>
    <r>
      <rPr>
        <sz val="11"/>
        <color theme="1"/>
        <rFont val="Calibri"/>
      </rPr>
      <t xml:space="preserve">Galben = OK
</t>
    </r>
    <r>
      <rPr>
        <sz val="11"/>
        <color rgb="FFFF0000"/>
        <rFont val="Calibri"/>
      </rPr>
      <t>Rosu = ATENTIE</t>
    </r>
  </si>
  <si>
    <t>Nr. crt.</t>
  </si>
  <si>
    <t>Numele și prenumele</t>
  </si>
  <si>
    <t>Cod Departament</t>
  </si>
  <si>
    <t>Grad didactic/
de cercetare la 01.01.2022</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</si>
  <si>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</si>
  <si>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</si>
  <si>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</si>
  <si>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</si>
  <si>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</si>
  <si>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</si>
  <si>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</si>
  <si>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</si>
  <si>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</si>
  <si>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</si>
  <si>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</si>
  <si>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</si>
  <si>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</si>
  <si>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</si>
  <si>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</si>
  <si>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</si>
  <si>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</si>
  <si>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</si>
  <si>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</si>
  <si>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</si>
  <si>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</si>
  <si>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</si>
  <si>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</si>
  <si>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</si>
  <si>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</si>
  <si>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</si>
  <si>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</si>
  <si>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</si>
  <si>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</si>
  <si>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</si>
  <si>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</si>
  <si>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</si>
  <si>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</si>
  <si>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</si>
  <si>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</si>
  <si>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</si>
  <si>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</si>
  <si>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</si>
  <si>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</si>
  <si>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</si>
  <si>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</si>
  <si>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BĂDESCU Mircea</t>
  </si>
  <si>
    <t>FING3</t>
  </si>
  <si>
    <t>Prof</t>
  </si>
  <si>
    <t>BARB Carmen</t>
  </si>
  <si>
    <t>Șl</t>
  </si>
  <si>
    <t>BEJU Livia Dana</t>
  </si>
  <si>
    <t>BIBU Marius</t>
  </si>
  <si>
    <t>BONDREA Ioan</t>
  </si>
  <si>
    <t>BRATU MIHAELA</t>
  </si>
  <si>
    <t>BRĂNESCU HORIA</t>
  </si>
  <si>
    <t>Asist</t>
  </si>
  <si>
    <t xml:space="preserve">BUTĂNESCU – VOLANIN Remus </t>
  </si>
  <si>
    <t>Lect</t>
  </si>
  <si>
    <t>CIOCA Lucian</t>
  </si>
  <si>
    <t>CIOCA Marius</t>
  </si>
  <si>
    <t xml:space="preserve">CIOFU Cristian Florin </t>
  </si>
  <si>
    <t>COFARU Nicolae Florin</t>
  </si>
  <si>
    <t>DAN Nicoleta</t>
  </si>
  <si>
    <t>DEAC Cristian</t>
  </si>
  <si>
    <t>Conf</t>
  </si>
  <si>
    <t>DENEŞ Călin Ionel</t>
  </si>
  <si>
    <t>DOBROTĂ Dan</t>
  </si>
  <si>
    <t>DUMITRAŞCU BALDAU Iulia</t>
  </si>
  <si>
    <t>DUMITRAŞCU Dănuţ-Dumitru</t>
  </si>
  <si>
    <t>FĂLĂDĂU Alina</t>
  </si>
  <si>
    <t>FLEISCHER Wiegand</t>
  </si>
  <si>
    <t>FOIDAŞ Ion</t>
  </si>
  <si>
    <t>GRECU Valentin</t>
  </si>
  <si>
    <t>INŢĂ Marinela</t>
  </si>
  <si>
    <t>ISARIE Claudiu Laurenţiu</t>
  </si>
  <si>
    <t>KIFOR Claudiu</t>
  </si>
  <si>
    <t>LOBONŢ Lucian</t>
  </si>
  <si>
    <t>LUPU Diana</t>
  </si>
  <si>
    <t>MIRICESCU Dan</t>
  </si>
  <si>
    <t>MORARU Gina</t>
  </si>
  <si>
    <t>MUȚIU CĂLIN</t>
  </si>
  <si>
    <t>OLEKSIK Mihaela</t>
  </si>
  <si>
    <t>PETRUSE Radu Emanuil</t>
  </si>
  <si>
    <t>PÎRVU Bogdan</t>
  </si>
  <si>
    <t>POPA Daniela</t>
  </si>
  <si>
    <t>POPESCU Liliana</t>
  </si>
  <si>
    <t>PRODEA Laurenţiu</t>
  </si>
  <si>
    <t>PURCAR Carmen</t>
  </si>
  <si>
    <t>ROŞCA Liviu Ion</t>
  </si>
  <si>
    <t>ROŞCA Nicolae</t>
  </si>
  <si>
    <t>ROTARU Mihaela</t>
  </si>
  <si>
    <t>ROTARU Ionela</t>
  </si>
  <si>
    <t>SĂVESCU Roxana</t>
  </si>
  <si>
    <t>SIMION Carmen Mihaela</t>
  </si>
  <si>
    <t>STOICA Augustin</t>
  </si>
  <si>
    <t>ŞTEŢIU Mircea</t>
  </si>
  <si>
    <t>TARNU Lucian</t>
  </si>
  <si>
    <t>ŢÎŢU Mihail</t>
  </si>
  <si>
    <t>ZERBEŞ Mihai Victor</t>
  </si>
  <si>
    <t>Breaz Radu</t>
  </si>
  <si>
    <t>FING4</t>
  </si>
  <si>
    <t>prof.dr.ing. – conducător de doctorat</t>
  </si>
  <si>
    <t>Florea Adriana</t>
  </si>
  <si>
    <t>prof.dr.ing.</t>
  </si>
  <si>
    <t>Florea Radu</t>
  </si>
  <si>
    <t>Manolea Daniel</t>
  </si>
  <si>
    <t>Oleksik Valentin</t>
  </si>
  <si>
    <t>Pascu Adrian-Marius</t>
  </si>
  <si>
    <t>Racz Sever Gabriel</t>
  </si>
  <si>
    <t>Avrigean Eugen</t>
  </si>
  <si>
    <t>conf.dr.ing. – conducător de doctorat</t>
  </si>
  <si>
    <t xml:space="preserve">Chicea Anca </t>
  </si>
  <si>
    <t>conf.dr.ing.</t>
  </si>
  <si>
    <t>Coman Diana</t>
  </si>
  <si>
    <t>Girjob Claudia Emilia</t>
  </si>
  <si>
    <t>Popp Ilie Octavian</t>
  </si>
  <si>
    <t>Biris Cristina-Maria</t>
  </si>
  <si>
    <t>s.l.dr.ing.</t>
  </si>
  <si>
    <t>Brad Raluca Irina</t>
  </si>
  <si>
    <t>Chiliban Bogdan</t>
  </si>
  <si>
    <t>Coldea Alina</t>
  </si>
  <si>
    <t>Crenganis Mihai</t>
  </si>
  <si>
    <t>Dumitrascu Oana</t>
  </si>
  <si>
    <t>Florea Marin</t>
  </si>
  <si>
    <t>Iridon Anca Madalina</t>
  </si>
  <si>
    <t>Matran Cristian</t>
  </si>
  <si>
    <t>Soare Sorin</t>
  </si>
  <si>
    <t>Burghelea Melania</t>
  </si>
  <si>
    <t>Vlad Dorin</t>
  </si>
  <si>
    <t>Vrinceanu Narcisa</t>
  </si>
  <si>
    <t>Bârsan Alexandru </t>
  </si>
  <si>
    <t>asist.drd.ing.</t>
  </si>
  <si>
    <t>Maroșan Iosif Adrian</t>
  </si>
  <si>
    <t>Morariu Fineas</t>
  </si>
  <si>
    <t>Băiașu-Petrașcu Olivia-Laura</t>
  </si>
  <si>
    <t>BACIU RODICA</t>
  </si>
  <si>
    <t>FING2</t>
  </si>
  <si>
    <t>BOGDAN MIHAI</t>
  </si>
  <si>
    <t>BOULEANU IULIAN</t>
  </si>
  <si>
    <t>Lector/SL</t>
  </si>
  <si>
    <t>BRAD REMUS OVIDIU</t>
  </si>
  <si>
    <t>BREAZU MACARIE</t>
  </si>
  <si>
    <t>BUTEAN VASILE ALEXANDRU</t>
  </si>
  <si>
    <t>CHIS RADU</t>
  </si>
  <si>
    <t>Asistent universitar</t>
  </si>
  <si>
    <t>CIUREA STELIAN</t>
  </si>
  <si>
    <t>COFARU ILEANA IOANA</t>
  </si>
  <si>
    <t>CRACIUNAS GABRIELA</t>
  </si>
  <si>
    <t>CRACIUNEAN DANIEL CRISTIAN</t>
  </si>
  <si>
    <t>CRETULESCU RADU-GEORGE</t>
  </si>
  <si>
    <t>DOROBANTIU ALEXANDRU</t>
  </si>
  <si>
    <t>FLOREA ADRIAN</t>
  </si>
  <si>
    <t>GELLERT ARPAD</t>
  </si>
  <si>
    <t>ILIE CONSTANTIN-BERILIU</t>
  </si>
  <si>
    <t>MORARIU IONEL DANIEL</t>
  </si>
  <si>
    <t>NEGHINA ELENA CATALINA</t>
  </si>
  <si>
    <t>NEGHINA MIHAI</t>
  </si>
  <si>
    <t>PANU MIHAI GHEORGHE</t>
  </si>
  <si>
    <t>PITIC ANTONIU-GABRIEL</t>
  </si>
  <si>
    <t>SPATARI OVIDIU NICOLAE</t>
  </si>
  <si>
    <t>VINTAN MARIA</t>
  </si>
  <si>
    <t>VIOREL ALINA CRISTINA</t>
  </si>
  <si>
    <t>VOLOVICI DANIEL</t>
  </si>
  <si>
    <t>ZAMFIRESCU BALA CONSTANTIN</t>
  </si>
  <si>
    <t>TOTAL</t>
  </si>
  <si>
    <t>TOTAL din baza 
(I1 ...I20)</t>
  </si>
  <si>
    <t>Diferenta total-total baza</t>
  </si>
  <si>
    <r>
      <rPr>
        <sz val="11"/>
        <color theme="1"/>
        <rFont val="Calibri"/>
      </rPr>
      <t xml:space="preserve">Galben = OK
</t>
    </r>
    <r>
      <rPr>
        <sz val="11"/>
        <color rgb="FFFF0000"/>
        <rFont val="Calibri"/>
      </rPr>
      <t>Rosu = ATENTIE</t>
    </r>
  </si>
  <si>
    <t>Numar cadre didactice și de cercetare centralizator facultate:</t>
  </si>
  <si>
    <t>Numar cadre didactice și de cercetare verficate:</t>
  </si>
  <si>
    <t>Diferenta:</t>
  </si>
  <si>
    <r>
      <rPr>
        <sz val="11"/>
        <color theme="1"/>
        <rFont val="Calibri"/>
      </rPr>
      <t xml:space="preserve">Galben = OK
</t>
    </r>
    <r>
      <rPr>
        <sz val="11"/>
        <color rgb="FFFF0000"/>
        <rFont val="Calibri"/>
      </rPr>
      <t>Rosu = ATENTIE</t>
    </r>
  </si>
  <si>
    <t>Asistent cercetare</t>
  </si>
  <si>
    <t>CS III</t>
  </si>
  <si>
    <t>CS II</t>
  </si>
  <si>
    <t>CS I</t>
  </si>
  <si>
    <t>CD</t>
  </si>
  <si>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</si>
  <si>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</si>
  <si>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</si>
  <si>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</si>
  <si>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</si>
  <si>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</si>
  <si>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sz val="10"/>
        <color theme="1"/>
        <rFont val="Arial Narrow"/>
      </rPr>
      <t xml:space="preserve">* </t>
    </r>
    <r>
      <rPr>
        <b/>
        <sz val="10"/>
        <color theme="1"/>
        <rFont val="Arial Narrow"/>
      </rPr>
      <t xml:space="preserve">Punctaje de referință:                                                                                                                                                                                                                                                                                                          
</t>
    </r>
    <r>
      <rPr>
        <sz val="10"/>
        <color theme="1"/>
        <rFont val="Arial Narrow"/>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b/>
        <sz val="10"/>
        <color theme="1"/>
        <rFont val="Arial Narrow"/>
      </rPr>
      <t>Drept</t>
    </r>
    <r>
      <rPr>
        <sz val="10"/>
        <color theme="1"/>
        <rFont val="Arial Narrow"/>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</si>
  <si>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</si>
  <si>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</si>
  <si>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</si>
  <si>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</si>
  <si>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</si>
  <si>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</si>
  <si>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</si>
  <si>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</si>
  <si>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</si>
  <si>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</si>
  <si>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</si>
  <si>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</si>
  <si>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</si>
  <si>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</si>
  <si>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</si>
  <si>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</si>
  <si>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</si>
  <si>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</si>
  <si>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</si>
  <si>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</si>
  <si>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</si>
  <si>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</si>
  <si>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</si>
  <si>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A Narrative Review of the Link between Sport and Technology</t>
  </si>
  <si>
    <t>Delia Bădescu (Lucian Blaga University of Sibiu), Nicoleta Zaharie (Lucian Blaga University of Sibiu), Iulian Stoian (Lucian Blaga University of Sibiu Sibiu), Mircea Bădescu (Lucian Blaga University of Sibiu) andCristian Stanciu (University of Craiova)</t>
  </si>
  <si>
    <t>Sustainability</t>
  </si>
  <si>
    <t>14(23)</t>
  </si>
  <si>
    <t>ISSN: 2071-1050</t>
  </si>
  <si>
    <t>https://www.mdpi.com/2071-1050/14/23/16265</t>
  </si>
  <si>
    <t>https://doi.org/10.3390/su142316265</t>
  </si>
  <si>
    <t>WOS:000896308400001</t>
  </si>
  <si>
    <t>Q2</t>
  </si>
  <si>
    <t>Badescu Mircea</t>
  </si>
  <si>
    <t>A specialized software for manage the Hallux-Valgus deviations and the afferent treatments</t>
  </si>
  <si>
    <t>Andrei Horia BRĂNESCU (ULBS), Ileana Ioana COFARU (ULBS), Vlad George COFARU (2Grab Chronos S.R.L), Nicolae Florin COFARU (ULBS)</t>
  </si>
  <si>
    <t>ACADEMIC JOURNAL OF MANUFACTURING ENGINEERING</t>
  </si>
  <si>
    <t>4/2022</t>
  </si>
  <si>
    <t>1583-7904</t>
  </si>
  <si>
    <t>https://www.scopus.com/record/display.uri?eid=2-s2.0-85145896903&amp;origin=resultslist&amp;sort=plf-f</t>
  </si>
  <si>
    <t>https://www.ajme.ro/index.php</t>
  </si>
  <si>
    <t>12-18</t>
  </si>
  <si>
    <t>SCOPUS</t>
  </si>
  <si>
    <t>Branescu Horia</t>
  </si>
  <si>
    <t>A Computer-Assisted Approach Regarding the
Optimization of the Geometrical Planning of
Medial Opening Wedge High Tibial Osteotomy</t>
  </si>
  <si>
    <t>Ileana Ioana Cofaru (ULBS), Mihaela Oleksik (ULBS), Nicolae Florin Cofaru (ULBS), Andrei Horia Brănescu (ULBS), Adrian Hașegan (ULBS), Mihai Dan Roman (ULBS), Sorin Radu Fleacă (ULBS), Robert Daniel DOBROTĂ (Spitalul Universitar de Urgenţă Militar Central “Dr. Carol Davila”)</t>
  </si>
  <si>
    <t>Applied Sciences - Special Issue Biomechanical and Biomedical Factors of Knee Osteoarthritis</t>
  </si>
  <si>
    <t>2076-3417</t>
  </si>
  <si>
    <t>https://www.scopus.com/record/display.uri?eid=2-s2.0-85134369002&amp;origin=resultslist&amp;sort=plf-f&amp;src=s&amp;sid=a7c1579d7fe80d4846d9e06909bfbfce&amp;sot=b&amp;sdt=b&amp;s=TITLE-ABS-KEY%28%22A+Computer-Assisted+Approach+Regarding+the+Optimization+of+the+Geometrical+Planning+of+Medial+Opening+Wedge+High+Tibial+Osteotomy%22%29&amp;sl=146&amp;sessionSearchId=a7c1579d7fe80d4846d9e06909bfbfce</t>
  </si>
  <si>
    <t>https://www.mdpi.com/2076-3417/12/13/6636</t>
  </si>
  <si>
    <t>10.3390/app12136636</t>
  </si>
  <si>
    <t>WOS:000822293000001</t>
  </si>
  <si>
    <t>Achieving green innovation and sustainable development goals through green knowledge management: Moderating role of organizational green culture</t>
  </si>
  <si>
    <t>Wang, SW (China); Abbas, J (Pakistan); Sial, MS (Pakistan); Alvarez-Otero, S (Spania) ; Cioca, LI</t>
  </si>
  <si>
    <t>JOURNAL OF INNOVATION &amp; KNOWLEDGE</t>
  </si>
  <si>
    <t>2530-7614</t>
  </si>
  <si>
    <t>https://www.webofscience.com/wos/woscc/full-record/WOS:000868786400008</t>
  </si>
  <si>
    <t>https://www.sciencedirect.com/science/article/pii/S2444569X2200107X</t>
  </si>
  <si>
    <t>10.1016/j.jik.2022.100272</t>
  </si>
  <si>
    <t>1-9</t>
  </si>
  <si>
    <t>Q1</t>
  </si>
  <si>
    <t>Cioca Lucian</t>
  </si>
  <si>
    <t>Factors Influencing Consumer Behavior toward Green Products: A Systematic Literature Review</t>
  </si>
  <si>
    <t>Barbu, A; Catana, SA; Deselnicu, DC; Cioca, LI; Ioanid, A</t>
  </si>
  <si>
    <t>INTERNATIONAL JOURNAL OF ENVIRONMENTAL RESEARCH AND PUBLIC HEALTH</t>
  </si>
  <si>
    <t>1660-4601</t>
  </si>
  <si>
    <t>https://www.webofscience.com/wos/woscc/full-record/WOS:000902493300001</t>
  </si>
  <si>
    <t>https://www.mdpi.com/1660-4601/19/24/16568</t>
  </si>
  <si>
    <t>10.3390/ijerph192416568</t>
  </si>
  <si>
    <t>1-18</t>
  </si>
  <si>
    <t>Screening of Factors for Assessing the Environmental and Economic Efficiency of Investment Projects in the Energy Sector</t>
  </si>
  <si>
    <t>Karaeva, AP (Rusia); Magaril, ER (Rusia); Kiselev, AV (Rusia); Cioca, LI</t>
  </si>
  <si>
    <t>https://www.webofscience.com/wos/woscc/full-record/WOS:000856495600001</t>
  </si>
  <si>
    <t>https://www.mdpi.com/1660-4601/19/18/11716</t>
  </si>
  <si>
    <t>10.3390/ijerph191811716</t>
  </si>
  <si>
    <t>1-21</t>
  </si>
  <si>
    <t>Consumers in the Circular Economy: A Path Analysis of the Underlying Factors of Purchasing Behaviour</t>
  </si>
  <si>
    <t>Szilagyi, A; Cioca, LI; Bacali, L; Lakatos, ES; Birgovan, AL</t>
  </si>
  <si>
    <t>https://www.webofscience.com/wos/woscc/full-record/WOS:000857692700001</t>
  </si>
  <si>
    <t>https://www.mdpi.com/1660-4601/19/18/11333</t>
  </si>
  <si>
    <t>10.3390/ijerph191811333</t>
  </si>
  <si>
    <t>1-12</t>
  </si>
  <si>
    <t>How Should We Measure? A Review of Circular Cities Indicators</t>
  </si>
  <si>
    <t>Birgovan, AL; Lakatos, ES; Szilagyi, A; Cioca, LI; Pacurariu, RL; Ciobanu, G; Rada, EC (Italia)</t>
  </si>
  <si>
    <t>https://www.webofscience.com/wos/woscc/full-record/WOS:000794689400001</t>
  </si>
  <si>
    <t>https://www.mdpi.com/1660-4601/19/9/5177</t>
  </si>
  <si>
    <t>10.3390/ijerph19095177</t>
  </si>
  <si>
    <t>1-16</t>
  </si>
  <si>
    <t>Enabling the Circular Economy Transition in Organizations: A Moderated Mediation Model</t>
  </si>
  <si>
    <t>Birgovan, AL; Vatca, SD; Bacali, L; Szilagyi, A; Lakatos, ES; Cioca, LI; Ciobanu, G</t>
  </si>
  <si>
    <t>https://www.webofscience.com/wos/woscc/full-record/WOS:000758396600001</t>
  </si>
  <si>
    <t>https://www.mdpi.com/1660-4601/19/2/677</t>
  </si>
  <si>
    <t>10.3390/ijerph19020677</t>
  </si>
  <si>
    <t>1-10</t>
  </si>
  <si>
    <t>A Systematic Review on Biosurfactants Contribution to the Transition to a Circular Economy</t>
  </si>
  <si>
    <t>Lakatos, ES; Cioca, LI; Szilagyi, A; Vladu, MG; Stoica, RM; Moscovici, M</t>
  </si>
  <si>
    <t>Processes</t>
  </si>
  <si>
    <t>2227-9717</t>
  </si>
  <si>
    <t>https://www.webofscience.com/wos/woscc/full-record/WOS:000904239800001</t>
  </si>
  <si>
    <t>https://www.mdpi.com/2227-9717/10/12/2647</t>
  </si>
  <si>
    <t>10.3390/pr10122647</t>
  </si>
  <si>
    <t>The Macroeconomic Implications of the Transition of the Forestry Industry towards Bioeconomy</t>
  </si>
  <si>
    <t>Artene, AE; Cioca, LI; Domil, AE; Ivascu, L; Burca, V; Bogdan, O</t>
  </si>
  <si>
    <t>Forests</t>
  </si>
  <si>
    <t>1999-4907</t>
  </si>
  <si>
    <t>https://www.webofscience.com/wos/woscc/full-record/WOS:000894903400001</t>
  </si>
  <si>
    <t>https://www.mdpi.com/1999-4907/13/11/1961</t>
  </si>
  <si>
    <t>10.3390/f13111961</t>
  </si>
  <si>
    <t>1-25</t>
  </si>
  <si>
    <t>The interplay between leaders' personality traits and mentoring quality and their impact on mentees' job satisfaction and job performance</t>
  </si>
  <si>
    <t>Kumari, K (Pakistan); Ali, SB (Pakistan); Batool, M (Pakistan); Cioca, LI; Abbas, J (Pakistan)</t>
  </si>
  <si>
    <t>FRONTIERS IN PSYCHOLOGY</t>
  </si>
  <si>
    <t>1664-1078</t>
  </si>
  <si>
    <t>https://www.webofscience.com/wos/woscc/full-record/WOS:000892702000001</t>
  </si>
  <si>
    <t>https://www.frontiersin.org/articles/10.3389/fpsyg.2022.937470/full</t>
  </si>
  <si>
    <t>10.3389/fpsyg.2022.937470</t>
  </si>
  <si>
    <t>1-14</t>
  </si>
  <si>
    <t>The role of E-Learning generated by the COVID-19 epidemic in higher education</t>
  </si>
  <si>
    <t>Breaz, T. O. ; Fulop, M. T. ; Cioca, L., I</t>
  </si>
  <si>
    <t>INTERNATIONAL JOURNAL OF COMPUTERS COMMUNICATIONS &amp; CONTROL</t>
  </si>
  <si>
    <t>1841-9844</t>
  </si>
  <si>
    <t>https://www.webofscience.com/wos/woscc/full-record/WOS:000869482700004</t>
  </si>
  <si>
    <t>https://univagora.ro/jour/index.php/ijccc/article/view/4854</t>
  </si>
  <si>
    <t>10.15837/ijccc.2022.5.4854</t>
  </si>
  <si>
    <t>Q3</t>
  </si>
  <si>
    <t>Assessment of Organic Carbon Sequestration from Romanian Degraded Soils: Livada Forest Plantation Case Study</t>
  </si>
  <si>
    <t>Chirilus, GV; Lakatos, ES; Bslc, R; Badarau, AS; Cioca, LI; David, GM; Rosian, G</t>
  </si>
  <si>
    <t>ATMOSPHERE</t>
  </si>
  <si>
    <t>2073-4433</t>
  </si>
  <si>
    <t>https://www.webofscience.com/wos/woscc/full-record/WOS:000858039400001</t>
  </si>
  <si>
    <t>https://www.mdpi.com/2073-4433/13/9/1452</t>
  </si>
  <si>
    <t>10.3390/atmos13091452</t>
  </si>
  <si>
    <t>EXPLORING THE SOCIAL SUSTAINABILITY OF RUBBER FARMERS - INDIVIDUAL FARMERS PERSPECTIVE</t>
  </si>
  <si>
    <t>Nuanphromsakul, K (Tailanda); Cioca, LI; Chaveesuk, S (Tailanda); Chaiyasoonthorn, W (Tailanda)</t>
  </si>
  <si>
    <t>INMATEH-AGRICULTURAL ENGINEERING</t>
  </si>
  <si>
    <t>2068-2239</t>
  </si>
  <si>
    <t>https://www.webofscience.com/wos/woscc/full-record/WOS:000913381000020</t>
  </si>
  <si>
    <t>https://inmateh.eu/volumes/volume-68--no3-2022/exploring-the-social-sustainability-of-rubber-farmers--individual-farmers-perspective/</t>
  </si>
  <si>
    <t>10.35633/inmateh-68-29</t>
  </si>
  <si>
    <t>295-304</t>
  </si>
  <si>
    <t>TEACHING STRATEGIES AND STUDENT'S ACADEMIC PERFORMANCE IN AGRICULTURE STUDIES: THE MEDIATING EFFECT OF TEACHER'S SELF- EFFICACY</t>
  </si>
  <si>
    <t>Sarfraz, M (China); Vladut, NV; Cioca, LI; Ivascu, L</t>
  </si>
  <si>
    <t>https://www.webofscience.com/wos/woscc/full-record/WOS:000907185300001,</t>
  </si>
  <si>
    <t>https://inmateh.eu/volumes/volume-68--no3-2022/teaching-strategies-and-student-academic-performance-in-agriculture-studies-the-mediating-effect/</t>
  </si>
  <si>
    <t>10.35633/inmateh-68-76</t>
  </si>
  <si>
    <t>767-780</t>
  </si>
  <si>
    <t>Relationship between Corporate Social Responsibility, Organizational Trust, and Corporate Reputation for Sustainable Performance</t>
  </si>
  <si>
    <t>Yan, XF (China); Espinosa-Cristia, JF (Chile); Kumari, K (Pakistan); Cioca, LI</t>
  </si>
  <si>
    <t>2071-1050</t>
  </si>
  <si>
    <t>https://www.webofscience.com/wos/woscc/full-record/WOS:000831967800001</t>
  </si>
  <si>
    <t>https://www.mdpi.com/2071-1050/14/14/8737</t>
  </si>
  <si>
    <t>10.3390/su14148737</t>
  </si>
  <si>
    <t>1-15</t>
  </si>
  <si>
    <t>Does Servant Leadership Promote Emotional Intelligence and Organizational Citizenship Behavior among Employees? A Structural Analysis</t>
  </si>
  <si>
    <t>Kumari, K (Pakistan); Abbas, J (Pakistan); Hwang, J (Coreea de Sud); Cioca, LI</t>
  </si>
  <si>
    <t>https://www.webofscience.com/wos/woscc/full-record/WOS:000795272300001</t>
  </si>
  <si>
    <t>https://www.mdpi.com/2071-1050/14/9/5231</t>
  </si>
  <si>
    <t>10.3390/su14095231</t>
  </si>
  <si>
    <t>Environmental Regulations and CO2 Mitigation for Sustainability: Panel Data Analysis (PMG, CCEMG) for BRICS Nations</t>
  </si>
  <si>
    <t>Sarfraz, M (China); Ivascu, L; Cioca, LI</t>
  </si>
  <si>
    <t>https://www.webofscience.com/wos/woscc/full-record/WOS:000743124200001</t>
  </si>
  <si>
    <t>https://www.mdpi.com/2071-1050/14/1/72</t>
  </si>
  <si>
    <t>10.3390/su14010072</t>
  </si>
  <si>
    <t>A System for Sustainable Usage of Computing Resources Leveraging Deep Learning Predictions</t>
  </si>
  <si>
    <t>Cioca, M.; Schuszter, I.C. (UPeT)</t>
  </si>
  <si>
    <t>APPLIED SCIENCES-BASEL</t>
  </si>
  <si>
    <t>https://www.webofscience.com/wos/woscc/full-record/WOS:000850985000001</t>
  </si>
  <si>
    <t>https://www.mdpi.com/2076-3417/12/17/8411</t>
  </si>
  <si>
    <t>DOI10.3390/app12178411</t>
  </si>
  <si>
    <t>WOS:000850985000001</t>
  </si>
  <si>
    <t>1-20</t>
  </si>
  <si>
    <t>Cioca Marius</t>
  </si>
  <si>
    <t>An Interpretable Framework for an Efficient Analysis of Students' Academic Performance</t>
  </si>
  <si>
    <t>Gligorea, I (AFT); Yaseen, MU (Pakistan); Cioca, M; Gorski, H (AFT); Oancea, R (AFT)</t>
  </si>
  <si>
    <t>SUSTAINABILITY</t>
  </si>
  <si>
    <t>https://www.webofscience.com/wos/woscc/full-record/WOS:000833350900001</t>
  </si>
  <si>
    <t>https://www.mdpi.com/2071-1050/14/14/8885</t>
  </si>
  <si>
    <t>DOI10.3390/su14148885</t>
  </si>
  <si>
    <t>WOS:000833350900001</t>
  </si>
  <si>
    <t>Towards Efficient Prediction of Computing Resource Usage Using Deep Learning Techniques</t>
  </si>
  <si>
    <t>Schuszter, I.C. (UPeT), Cioca, M.</t>
  </si>
  <si>
    <t>https://www.scopus.com/record/display.uri?eid=2-s2.0-85141707658&amp;origin=resultslist&amp;sort=plf-f&amp;src=s&amp;sid=03c03f2018fb17334a5ca0171615debe&amp;sot=a&amp;sdt=a&amp;s=AU-ID%2855888486300%29+AND+PUBYEAR+IS+2022&amp;sl=38&amp;sessionSearchId=03c03f2018fb17334a5ca0171615debe</t>
  </si>
  <si>
    <t>DOI
10.1109/SACI55618.2022.9919541</t>
  </si>
  <si>
    <t>227-232</t>
  </si>
  <si>
    <t>16th IEEE International Symposium on Applied Computational Intelligence and Informatics, SACI 2022</t>
  </si>
  <si>
    <t>Timisoara</t>
  </si>
  <si>
    <t>978-166548125-0</t>
  </si>
  <si>
    <t>Geometrical Planning of the Medial Opening Wedge High Tibial Osteotomy-An Experimental Approach</t>
  </si>
  <si>
    <t>Cofaru, N.F.; Oleksik, V.; Cofaru, I.I.; Simion, C.M.; Roman, M.D.; Lebada, I.C.; Fleaca, S.R</t>
  </si>
  <si>
    <t>Appl. Sci. 2022, 12, 2475. https://doi.org/10.3390/app12052475</t>
  </si>
  <si>
    <t>12(5)</t>
  </si>
  <si>
    <t xml:space="preserve">2076-3417 </t>
  </si>
  <si>
    <t>https://1510q6er5-y-https-www-webofscience-com.z.e-nformation.ro/wos/woscc/full-record/WOS:000771333700001</t>
  </si>
  <si>
    <t>https://www.mdpi.com/2076-3417/12/5/2475</t>
  </si>
  <si>
    <t>https://doi.org/10.3390/app12052475</t>
  </si>
  <si>
    <t>WOS::000771333700001</t>
  </si>
  <si>
    <t>Cofaru Nicolae</t>
  </si>
  <si>
    <t>A Computer-Assisted Approach Regarding the Optimization of the Geometrical Planning of Medial Opening Wedge High Tibial Osteotomy</t>
  </si>
  <si>
    <t>Cofaru, Ileana Ioana; Oleksik, Mihaela; Cofaru, Nicolae Florin; Branescu, Andrei Horia; Hasegan, Adrian; Roman, Mihai Dan; Fleaca, Sorin Radu; Dobrota, Robert Daniel</t>
  </si>
  <si>
    <t xml:space="preserve">Appl. Sci. 2022, 12(13), 6636; </t>
  </si>
  <si>
    <t>12(13)</t>
  </si>
  <si>
    <t>https://1510q6er5-y-https-www-webofscience-com.z.e-nformation.ro/wos/woscc/full-record/WOS:000822293000001</t>
  </si>
  <si>
    <t>https://doi.org/10.3390/app12136636</t>
  </si>
  <si>
    <t>A SPECIALIZED SOFTWARE FOR MANAGE THE HALLUX-VALGUS DEVIATIONS AND THE AFFERENT TREATMENTS</t>
  </si>
  <si>
    <t>Branescu, A.H., Cofaru, I.I., Cofaru, V.G., Cofaru, N.F</t>
  </si>
  <si>
    <t xml:space="preserve">Academic Journal of Manufacturing Engineering </t>
  </si>
  <si>
    <t xml:space="preserve">VOL. 20  </t>
  </si>
  <si>
    <t>ISSUE  4  /2022</t>
  </si>
  <si>
    <t>https://151096erx-y-https-www-scopus-com.z.e-nformation.ro/record/display.uri?eid=2-s2.0-85145896903&amp;origin=resultslist&amp;sort=plf-f&amp;src=s&amp;sid=3faae4dfe6884a9b71396602ec3caeef&amp;sot=b&amp;sdt=b&amp;s=AUTHOR-NAME%28COFARU+N*%29&amp;sl=22&amp;sessionSearchId=3faae4dfe6884a9b71396602ec3caeef</t>
  </si>
  <si>
    <t>https://www.ajme.ro/PDF_AJME_2022_4/L2.pdf</t>
  </si>
  <si>
    <t>Q4</t>
  </si>
  <si>
    <t>Smart Cutting Tools Used in the Processing of Aluminum Alloys</t>
  </si>
  <si>
    <t>Dobrotă, D (ULBS).; Racz, S.-G.(ULBS); Oleksik, M. (ULBS); Rotaru, I. (ULBS); Tomescu, M. (ULBS); Simion, C.M.(ULBS)</t>
  </si>
  <si>
    <t>FING 3</t>
  </si>
  <si>
    <t>Sensotrs</t>
  </si>
  <si>
    <t>1424-8220</t>
  </si>
  <si>
    <t>https://www-webofscience-com.am.e-nformation.ro/wos/woscc/full-record/WOS:000751266200001</t>
  </si>
  <si>
    <t>https://www.mdpi.com/1424-8220/22/1/28</t>
  </si>
  <si>
    <t xml:space="preserve"> https://doi.org/10.3390/s22010028</t>
  </si>
  <si>
    <t>WOS:000751266200001</t>
  </si>
  <si>
    <t>28</t>
  </si>
  <si>
    <t>Dobrota Dan</t>
  </si>
  <si>
    <t xml:space="preserve">ERROR CORRECTION MODEL FOR ANALYSIS OF INFLUENCE OF FISCAL POLICY ON ECONOMIC GROWTH IN EU </t>
  </si>
  <si>
    <t>Dobrota Gabriela (Univ. C. Brâncuși Târgu Jiu), Voda Alina (ULBS), Dobrota Dan (ULBS), Dumitrascu Danut(ULBS)</t>
  </si>
  <si>
    <t>Journal of Business Economics and Management</t>
  </si>
  <si>
    <t>1611-1699 / eISSN: 2029-4433</t>
  </si>
  <si>
    <t>https://www-webofscience-com.am.e-nformation.ro/wos/woscc/full-record/WOS:000767339700001</t>
  </si>
  <si>
    <t>https://journals.vgtu.lt/index.php/JBEM/article/view/16242/11028</t>
  </si>
  <si>
    <t>https://doi.org/10.3846/jbem.2022.16242</t>
  </si>
  <si>
    <t>WOS:000767339700001</t>
  </si>
  <si>
    <t>22</t>
  </si>
  <si>
    <t>Ecodesign of the Aluminum Bronze Cutting Process.</t>
  </si>
  <si>
    <t>Dobrotă, D. (ULBS); Oleksik, M. (ULBS); Chicea, A.L. (ULBS)</t>
  </si>
  <si>
    <t>Materials</t>
  </si>
  <si>
    <t>ISSN 1996-1944</t>
  </si>
  <si>
    <t>https://www-webofscience-com.am.e-nformation.ro/wos/woscc/full-record/WOS:000786980300001</t>
  </si>
  <si>
    <t>https://www.mdpi.com/1996-1944/15/8/2735</t>
  </si>
  <si>
    <t>https://doi.org/10.3390/ma15082735</t>
  </si>
  <si>
    <t>WOS:000786980300001</t>
  </si>
  <si>
    <t xml:space="preserve"> The Effect of Roughness in Absorbing Materials on Solar Air Heater Performance</t>
  </si>
  <si>
    <t>Karmveer; Kumar Gupta, N.; Siddiqui, M.I.H.; Dobrotă, D. (ULBS); Alam, T.; Ali, M.A.; Orfi, J. (ceillalți autori din străinătate)</t>
  </si>
  <si>
    <t>https://www-webofscience-com.am.e-nformation.ro/wos/woscc/full-record/WOS:000794353000001</t>
  </si>
  <si>
    <t>https://www.mdpi.com/1996-1944/15/9/3088</t>
  </si>
  <si>
    <t>https://doi.org/10.3390/ma15093088</t>
  </si>
  <si>
    <t xml:space="preserve">WOS:000794353000001 </t>
  </si>
  <si>
    <t>Performance of Microchannel Heat Sink Made of Silicon Material with the Two-Sided Wedge</t>
  </si>
  <si>
    <t>Vatsa, A.; Alam, T.; Siddiqui, M.I.H.; Ali, M.A.; Dobrotă, D (ULBS) (ceilalați sunt autori din străinătate)</t>
  </si>
  <si>
    <t>https://www-webofscience-com.am.e-nformation.ro/wos/woscc/full-record/WOS:000831642700001</t>
  </si>
  <si>
    <t>https://www.mdpi.com/1996-1944/15/14/4740</t>
  </si>
  <si>
    <t xml:space="preserve"> https://doi.org/10.3390/ma15144740</t>
  </si>
  <si>
    <t>WOS:000831642700001</t>
  </si>
  <si>
    <t xml:space="preserve"> The Effects of Public Investment on Sustainable Economic Growth: Empirical Evidence from Emerging Countries in Central and Eastern Europe.</t>
  </si>
  <si>
    <t>Ocolișanu, A (Romanian Court of Accounts).; Dobrotă, G. (Univ. C. Brâncuși Târgu Jiu); Dobrotă, D. (ULBS)</t>
  </si>
  <si>
    <t>ISSN 2071-1050</t>
  </si>
  <si>
    <t>https://www-webofscience-com.am.e-nformation.ro/wos/woscc/full-record/WOS:000832452100001</t>
  </si>
  <si>
    <t>https://www.mdpi.com/2071-1050/14/14/8721</t>
  </si>
  <si>
    <t>https://doi.org/10.3390/su14148721</t>
  </si>
  <si>
    <t>WOS:000832452100001</t>
  </si>
  <si>
    <t>21</t>
  </si>
  <si>
    <t>Analysis of Microchannel Heat Sink of Silicon Material with Right Triangular Groove on Sidewall of Passage</t>
  </si>
  <si>
    <t>Saha, S.; Alam, T.; Siddiqui, M.I.H.; Kumar, M.; Ali, M.A.; Gupta, N.K.; Dobrotă, D (ULBS) (ceilalți autori sunt din străînătate)</t>
  </si>
  <si>
    <t>https://www-webofscience-com.am.e-nformation.ro/wos/woscc/full-record/WOS:000866983600001</t>
  </si>
  <si>
    <t>https://www.mdpi.com/1996-1944/15/19/7020</t>
  </si>
  <si>
    <t>https://doi.org/10.3390/ma15197020</t>
  </si>
  <si>
    <t>WOS:000866983600001</t>
  </si>
  <si>
    <t>20</t>
  </si>
  <si>
    <t>A Numerical Investigation on Hydrothermal Performance of Micro Channel Heat Sink with Periodic Spatial Modification on Sidewalls.</t>
  </si>
  <si>
    <t>Kumari, N.; Alam, T.; Ali, M.A.; Yadav, A.S.; Gupta, N.K.; Siddiqui, M.I.H.; Dobrotă, D. (ULBS); Rotaru, I.M. (ULBS); Sharma, A. A (ceilalți autori sunt din strinătate)</t>
  </si>
  <si>
    <t>Micromachines</t>
  </si>
  <si>
    <t>ISSN2072-666X</t>
  </si>
  <si>
    <t>https://www-webofscience-com.am.e-nformation.ro/wos/woscc/full-record/WOS:000895207400001</t>
  </si>
  <si>
    <t>https://www.mdpi.com/2072-666X/13/11/1986</t>
  </si>
  <si>
    <t>https://doi.org/10.3390/mi13111986</t>
  </si>
  <si>
    <t>WOS:000895207400001</t>
  </si>
  <si>
    <t>Error correction model for analysis of influence of fiscal policy on economic growth in EU</t>
  </si>
  <si>
    <t xml:space="preserve">Journal of Business Economics and Management </t>
  </si>
  <si>
    <t>https://www.webofscience.com/wos/woscc/full-record/WOS:000767339700001</t>
  </si>
  <si>
    <t>586-605</t>
  </si>
  <si>
    <t>Dumitrascu Danut</t>
  </si>
  <si>
    <t>Fostering Entrepreneurial Ecosystems through the Stimulation and Mentorship of New Entrepreneurs</t>
  </si>
  <si>
    <t>Silviu Nate, Valentin Grecu, Andriy Stavytskyy, Ganna Kharlamova</t>
  </si>
  <si>
    <t>https://1510q6ck8-y-https-www-webofscience-com.z.e-nformation.ro/wos/woscc/full-record/WOS:000824110300001</t>
  </si>
  <si>
    <t>https://www.mdpi.com/2071-1050/14/13/7985</t>
  </si>
  <si>
    <t>10.3390/su14137985</t>
  </si>
  <si>
    <t>WOS:000824110300001</t>
  </si>
  <si>
    <t>Grecu Valentin</t>
  </si>
  <si>
    <t>Work from Home during the COVID-19 Pandemic-The Impact on Employees' Self-Assessed Job Performance</t>
  </si>
  <si>
    <t>Kifor, CV (ULBS); Savescu, RF (ULBS); Danut, R (ULBS)</t>
  </si>
  <si>
    <t>eISSN1660-4601</t>
  </si>
  <si>
    <t>https://1510q2wtr-y-https-www-webofscience-com.z.e-nformation.ro/wos/woscc/full-record/WOS:000851141400001</t>
  </si>
  <si>
    <t>https://www.mdpi.com/1660-4601/19/17/10935</t>
  </si>
  <si>
    <t>10.3390/ijerph191710935</t>
  </si>
  <si>
    <t>WOS:000851141400001</t>
  </si>
  <si>
    <t>Article Number10935</t>
  </si>
  <si>
    <t>Kifor Claudiu</t>
  </si>
  <si>
    <t>Ecodesign of the Aluminum Bronze Cutting Process</t>
  </si>
  <si>
    <t>DOBROTA, D., OLEKSIK, M., &amp; CHICEA, A. L. (toți ULBS)</t>
  </si>
  <si>
    <t>1996-1944</t>
  </si>
  <si>
    <t>https://www.webofscience.com/wos/woscc/full-record/WOS:000786980300001</t>
  </si>
  <si>
    <t>2735</t>
  </si>
  <si>
    <t>Oleksik Mihaela</t>
  </si>
  <si>
    <t xml:space="preserve">A Computer-Assisted Approach Regarding the Optimization of the Geometrical Planning of Medial Opening Wedge High Tibial Osteotomy </t>
  </si>
  <si>
    <t>COFARU, II (ULBS), OLEKSIK, M. (ULBS), COFARU, N. F. (ULBS), BRANESCU, A. H. (ULBS), HASEGAN, A. (ULBS), ROMAN, M. D.(ULBS), FLEACA, S. R. (ULBS), &amp; DOBROTA, R. D. (Spitalul Universitar de Urgență Militar Central Carol Davila București)</t>
  </si>
  <si>
    <t>Applied-Sciences Basel</t>
  </si>
  <si>
    <t>https://www.webofscience.com/wos/woscc/full-record/WOS:000822293000001</t>
  </si>
  <si>
    <t>6636</t>
  </si>
  <si>
    <t xml:space="preserve">Smart Cutting Tools Used in the Processing of Aluminum Alloys </t>
  </si>
  <si>
    <t>DOBROTA, D., RACZ, S. G., OLEKSIK, M., ROTARU, I., TOMESCU, M., &amp; SIMION, C. M. (toți ULBS)</t>
  </si>
  <si>
    <t>Sensors</t>
  </si>
  <si>
    <t>https://www.webofscience.com/wos/woscc/full-record/WOS:000751266200001</t>
  </si>
  <si>
    <t>https://doi.org/10.3390/s22010028</t>
  </si>
  <si>
    <t>Designing a Multi-agent Control System for a Reconfigurable Manufacturing System</t>
  </si>
  <si>
    <t xml:space="preserve">Alexandru Matei (ULBS), Bogdan Constantin Pirvu (ULBS), Radu Emanuil Petruse (ULBS), Ciprian Candea (Ropardo) &amp; Bala Constantin Zamfirescu (ULBS) </t>
  </si>
  <si>
    <t>12th International Workshop on Service Oriented, Holonic and Multi-Agent Manufacturing Systems for the Industry of the Future, SOHOMA 2022</t>
  </si>
  <si>
    <t>1860949X</t>
  </si>
  <si>
    <t>https://www.scopus.com/record/display.uri?eid=2-s2.0-85148768606&amp;origin=resultslist&amp;sort=plf-f</t>
  </si>
  <si>
    <t>https://link.springer.com/chapter/10.1007/978-3-031-24291-5_34#citeas</t>
  </si>
  <si>
    <t>https://doi.org/10.1007/978-3-031-24291-5_34</t>
  </si>
  <si>
    <t>Conference Proceeedings</t>
  </si>
  <si>
    <t>SOHOMA 2022</t>
  </si>
  <si>
    <t xml:space="preserve">Bucuresti </t>
  </si>
  <si>
    <t>978-303124290-8</t>
  </si>
  <si>
    <t>Petruse Radu</t>
  </si>
  <si>
    <t>Robust Assembly Assistance Using Informed Tree Search with Markov Chains</t>
  </si>
  <si>
    <t>Arpad Gellert, Radu Sorostinean, Bogdan-Constantin Pirvu</t>
  </si>
  <si>
    <t>https://www.webofscience.com/wos/woscc/full-record/WOS:000757074100001</t>
  </si>
  <si>
    <t>https://www.mdpi.com/1424-8220/22/2/495</t>
  </si>
  <si>
    <t>10.3390/s22020495</t>
  </si>
  <si>
    <t>WOS:000757074100001</t>
  </si>
  <si>
    <t>495-512</t>
  </si>
  <si>
    <t>Pirvu Bogdan</t>
  </si>
  <si>
    <t>Real-Time Assembly Support System with Hidden Markov Model and Hybrid Extensions</t>
  </si>
  <si>
    <t>Arpad Gellert, Stefan-Alexandru Precup, Alexandru Matei, Bogdan-Constantin Pirvu, Constantin-Bala Zamfirescu</t>
  </si>
  <si>
    <t>Mathematics</t>
  </si>
  <si>
    <t>2227-7390</t>
  </si>
  <si>
    <t>https://www.webofscience.com/wos/woscc/full-record/WOS:000839704000001</t>
  </si>
  <si>
    <t>https://www.mdpi.com/2227-7390/10/15/2725</t>
  </si>
  <si>
    <t>10.3390/math10152725</t>
  </si>
  <si>
    <t>WOS:000839704000001</t>
  </si>
  <si>
    <t>2725-2746</t>
  </si>
  <si>
    <t>Comparison Between the HUBCAP and DIGITBrain Platforms for Model-Based Design and Evaluation of Digital Twins</t>
  </si>
  <si>
    <t>Prasad Talasila (Aarhus University), Daniel-Cristian Crăciunean, Pirvu Bogdan-Constantin, Peter Gorm Larsen(Aarhus University), Constantin Zamfirescu, Alea Scovill (AgroIntelli)</t>
  </si>
  <si>
    <t>https://www.webofscience.com/wos/woscc/full-record/WOS:000866278700017</t>
  </si>
  <si>
    <t>https://link.springer.com/chapter/10.1007/978-3-031-12429-7_17</t>
  </si>
  <si>
    <t>10.1007/978-3-031-12429-7_17</t>
  </si>
  <si>
    <t>WOS:000866278700017</t>
  </si>
  <si>
    <t>238-244</t>
  </si>
  <si>
    <t xml:space="preserve"> Software Engineering and Formal Methods. SEFM 2021 Collocated Workshops</t>
  </si>
  <si>
    <t>Virtual Event</t>
  </si>
  <si>
    <t>978-3-031-12428-0</t>
  </si>
  <si>
    <t>Minimizing the Forces in the Single Point Incremental Forming Process of Polymeric Materials Using Taguchi Design of Experiments and Analysis of Variance</t>
  </si>
  <si>
    <t>Nicolae Roșca (ULBS), Tomasz Trzepiecinski, Valentin Oleksik (ULBS)</t>
  </si>
  <si>
    <t>https://www.webofscience.com/wos/woscc/full-record/WOS:000857018300001</t>
  </si>
  <si>
    <t>https://www.mdpi.com/1996-1944/15/18/6453</t>
  </si>
  <si>
    <t>10.3390/ma15186453</t>
  </si>
  <si>
    <t>WOS:000857018300001</t>
  </si>
  <si>
    <t>zona rosie/Q1</t>
  </si>
  <si>
    <t>Rosca Nicolae</t>
  </si>
  <si>
    <t>Rotaru Ionela</t>
  </si>
  <si>
    <t>Savescu Roxana</t>
  </si>
  <si>
    <t>Transition from Office to Home Office: Lessons from Romania during COVID-19 Pandemic</t>
  </si>
  <si>
    <t>SĂVESCU, R. (ULBS); Kifor, Ș. (ULBS); Dănuț, R. (ULBS); Rusu, R. (AFT)</t>
  </si>
  <si>
    <t>Special Issue</t>
  </si>
  <si>
    <t>e-ISSN 2071-1050</t>
  </si>
  <si>
    <t>https://1510q6buz-y-https-www-webofscience-com.z.e-nformation.ro/wos/woscc/full-record/WOS:000801539100001</t>
  </si>
  <si>
    <t>https://www.mdpi.com/2071-1050/14/10/5758</t>
  </si>
  <si>
    <t>10.3390/su14105758</t>
  </si>
  <si>
    <t>WOS: 000801539100001</t>
  </si>
  <si>
    <t>Article number 5758</t>
  </si>
  <si>
    <t>Dobrotă, D. (ULBS), Racz, S.G. (ULBS), Oleksik, M. (ULBS), Rotaru, I. (ULBS), Tomescu, M. (ULBS), Simion, C.M. (ULBS)</t>
  </si>
  <si>
    <t>1 (28)</t>
  </si>
  <si>
    <t>eISSN 1424-8220</t>
  </si>
  <si>
    <t>https://www.mdpi.com/search?authors=Dobrot%C4%83&amp;journal=sensors&amp;volume=22&amp;issue=1</t>
  </si>
  <si>
    <t>26 pagini</t>
  </si>
  <si>
    <t>zona galbenă/Q2</t>
  </si>
  <si>
    <t>Simion Carmen</t>
  </si>
  <si>
    <t>Cofaru, N.F.(ULBS), Oleksik, V. (ULBS), Cofaru, I.I (ULBS)., Simion, C.M. (ULBS), Roman, M. (ULBS), Lebădă, I.C (ULBS)., Fleacă, R. (ULBS)</t>
  </si>
  <si>
    <t xml:space="preserve">APPLIED SCIENCES-BASEL </t>
  </si>
  <si>
    <t>5 (2475)</t>
  </si>
  <si>
    <t>eISSN 2076-3417</t>
  </si>
  <si>
    <t>https://www.webofscience.com/wos/woscc/full-record/WOS:000771333700001</t>
  </si>
  <si>
    <t>Applied Sciences | Free Full-Text | Geometrical Planning of the Medial Opening Wedge High Tibial Osteotomy&amp;mdash;An Experimental Approach (mdpi.com)</t>
  </si>
  <si>
    <t>WOS:000771333700001</t>
  </si>
  <si>
    <t>16 pagini</t>
  </si>
  <si>
    <t>JAW BONE ATROPHY INDUCED BY EXPOSURE TO TOXIC ENVIRONMENT USING RADIOLOGICAL INTERPRETATION</t>
  </si>
  <si>
    <r>
      <rPr>
        <sz val="10"/>
        <color theme="1"/>
        <rFont val="Arial Narrow"/>
      </rPr>
      <t xml:space="preserve">Alina CRISTIAN, </t>
    </r>
    <r>
      <rPr>
        <b/>
        <sz val="10"/>
        <color theme="1"/>
        <rFont val="Arial Narrow"/>
      </rPr>
      <t>Andreea Angela STETIU, Mircea STETIU</t>
    </r>
    <r>
      <rPr>
        <sz val="10"/>
        <color theme="1"/>
        <rFont val="Arial Narrow"/>
      </rPr>
      <t>, Maria POPA</t>
    </r>
  </si>
  <si>
    <t>International Journal of Medical Dentistry</t>
  </si>
  <si>
    <t>2066-6063</t>
  </si>
  <si>
    <t>https://1510q0bhr-y-https-www-webofscience-com.z.e-nformation.ro/wos/woscc/full-record/WOS:000868452100021</t>
  </si>
  <si>
    <t>https://ijmd.ro/2022/jaw-bone-atrophy-induced-by-exposure-to-toxic-environment-using-radiological-interpretation/</t>
  </si>
  <si>
    <t>WOS:000868452100021</t>
  </si>
  <si>
    <t>518-523</t>
  </si>
  <si>
    <t>Stetiu Mircea</t>
  </si>
  <si>
    <t>Efficiency of the approval process at the level of a ministry</t>
  </si>
  <si>
    <t>Moisescu, I.(PhD), Tarnu, L.(ULBS), Țîțu, M.(ULBS)</t>
  </si>
  <si>
    <t>ACTA TECHNICA NAPOCENSIS SERIES-APPLIED MATHEMATICS MECHANICS AND ENGINEERING</t>
  </si>
  <si>
    <t>1S</t>
  </si>
  <si>
    <t>1221-5872</t>
  </si>
  <si>
    <t>https://0m10m0j9g-y-https-www-webofscience-com.z.e-nformation.ro/wos/woscc/full-record/WOS:000773188500014</t>
  </si>
  <si>
    <t>https://atna-mam.utcluj.ro/index.php/Acta/article/view/1743</t>
  </si>
  <si>
    <t>-</t>
  </si>
  <si>
    <t>000773188500014</t>
  </si>
  <si>
    <t>123-132</t>
  </si>
  <si>
    <t>ESCI</t>
  </si>
  <si>
    <t>Tarnu Lucian</t>
  </si>
  <si>
    <t>European policy on the quality of the environment in the context of the sustainable development of the road transport system</t>
  </si>
  <si>
    <t>Neamțu, Gh.(PhD), Tarnu, L.(ULBS), Țîțu, M.(ULBS), Oprean, C.(ULBS)</t>
  </si>
  <si>
    <t>https://0m10m0j9g-y-https-www-webofscience-com.z.e-nformation.ro/wos/woscc/full-record/WOS:000773188500018</t>
  </si>
  <si>
    <t>https://atna-mam.utcluj.ro/index.php/Acta/article/view/1747</t>
  </si>
  <si>
    <t>000773188500018</t>
  </si>
  <si>
    <t>161-170</t>
  </si>
  <si>
    <t>Special Issue: Surface Modification of Magnesium, Aluminum Alloys, and Steel</t>
  </si>
  <si>
    <t>Țîțu, M. (ULBS), Miao, B. (Hebei University of Technology Chna) Pop, Alina Bianca (UTCN)</t>
  </si>
  <si>
    <t>Coatings</t>
  </si>
  <si>
    <t>2079-6412</t>
  </si>
  <si>
    <t>https://0m10m0j9g-y-https-www-webofscience-com.z.e-nformation.ro/wos/woscc/full-record/WOS:000858234800001</t>
  </si>
  <si>
    <t>https://doi.org/10.3390/coatings12091349</t>
  </si>
  <si>
    <t>10.3390/coatings12091349</t>
  </si>
  <si>
    <t>000858234800001</t>
  </si>
  <si>
    <t>5p</t>
  </si>
  <si>
    <t>Titu Mihail</t>
  </si>
  <si>
    <t>Requirements versus Knowledge in the Quality Management of the Global Engineering Process within an Organization in the Aerospace Industry</t>
  </si>
  <si>
    <t xml:space="preserve">Pop, G.I. (UAC Baia Mare), Țîțu, M. (ULBS), Pop, A.B. (UTCN) </t>
  </si>
  <si>
    <t>Aerospace</t>
  </si>
  <si>
    <t>2226-4310</t>
  </si>
  <si>
    <t>https://0m10m2huf-y-https-www-webofscience-com.z.e-nformation.ro/wos/woscc/full-record/WOS:000900235200001</t>
  </si>
  <si>
    <t>https://doi.org/10.3390/aerospace9120817</t>
  </si>
  <si>
    <t>10.3390/aerospace9120817</t>
  </si>
  <si>
    <t>000900235200001</t>
  </si>
  <si>
    <t>31 p</t>
  </si>
  <si>
    <t>Studying the behavior of the C45 material when changing the tool geometry using the finite element method</t>
  </si>
  <si>
    <t>Pop, Bianca Alina(UTCN), Sandu V.A.(Univ. Gh Asachi Iasi), Sachelarie A.C.(Univ. Gh Asachi Iasi), Țîțu, M.(ULBS)</t>
  </si>
  <si>
    <t>Archives of Metallurgy and Materials Journal</t>
  </si>
  <si>
    <t>1733-3490</t>
  </si>
  <si>
    <t>https://0m10m0j9g-y-https-www-webofscience-com.z.e-nformation.ro/wos/woscc/full-record/WOS:000813440900001</t>
  </si>
  <si>
    <t>https://www.imim.pl/files/archiwum/Vol2_2022/34.pdf</t>
  </si>
  <si>
    <t>10.24425/amm.2022.137802</t>
  </si>
  <si>
    <t>000813440900001</t>
  </si>
  <si>
    <t>653-659</t>
  </si>
  <si>
    <t>Modelling of the Automatic Testing Process of Electronic Control Units in the Automotive Industry</t>
  </si>
  <si>
    <t>Bogorin-Predescu, A.(PhD), Țîțu, M. (ULBS), Niță, Mădălina(PhD), Domnariu, V.-L.(PhD)</t>
  </si>
  <si>
    <t>International Journal of Mechatronics &amp; Applied Mechanics</t>
  </si>
  <si>
    <t>2559-6497</t>
  </si>
  <si>
    <t>https://www-scopus-com.am.e-nformation.ro/record/display.uri?eid=2-s2.0-85142615347&amp;origin=resultslist&amp;sort=plf-f&amp;src=s&amp;st1=Modelling+of+the+Automatic+Testing+Process+of+Electronic+Control+Units+in+the+Automotive+Industry&amp;sid=92e791886df17d9d93f259c27770ccd8&amp;sot=b&amp;sdt=b&amp;sl=112&amp;s=TITLE-ABS-KEY%28Modelling+of+the+Automatic+Testing+Process+of+Electronic+Control+Units+in+the+Automotive+Industry%29&amp;relpos=0&amp;citeCnt=0&amp;searchTerm=</t>
  </si>
  <si>
    <t>https://ijomam.com/wp-content/uploads/2022/11/pp148-155.pdf</t>
  </si>
  <si>
    <t>10.17683/ijomam/issue12.22</t>
  </si>
  <si>
    <t>148-155</t>
  </si>
  <si>
    <t>Scopus</t>
  </si>
  <si>
    <t>Contributions to the Modeling of Manufacturing Processes for the Implementation of the Kanban Methodology in the Automotive Industry</t>
  </si>
  <si>
    <t>Țîțu, M.(ULBS), Bogorin-Predescu A.(PhD)</t>
  </si>
  <si>
    <t>2559-6498</t>
  </si>
  <si>
    <t>https://www-scopus-com.am.e-nformation.ro/record/display.uri?eid=2-s2.0-85142531328&amp;origin=resultslist&amp;sort=plf-f&amp;src=s&amp;st1=Contributions+to+the+Modeling+of+Manufacturing+Processes+for+the+Implementation+of+the+Kanban+Methodology+in+the+Automotive+Industry&amp;sid=2525aa363b45bb4a9c1ab84ad2cf309f&amp;sot=b&amp;sdt=b&amp;sl=147&amp;s=TITLE-ABS-KEY%28Contributions+to+the+Modeling+of+Manufacturing+Processes+for+the+Implementation+of+the+Kanban+Methodology+in+the+Automotive+Industry%29&amp;relpos=0&amp;citeCnt=0&amp;searchTerm=</t>
  </si>
  <si>
    <t>https://ijomam.com/wp-content/uploads/2022/11/pp94-98.pdf</t>
  </si>
  <si>
    <t>10.17683/ijomam/issue12.14</t>
  </si>
  <si>
    <t>94-98</t>
  </si>
  <si>
    <t>Verification of the normal distribution of experimental data obtained by milling of aluminum alloys</t>
  </si>
  <si>
    <t>Pop, Alina Bianca(UTCN), Țîțu, M.(ULBS)</t>
  </si>
  <si>
    <t>https://www-scopus-com.am.e-nformation.ro/record/display.uri?eid=2-s2.0-85134387640&amp;origin=resultslist&amp;sort=plf-f&amp;src=s&amp;st1=Verification+of+the+normal+distribution+of+experimental+data+obtained+by+milling+of+aluminum+alloys&amp;sid=410c413e5d705ce99fc764ecfd72135c&amp;sot=b&amp;sdt=b&amp;sl=114&amp;s=TITLE-ABS-KEY%28Verification+of+the+normal+distribution+of+experimental+data+obtained+by+milling+of+aluminum+alloys%29&amp;relpos=0&amp;citeCnt=0&amp;searchTerm=</t>
  </si>
  <si>
    <t>https://ijomam.com/wp-content/uploads/2017/02/pag.-89-94_VERIFICATION-OF-THE-NORMAL-DISTRIBUTION-OF-EXPERIMENTAL-DATA.pdf</t>
  </si>
  <si>
    <t>10.17683/ijomam/issue11.13</t>
  </si>
  <si>
    <t>89-94</t>
  </si>
  <si>
    <t>Assessment of Road Noise Pollution in Urban Residential Areas—A Case Study in Piteşti, Romania</t>
  </si>
  <si>
    <t>Țîțu, M.(ULBS), Boroiu, A.A.(UPT), Mihailescu, S.(UPT), Pop, A.B.(UTCN), Boroiu, A.(UPT)</t>
  </si>
  <si>
    <t>Applied Science</t>
  </si>
  <si>
    <t>https://0m10m0j9g-y-https-www-webofscience-com.z.e-nformation.ro/wos/woscc/full-record/WOS:000785237200001</t>
  </si>
  <si>
    <t>https://www.mdpi.com/2076-3417/12/8/4053</t>
  </si>
  <si>
    <t>10.3390/app12084053</t>
  </si>
  <si>
    <t>000785237200001</t>
  </si>
  <si>
    <t>16 p</t>
  </si>
  <si>
    <t>Reliability Modelling through the Three-Parametric Weibull Model Based on Microsoft Excel Facilities</t>
  </si>
  <si>
    <t>Țîțu, M.(ULBS), Boroiu, A.A.(UPT), Boroiu, A.(UPT), Dragomir, M.(UTCN), Pop, A.B.(UTCN), Titu, S.(IOCN)</t>
  </si>
  <si>
    <t>https://0m10m0j9g-y-https-www-webofscience-com.z.e-nformation.ro/wos/woscc/full-record/WOS:000845743800001</t>
  </si>
  <si>
    <t>https://www.mdpi.com/2227-9717/10/8/1585</t>
  </si>
  <si>
    <t>10.3390/pr10081585</t>
  </si>
  <si>
    <t>000845743800001</t>
  </si>
  <si>
    <t>13 p</t>
  </si>
  <si>
    <t>Software for generating a spur gear's involute profile and alternative manufacturing method</t>
  </si>
  <si>
    <t>Ciupan, M.(UTCN), Câmpean, E.(UTCN), Țîțu, M.(ULBS)</t>
  </si>
  <si>
    <t>https://0m10m0j9g-y-https-www-webofscience-com.z.e-nformation.ro/wos/woscc/full-record/WOS:000773188500007</t>
  </si>
  <si>
    <t>https://atna-mam.utcluj.ro/index.php/Acta/article/view/1736</t>
  </si>
  <si>
    <t>000773188500007</t>
  </si>
  <si>
    <t>65-72</t>
  </si>
  <si>
    <t>Industrial robots versus collaborative robots - the place and role in nonconventional technologies</t>
  </si>
  <si>
    <t>Gusan, V.(PhD), Țîțu, M.(ULBS), Oprean, C.(ULBS)</t>
  </si>
  <si>
    <t>https://0m10m0j9g-y-https-www-webofscience-com.z.e-nformation.ro/wos/woscc/full-record/WOS:000773188500011</t>
  </si>
  <si>
    <t>https://atna-mam.utcluj.ro/index.php/Acta/article/view/1740</t>
  </si>
  <si>
    <t>000773188500011</t>
  </si>
  <si>
    <t>101-110</t>
  </si>
  <si>
    <t>Railway transport management in the COVID 19 era and the economic social impact of the pandemic on the railway industry</t>
  </si>
  <si>
    <t>Bulgariu, C.L.(PhD), Ciupan, M.(UTCN), Țîțu, M.(ULBS)</t>
  </si>
  <si>
    <t>https://0m10m0j9g-y-https-www-webofscience-com.z.e-nformation.ro/wos/woscc/full-record/WOS:000773188500003</t>
  </si>
  <si>
    <t>https://atna-mam.utcluj.ro/index.php/Acta/article/view/1732</t>
  </si>
  <si>
    <t>000773188500003</t>
  </si>
  <si>
    <t>29-38</t>
  </si>
  <si>
    <t>Quality and quality management in ecological automotive transport - opportunities and perspectives</t>
  </si>
  <si>
    <t>Neamtu, Gh.(PhD), Dragomir, M.(UTCN), Țîțu, M.(ULBS), Oprean, C.(ULBS)</t>
  </si>
  <si>
    <t>https://0m10m0j9g-y-https-www-webofscience-com.z.e-nformation.ro/wos/woscc/full-record/WOS:000773188500017</t>
  </si>
  <si>
    <t>https://atna-mam.utcluj.ro/index.php/Acta/article/view/1746</t>
  </si>
  <si>
    <t>000773188500017</t>
  </si>
  <si>
    <t>151-160</t>
  </si>
  <si>
    <t>Implementation of apqp as a defect prevention measure in an aeronautical industry organization</t>
  </si>
  <si>
    <t>Pop, Bianca Alina(UTCN), Pop, Gh.(PhD), Oprean, C.(ULBS), Țîțu, M.(ULBS)</t>
  </si>
  <si>
    <t>https://0m10m0j9g-y-https-www-webofscience-com.z.e-nformation.ro/wos/woscc/full-record/WOS:000773188500022</t>
  </si>
  <si>
    <t>https://atna-mam.utcluj.ro/index.php/Acta/article/view/1752</t>
  </si>
  <si>
    <t>000773188500022</t>
  </si>
  <si>
    <t>203-208</t>
  </si>
  <si>
    <t>Implementation of safety systems in applications with collaborative robots</t>
  </si>
  <si>
    <t>Gusan, V. (PhD), Țîțu, M.(ULBS)</t>
  </si>
  <si>
    <t>https://0m10m2huf-y-https-www-webofscience-com.z.e-nformation.ro/wos/woscc/full-record/WOS:000936379500012</t>
  </si>
  <si>
    <t>https://atna-mam.utcluj.ro/index.php/Acta/article/view/2009</t>
  </si>
  <si>
    <t>000936379500012</t>
  </si>
  <si>
    <t>513-520</t>
  </si>
  <si>
    <t>Elaborating processes map for a central public authority</t>
  </si>
  <si>
    <t>Moisescu, Iuliana (PhD), Apostol, Eliza Ioana (PhD), Tertereanu, P. (PhD), Țîțu, M.(ULBS)</t>
  </si>
  <si>
    <t>https://0m10m2huf-y-https-www-webofscience-com.z.e-nformation.ro/wos/woscc/full-record/WOS:000936379500009</t>
  </si>
  <si>
    <t>https://atna-mam.utcluj.ro/index.php/Acta/article/view/2006</t>
  </si>
  <si>
    <t>000936379500009</t>
  </si>
  <si>
    <t>489-498</t>
  </si>
  <si>
    <t>Irregular Shape Effect of Brass and Copper Filler on the Properties of Metal Epoxy Composite (MEC) for Rapid Tooling Application</t>
  </si>
  <si>
    <t>Hussin, R. (Universiti Teknologi Malaysia), Sharif, S. (Universiti Teknologi Malaysia), Abd Rahim, S.Z. (Universiti Malaysia Perlis), Rennie, A. (Lancaster University), Suhaimi, M.A. (Universiti Teknologi Malaysia), Abdellah, A.E-h.(University of Medea), Shuaib, N.A. (Universiti Malaysia Perlis), Mohd Khushairi, M.T. (International Medical University), Țîțu, M. (ULBS)</t>
  </si>
  <si>
    <t>Journal of Manufacturing and Materials Processing</t>
  </si>
  <si>
    <t>2504-4494</t>
  </si>
  <si>
    <t>https://0m10m2huf-y-https-www-webofscience-com.z.e-nformation.ro/wos/woscc/full-record/WOS:000902544400001</t>
  </si>
  <si>
    <t>https://www.mdpi.com/2504-4494/6/6/134</t>
  </si>
  <si>
    <t>10.3390/jmmp6060134</t>
  </si>
  <si>
    <t>000902544400001</t>
  </si>
  <si>
    <t>22 p</t>
  </si>
  <si>
    <t>Quality management applied in information systems</t>
  </si>
  <si>
    <t>Olteanu, C.D.(PhD), Dragomir Diana (UTCN), Dragomir M. (UTCN), Țîțu, M.(ULBS)</t>
  </si>
  <si>
    <t>https://0m10m0j9g-y-https-www-webofscience-com.z.e-nformation.ro/wos/woscc/full-record/WOS:000787333600001</t>
  </si>
  <si>
    <t>https://atna-mam.utcluj.ro/index.php/Acta/article/view/1770</t>
  </si>
  <si>
    <t>000787333600001</t>
  </si>
  <si>
    <t>179-186</t>
  </si>
  <si>
    <t>Autonomous robot for fire detection and extinguishing</t>
  </si>
  <si>
    <t>Bogdan Mihai (ULBS)</t>
  </si>
  <si>
    <t>Journal of Electrical and Electronics Engineering (JEEE)</t>
  </si>
  <si>
    <t>Vol. 15</t>
  </si>
  <si>
    <t>P-ISSN: 1844-6035
E-ISSN: 2067-2128
CD-ISSN: 2067–211X-</t>
  </si>
  <si>
    <t>https://www.scopus.com/record/display.uri?eid=2-s2.0-85143752126&amp;origin=resultslist&amp;sort=plf-f</t>
  </si>
  <si>
    <t>https://electroinf.uoradea.ro/images/articles/CERCETARE/Reviste/JEEE/JEEE_V15_N2_OCT_2022/BOGDAN_JEEE.pdf</t>
  </si>
  <si>
    <t>29 - 32</t>
  </si>
  <si>
    <t>ISSN 18446035</t>
  </si>
  <si>
    <t>Bogdan Mihai</t>
  </si>
  <si>
    <t xml:space="preserve"> </t>
  </si>
  <si>
    <t xml:space="preserve"> Băncioiu Camil (ULBS), Brad Remus (ULBS)</t>
  </si>
  <si>
    <t>Algorithms</t>
  </si>
  <si>
    <t>1999-4893</t>
  </si>
  <si>
    <t>https://www.mdpi.com/1999-4893/15/4/105</t>
  </si>
  <si>
    <t>https://doi.org/10.3390/a15040105</t>
  </si>
  <si>
    <t>WOS:000785448100001</t>
  </si>
  <si>
    <t>105-118</t>
  </si>
  <si>
    <t>Brad Remus</t>
  </si>
  <si>
    <t>Multi-Organ Segmentation Using a Low-Resource Architecture</t>
  </si>
  <si>
    <t xml:space="preserve"> Ogrean Valentin (ULBS), Brad Remus (ULBS)</t>
  </si>
  <si>
    <t>Information</t>
  </si>
  <si>
    <t>2078-2489</t>
  </si>
  <si>
    <t>https://www.mdpi.com/2078-2489/13/10/472</t>
  </si>
  <si>
    <t>https://doi.org/10.3390/info13100472</t>
  </si>
  <si>
    <t>WOS:000873156000001</t>
  </si>
  <si>
    <t>472-483</t>
  </si>
  <si>
    <t>Forecasting Electricity Consumption and Production in Smart Homes through Statistical Methods</t>
  </si>
  <si>
    <t>Gellert, A. (ULBS); Fiore, U. (U Salerno); Florea, A. (ULBS); Chis, R (ULBS).; Palmieri, F. (U Salerno)</t>
  </si>
  <si>
    <t>SUSTAINABLE CITIES AND SOCIETY</t>
  </si>
  <si>
    <t>January</t>
  </si>
  <si>
    <t xml:space="preserve">2210-6707; 2210-6715 </t>
  </si>
  <si>
    <t>https://www.webofscience.com/wos/woscc/full-record/WOS:000724739500001</t>
  </si>
  <si>
    <t>https://www.sciencedirect.com/science/article/abs/pii/S2210670721006995</t>
  </si>
  <si>
    <t>10.1016/j.scs.2021.103426</t>
  </si>
  <si>
    <t>WOS:000724739500001</t>
  </si>
  <si>
    <t>103426 – 103432</t>
  </si>
  <si>
    <t>Chis Radu</t>
  </si>
  <si>
    <t>Cofaru Ileana Ioana</t>
  </si>
  <si>
    <t>Vector Control of a Synchronous Motor with Permanent Surface Magnets in Sensorless System</t>
  </si>
  <si>
    <t>Craciunas Gabriela</t>
  </si>
  <si>
    <t>Journal of Electrical and Electronics Engineering</t>
  </si>
  <si>
    <t>Nr.1</t>
  </si>
  <si>
    <t xml:space="preserve"> 1844-6035</t>
  </si>
  <si>
    <t>https://www.scopus.com/record/display.uri?eid=2-s2.0-85143486324&amp;origin=resultslist&amp;sort=plf-f&amp;src=s&amp;sid=ca21511e8c09e92a688772ba86fb9c29&amp;sot=b&amp;sdt=b&amp;s=TITLE-ABS-KEY%28Vector+Control+of+a+Synchronous+Motor+with+Permanent+Surface+Magnets+in+Sensorless+System%29&amp;sl=104&amp;sessionSearchId=ca21511e8c09e92a688772ba86fb9c29</t>
  </si>
  <si>
    <t>https://electroinf.uoradea.ro/index.php/volumes-2/jeee-vol-15-no-1-may-2022.html</t>
  </si>
  <si>
    <t>pg. 21-26</t>
  </si>
  <si>
    <t>Oradea</t>
  </si>
  <si>
    <t>A Monadic Co-simulation Model for Cyber-physical Production Systems</t>
  </si>
  <si>
    <t>CRACIUNEAN  Daniel-Cristian (ULBS)</t>
  </si>
  <si>
    <t>International Journal of Advanced Computer Science and Applications (IJACSA)</t>
  </si>
  <si>
    <t>2158-107X</t>
  </si>
  <si>
    <t>https://www.scopus.com/record/display.uri?src=s&amp;origin=cto&amp;ctoId=CTODS_1637394682&amp;stateKey=CTOF_1637394683&amp;eid=2-s2.0-85139298608</t>
  </si>
  <si>
    <t>https://thesai.org/Publications/ViewPaper?Volume=13&amp;Issue=9&amp;Code=IJACSA&amp;SerialNo=64</t>
  </si>
  <si>
    <t>https://dx.doi.org/10.14569/IJACSA.2022.0130964</t>
  </si>
  <si>
    <t>WOS:000875837100001</t>
  </si>
  <si>
    <t>552-557</t>
  </si>
  <si>
    <t>PROSIM in the Cloud: Remote Automation Training Platform with Virtualized Infrastructure</t>
  </si>
  <si>
    <t>Rosioru Sabin  (UPB),Mihai Viorel  (UPB),Neghina Mihai (ULBS),Craciunean Daniel (ULBS) Stamatescu Grigore (UPB)</t>
  </si>
  <si>
    <t>https://www.scopus.com/record/display.uri?src=s&amp;origin=cto&amp;ctoId=CTODS_1637394682&amp;stateKey=CTOF_1637394683&amp;eid=2-s2.0-85126988249</t>
  </si>
  <si>
    <t>https://www.mdpi.com/2076-3417/12/6/3038</t>
  </si>
  <si>
    <t>https://doi.org/10.3390/app12063038</t>
  </si>
  <si>
    <t>WOS:000776129400001</t>
  </si>
  <si>
    <t>zona galbena/Q2</t>
  </si>
  <si>
    <t>Talasila Prasad (DIGIT, Aarhus University, Aarhus, Denmark),  Crăciunean Daniel-Cristian (ULBS), Pirvu Bogdan-Constantin (ULBS), Larsen Peter Gorm (DIGIT, Aarhus University, Aarhus, Denmark), Zamfirescu Constantin  (ULBS), Scovill Alea (Agrointelli ApS, Aarhus, Denmark)</t>
  </si>
  <si>
    <t>SOFTWARE ENGINEERING AND FORMAL METHODS: SEFM 2021 COLLOCATED WORKSHOPS</t>
  </si>
  <si>
    <t>https://www.scopus.com/record/display.uri?src=s&amp;origin=cto&amp;ctoId=CTODS_1637394682&amp;stateKey=CTOF_1637394683&amp;eid=2-s2.0-85140443462</t>
  </si>
  <si>
    <t>https://doi.org/10.1007/978-3-031-12429-7_17</t>
  </si>
  <si>
    <t>238–244</t>
  </si>
  <si>
    <t xml:space="preserve">Lucrări Prezentate La Conferințe </t>
  </si>
  <si>
    <t xml:space="preserve">Forecasting electricity consumption and production in smart homes through statistical methods. </t>
  </si>
  <si>
    <t xml:space="preserve">Gellert, A (ULBS)., Fiore, U.(UniSa), Florea, A.(ULBS), Chis, R.(ULBS), &amp; Palmieri, F.(UniSa) </t>
  </si>
  <si>
    <t>Sustainable Cities and Society</t>
  </si>
  <si>
    <t>2210-6707</t>
  </si>
  <si>
    <t>https://1510q6i4x-y-https-www-webofscience-com.z.e-nformation.ro/wos/woscc/full-record/WOS:000724739500001</t>
  </si>
  <si>
    <t>:000724739500001</t>
  </si>
  <si>
    <t>103426 (pp. 1-11)</t>
  </si>
  <si>
    <t>Florea Adrian</t>
  </si>
  <si>
    <t>Extending Sniper with Support to Access Operand Values: A Case Study on Reusability Measurement</t>
  </si>
  <si>
    <t>Buduleci, C. (ULBS) Gellert, A. (ULBS) Florea, A (ULBS), Matei, A (ULBS).</t>
  </si>
  <si>
    <t>https://1510q6i4x-y-https-www-webofscience-com.z.e-nformation.ro/wos/woscc/full-record/WOS:000925203600013</t>
  </si>
  <si>
    <t>https://ieeexplore.ieee.org/abstract/document/9805869</t>
  </si>
  <si>
    <t>10.1109/ICCC54292.2022.9805869</t>
  </si>
  <si>
    <t>000925203600013</t>
  </si>
  <si>
    <t>pp. 70-75</t>
  </si>
  <si>
    <t>ISI WoS Conference Proceedings</t>
  </si>
  <si>
    <t>International Carpathian Control Conference (ICCC)</t>
  </si>
  <si>
    <t>Sinaia, Romania</t>
  </si>
  <si>
    <t>978-1-6654-6636-3</t>
  </si>
  <si>
    <t>Applying AI Tools for Modeling, Predicting and Managing the White Wine Fermentation Process</t>
  </si>
  <si>
    <t>Florea A. (ULBS), Sipos A. (ULBS), Stoisor M-C. (ULBS)</t>
  </si>
  <si>
    <t>Fermentation</t>
  </si>
  <si>
    <t>2311-5637</t>
  </si>
  <si>
    <t>https://1510q6i4x-y-https-www-webofscience-com.z.e-nformation.ro/wos/woscc/full-record/WOS:000786137100001</t>
  </si>
  <si>
    <t>https://www.mdpi.com/2311-5637/8/4/137</t>
  </si>
  <si>
    <t>10.3390/fermentation8040137</t>
  </si>
  <si>
    <t>000786137100001</t>
  </si>
  <si>
    <t>pp. 1-22</t>
  </si>
  <si>
    <t>Future-oriented digital skills for process design and automation</t>
  </si>
  <si>
    <t>Jurczuk A. (Univ. of Bialystok), Florea A. (ULBS)</t>
  </si>
  <si>
    <t>Human Technology</t>
  </si>
  <si>
    <t>1795-6889</t>
  </si>
  <si>
    <t>https://151096iah-y-https-www-scopus-com.z.e-nformation.ro/record/display.uri?eid=2-s2.0-85140009979&amp;origin=resultslist&amp;sort=plf-f</t>
  </si>
  <si>
    <t>https://ht.csr-pub.eu/index.php/ht/article/view/315/246</t>
  </si>
  <si>
    <t>10.14254/1795-6889.2022.18-2.3</t>
  </si>
  <si>
    <t>pp. 122–142</t>
  </si>
  <si>
    <t>Arpad Gellert, Ugo Fiore (Parthenope Univ. of Naples), Adrian Florea, Radu Chis, Francesco Palmieri (Univ. of Salerno)</t>
  </si>
  <si>
    <t>000724739500001</t>
  </si>
  <si>
    <t>Gellert Arpad</t>
  </si>
  <si>
    <t>000757074100001</t>
  </si>
  <si>
    <t>495</t>
  </si>
  <si>
    <t>Towards an Assembly Support System with Dynamic Bayesian Network</t>
  </si>
  <si>
    <t>Stefan-Alexandru Precup, Arpad Gellert, Alexandru Matei, Maria Gita, Constantin-Bala Zamfirescu</t>
  </si>
  <si>
    <t>Applied Sciences</t>
  </si>
  <si>
    <t>https://www.webofscience.com/wos/woscc/full-record/WOS:000756222700001</t>
  </si>
  <si>
    <t>https://www.mdpi.com/2076-3417/12/3/985</t>
  </si>
  <si>
    <t>10.3390/app12030985</t>
  </si>
  <si>
    <t>000756222700001</t>
  </si>
  <si>
    <t>985</t>
  </si>
  <si>
    <t>Estimation of Missing LiDAR Data for Accurate AGV Localization</t>
  </si>
  <si>
    <t>Arpad Gellert, Darius Sarbu, Stefan-Alexandru Precup, Alexandru Matei, Dragos Circa, Constantin-Bala Zamfirescu</t>
  </si>
  <si>
    <t>IEEE Access</t>
  </si>
  <si>
    <t>2169-3536</t>
  </si>
  <si>
    <t>https://www.webofscience.com/wos/woscc/full-record/WOS:000838522700001</t>
  </si>
  <si>
    <t>https://ieeexplore.ieee.org/document/9804721</t>
  </si>
  <si>
    <t>10.1109/ACCESS.2022.3185763</t>
  </si>
  <si>
    <t>000838522700001</t>
  </si>
  <si>
    <t>68416-68428</t>
  </si>
  <si>
    <t>000839704000001</t>
  </si>
  <si>
    <t>2725</t>
  </si>
  <si>
    <t>Claudiu Buduleci, Arpad Gellert, Adrian Florea, Alexandru Matei</t>
  </si>
  <si>
    <t>https://www.scopus.com/record/display.uri?eid=2-s2.0-85134177773&amp;origin=resultslist&amp;sort=plf-f&amp;src=s&amp;st1=Extending+Sniper+with+Support+to+Access+Operand+Values%3a+A+Case+Study+on+Reusability+Measurement&amp;sid=ca0c6882e1c2d028fe5132efcc5fe07a&amp;sot=b&amp;sdt=b&amp;sl=102&amp;s=TITLE%28Extending+Sniper+with+Support+to+Access+Operand+Values%3a+A+Case+Study+on+Reusability+Measurement%29&amp;relpos=0&amp;citeCnt=0&amp;searchTerm=</t>
  </si>
  <si>
    <t>https://ieeexplore.ieee.org/document/9805869</t>
  </si>
  <si>
    <t>70-75</t>
  </si>
  <si>
    <t>23rd International Carpathian Control Conference</t>
  </si>
  <si>
    <t>Electricity Production and Consumption Modeling through Fuzzy Logic</t>
  </si>
  <si>
    <t>Lorena M. Olaru, Arpad Gellert, Ugo Fiore (Univ. of Salerno), Francesco Palmieri (Univ. of Salerno)</t>
  </si>
  <si>
    <t>International Journal of Intelligent Systems</t>
  </si>
  <si>
    <t>0884-8173</t>
  </si>
  <si>
    <t>https://www.webofscience.com/wos/woscc/full-record/WOS:000809973500001</t>
  </si>
  <si>
    <t>https://onlinelibrary.wiley.com/doi/full/10.1002/int.22942</t>
  </si>
  <si>
    <t>10.1002/int.22942</t>
  </si>
  <si>
    <t>000809973500001</t>
  </si>
  <si>
    <t>8348-8364</t>
  </si>
  <si>
    <t>Zamfirescu Ctin</t>
  </si>
  <si>
    <t>Digital Twin for automated guided vehicles fleet management</t>
  </si>
  <si>
    <t>A. Matei, D. Circa, C.B. Zamfirescu</t>
  </si>
  <si>
    <t>Procedia Computer Science</t>
  </si>
  <si>
    <t>1877-0509</t>
  </si>
  <si>
    <t>https://www.webofscience.com/wos/woscc/full-record/WOS:000765802100175</t>
  </si>
  <si>
    <t>https://www.sciencedirect.com/science/article/pii/S1877050922001739</t>
  </si>
  <si>
    <t>10.1016/j.procs.2022.01.172</t>
  </si>
  <si>
    <t>WOS:000765802100175</t>
  </si>
  <si>
    <t>1363-1369</t>
  </si>
  <si>
    <t>8TH INTERNATIONAL CONFERENCE ON INFORMATION TECHNOLOGY AND QUANTITATIVE MANAGEMENT</t>
  </si>
  <si>
    <t>Chengdu, PEOPLES R CHINA</t>
  </si>
  <si>
    <t>Multimodal emotion detection from multiple data streams for improved decision making</t>
  </si>
  <si>
    <t>M. Neghina, A. Matei, C.B. Zamfirescu</t>
  </si>
  <si>
    <t>https://www.scopus.com/record/display.uri?eid=2-s2.0-85146117683&amp;origin=resultslist&amp;sort=plf-f&amp;src=s&amp;sid=6f8cb5ecb49c79c62e6f289e30b7da13&amp;sot=b&amp;sdt=b&amp;s=TITLE-ABS-KEY%28Multimodal+emotion+detection+from+multiple+data+streams+for+improved+decision+making%29&amp;sl=95&amp;sessionSearchId=6f8cb5ecb49c79c62e6f289e30b7da13</t>
  </si>
  <si>
    <t>https://www.sciencedirect.com/science/article/pii/S1877050922019937</t>
  </si>
  <si>
    <t>10.1007/978-3-030-83723-5_10.</t>
  </si>
  <si>
    <t>140-152</t>
  </si>
  <si>
    <t>9th International Conference on Information Technology and Quantitative Management</t>
  </si>
  <si>
    <t>Rodos</t>
  </si>
  <si>
    <t>Rosioru, Sabin [UPB] ; Mihai, Viorel [UPB] ; Neghina, Mihai [ULBS] ; Craciunean, Daniel [ULBS] ; Stamatescu, Grigore) [UPB]</t>
  </si>
  <si>
    <t>MDPI Applied Sciences</t>
  </si>
  <si>
    <t>eISSN
:
2076-3417</t>
  </si>
  <si>
    <t>https://www.webofscience.com/wos/woscc/full-record/WOS:000776129400001</t>
  </si>
  <si>
    <t>3038</t>
  </si>
  <si>
    <t>Neghina Mihai</t>
  </si>
  <si>
    <t>Mihai, Neghina [ULBS];Alexandru, Matei [ULBS];Bala-Constantin, Zamfirescu [ULBS]</t>
  </si>
  <si>
    <t>Issue C</t>
  </si>
  <si>
    <t>eISSN : 1877-0509</t>
  </si>
  <si>
    <t>https://www.scopus.com/record/display.uri?eid=2-s2.0-85146117683&amp;origin=resultslist&amp;sort=plfdt-f&amp;listId=47630182&amp;listTypeValue=Docs&amp;src=s&amp;imp=t&amp;sid=9e4e6a3ed6ce9d8d12de55d9f67cf55f&amp;sot=sl&amp;sdt=sl&amp;sl=0&amp;relpos=0&amp;citeCnt=0&amp;searchTerm=</t>
  </si>
  <si>
    <t>https://doi.org/10.1016/j.procs.2022.11.281</t>
  </si>
  <si>
    <t>1082-1089</t>
  </si>
  <si>
    <t>~</t>
  </si>
  <si>
    <t>Framework for distribution network modelling and fault simulation using MATLAB</t>
  </si>
  <si>
    <t>Şolea Claudiu(UP Timișoara) Toader Dumitru (UP Timișoara), Vintan, Maria, Greconici Marian (UP Timișoara), Vesa Daniela (UP Timișoara), Tatai Ildiko (UP Timișoara)</t>
  </si>
  <si>
    <t>EPE 2022 -Proceedings of the2022 12thInternationalConference andExposition onElectrical and PowerEngineering</t>
  </si>
  <si>
    <t>https://ieeexplore.ieee.org/document/9959758</t>
  </si>
  <si>
    <t>10.1109/EPE56121.2022.9959758</t>
  </si>
  <si>
    <t>118-123</t>
  </si>
  <si>
    <t>International Conference and Exposition on Electrical And Power Engineering</t>
  </si>
  <si>
    <t>Iasi, Romania</t>
  </si>
  <si>
    <t>Vintan Maria</t>
  </si>
  <si>
    <t>The behavior of composite materials based on polyurethan resin subjected to uniaxial tensile test</t>
  </si>
  <si>
    <t>Olivia-Laura Petraşcu, Raluca Manole, Adrian-Marius Pascu</t>
  </si>
  <si>
    <t>Materials Today: Proceedings</t>
  </si>
  <si>
    <t>2214-7853</t>
  </si>
  <si>
    <t>https://www.scopus.com/record/display.uri?eid=2-s2.0-85132367286&amp;origin=resultslist&amp;sort=plf-f</t>
  </si>
  <si>
    <t>https://www.sciencedirect.com/science/article/pii/S2214785322035957?pes=vor</t>
  </si>
  <si>
    <t>https://doi.org/10.1016/j.matpr.2022.05.308</t>
  </si>
  <si>
    <t>2673-2678</t>
  </si>
  <si>
    <t>WoS / Scopus</t>
  </si>
  <si>
    <t>Baiasu Petrascu Olivia</t>
  </si>
  <si>
    <t>COMPARATIVE STUDY OF POLYAMIDE 6 (PA6) AND POLYAMIDE 6 REINFORCED WITH GLASS FIBER (PA6 GF30)</t>
  </si>
  <si>
    <t>Olivia-Laura Petraşcu, Adrian-Marius Pascu</t>
  </si>
  <si>
    <t>https://www.scopus.com/record/display.uri?eid=2-s2.0-85142345524&amp;origin=resultslist&amp;sort=plf-f</t>
  </si>
  <si>
    <t>38th Danubia-Adria Symposium on Advances in Experimental Mechanics, DAS 2022</t>
  </si>
  <si>
    <t>Poros, Grecia</t>
  </si>
  <si>
    <t>978-618862780-2</t>
  </si>
  <si>
    <t>Integrating Trajectory Planning with Kinematic Analysis and Joint Torques Estimation for an Industrial Robot Used in Incremental Forming Operations</t>
  </si>
  <si>
    <t>Racz, Sever-Gabriel, Mihai Crenganiș, Radu-Eugen Breaz, Alexandru Bârsan, Claudia-Emilia Gîrjob, Cristina-Maria Biriș,  Melania Tera (ULBS)</t>
  </si>
  <si>
    <t>Machines</t>
  </si>
  <si>
    <t>2075-1702</t>
  </si>
  <si>
    <t>https://www.webofscience.com/wos/woscc/full-record/WOS:000833724900001</t>
  </si>
  <si>
    <t>https://www.mdpi.com/2075-1702/10/7/531</t>
  </si>
  <si>
    <t>https://doi.org/10.3390/machines10070531</t>
  </si>
  <si>
    <t>WOS:000833724900001</t>
  </si>
  <si>
    <t>Barsan Alexandru</t>
  </si>
  <si>
    <t>Mobile Robots-AHP-Based Actuation Solution Selection and Comparison between Mecanum Wheel Drive and Differential Drive with Regard to Dynamic Loads</t>
  </si>
  <si>
    <t>Racz Sever-Gabriel, Mihai Crenganiș, Radu-Eugen Breaz, Adrian Maroșan, Alexandru Bârsan, Claudia-Emilia Gîrjob, Cristina-Maria Biriș,  Melania Tera (ULBS)</t>
  </si>
  <si>
    <t xml:space="preserve">https://www.webofscience.com/wos/woscc/full-record/WOS:000874293700001 </t>
  </si>
  <si>
    <t>https://www.mdpi.com/2075-1702/10/10/886</t>
  </si>
  <si>
    <t>https://doi.org/10.3390/machines10100886</t>
  </si>
  <si>
    <t>WOS:000874293700001</t>
  </si>
  <si>
    <t>Dynamic analysis of a robot-based incremental sheet forming using Matlab-Simulink Simscape (TM) environment</t>
  </si>
  <si>
    <t>Alexandru Bârsan, Racz Sever-Gabriel,  Radu-Eugen Breaz, Mihai Crenganiș (ULBS)</t>
  </si>
  <si>
    <t>MATERIALS TODAY-PROCEEDINGS</t>
  </si>
  <si>
    <t>https://www.scopus.com/record/display.uri?eid=2-s2.0-85127569219&amp;origin=resultslist&amp;sort=plf-f</t>
  </si>
  <si>
    <t>https://www.sciencedirect.com/science/article/pii/S2214785322014572</t>
  </si>
  <si>
    <t>https://doi.org/10.1016/j.matpr.2022.03.134</t>
  </si>
  <si>
    <t>WOS:000830020400002</t>
  </si>
  <si>
    <t>2538-2542</t>
  </si>
  <si>
    <t>EVALUATION OF THE DIMENSIONAL ACCURACY THROUGH 3D OPTICAL SCANNING IN INCREMENTAL SHEET FORMING</t>
  </si>
  <si>
    <t>https://www.scopus.com/record/display.uri?eid=2-s2.0-85142357543&amp;origin=resultslist&amp;sort=plf-f</t>
  </si>
  <si>
    <t>38th Danubia Adria Symposium on Advances in Experimental Mechanics</t>
  </si>
  <si>
    <t>Sever-Gabriel Racz,Mihai Crenganiș,Radu-Eugen Breaz,Alexandru Bârsan,Claudia-Emilia Gîrjob,Cristina-Maria Biriș, Melania Tera</t>
  </si>
  <si>
    <t xml:space="preserve"> ISSN: 2075-1702</t>
  </si>
  <si>
    <t>531</t>
  </si>
  <si>
    <t>Biris Cristina</t>
  </si>
  <si>
    <t>Mobile Robots—AHP-Based Actuation Solution Selection and Comparison between Mecanum Wheel Drive and Differential Drive with Regard to Dynamic Loads</t>
  </si>
  <si>
    <t>Sever-Gabriel Racz,Mihai Crenganiș,Radu-Eugen Breaz,Adrian Maroșan, Alexandru Bârsan,Claudia-Emilia Gîrjob,Cristina-Maria Biriș, Melania Tera</t>
  </si>
  <si>
    <t>https://www.webofscience.com/wos/woscc/full-record/WOS:000874293700001</t>
  </si>
  <si>
    <t>https://www.mdpi.com/2075-1702/10/10/886/htm</t>
  </si>
  <si>
    <t>886</t>
  </si>
  <si>
    <t>Racz S. G., Crenganiș M., Breaz R. E., Maroșan A., Bârsan A., Gîrjob C. E., Biriș C. M., Tera, M.</t>
  </si>
  <si>
    <t xml:space="preserve">Racz S. G., Crenganiș M., Breaz R. E., Bârsan A., Gîrjob C. E., Biriș C. M., Tera, M. </t>
  </si>
  <si>
    <t>1-31</t>
  </si>
  <si>
    <t>Bârsan A., Racz S. G., Breaz R. E., Crenganiș M.</t>
  </si>
  <si>
    <t>https://www.sciencedirect.com/science/article/pii/S2214785322014572?via%3Dihub</t>
  </si>
  <si>
    <t>Evaluation of the Dimensional Accuracy Through 3d Optical Scanning in Incremental Sheet Forming</t>
  </si>
  <si>
    <t>Racz, S.G., Crenganiș, M., Breaz, R.E., Bârsan, A., Gîrjob, C.E.,Biriș, C.M.,Tera, M.,</t>
  </si>
  <si>
    <t>10(7)</t>
  </si>
  <si>
    <t>10.3390/machines10070531</t>
  </si>
  <si>
    <t>Racz, S.G., Crenganiș, M., Breaz, R.E., Maroșan, A.I.,, Bârsan, A., Gîrjob, C.E.,Biriș, C.M.,Tera, M.,</t>
  </si>
  <si>
    <t>FING5</t>
  </si>
  <si>
    <t>10(10)</t>
  </si>
  <si>
    <t>10.3390/machines10100886</t>
  </si>
  <si>
    <t>Chicea Anca</t>
  </si>
  <si>
    <t>Empirical Modeling of COVID-19 Evolution with High/Direct Impact on Public Health and Risk Assessment</t>
  </si>
  <si>
    <t>Ouerfelli Noureddine 
(Institut Supérieur des Technologies Médicales de Tunis, Laboratoire de Biophysique et Technologies Médicales, Université de Tunis El Manar, Tunisia), Vrinceanu Narcisa (ULBS), Coman Diana (ULBS), Cioca Adriana Lavinia (CMI)</t>
  </si>
  <si>
    <t>International Journal of Environmental Research and Public Health</t>
  </si>
  <si>
    <t>https://www.webofscience.com/wos/woscc/full-record/WOS:000775334900001</t>
  </si>
  <si>
    <t>https://www.mdpi.com/1660-4601/19/6/3707/htm</t>
  </si>
  <si>
    <t>10.3390/ijerph19063707</t>
  </si>
  <si>
    <t>WOS:000775334900001</t>
  </si>
  <si>
    <t>3707</t>
  </si>
  <si>
    <t>The correlation between structural attributes and magnetic shielding of some metal nanoparticles engineered polymeric surfaces</t>
  </si>
  <si>
    <t>Vrînceanu Narcisa (ULBS), Coman Diana (ULBS)</t>
  </si>
  <si>
    <t xml:space="preserve">MATERIALS TODAY-PROCEEDINGS </t>
  </si>
  <si>
    <t>Special Issue Part 5</t>
  </si>
  <si>
    <t>https://www.webofscience.com/wos/woscc/full-record/WOS:000818797700002</t>
  </si>
  <si>
    <t>file:///C:/Users/Administrator/Downloads/1-s2.0-S2214785322012251-main.pdf</t>
  </si>
  <si>
    <t>10.1016/j.matpr.2022.02.563</t>
  </si>
  <si>
    <t>WOS:000818797700002</t>
  </si>
  <si>
    <t>2399-2403</t>
  </si>
  <si>
    <t>37th Danubia Adria Symposium on Advances in Experimental Mechanics (DAS)</t>
  </si>
  <si>
    <t xml:space="preserve"> Linz, Austria</t>
  </si>
  <si>
    <t>New Graphical Predictions of Some UV Radiation and Water Shielded Attributes of Polymeric Supports with Direct Implication in Comfort Performance</t>
  </si>
  <si>
    <t>Vrinceanu Narcisa (ULBS),Ouerfelli Noureddine (Institut Supérieur des Technologies Médicales de Tunis, Laboratoire de Biophysique et Technologies Médicales, Université de Tunis El Manar, Tunisia),  Coman Diana (ULBS)</t>
  </si>
  <si>
    <t>Advances in Applied Research on Textile and Materials - IX. CIRATM 2020. Msahli, S., Debbabi, F. (eds), Springer Proceedings in Materials, vol 17. Springer</t>
  </si>
  <si>
    <t>Part of the Springer Proceedings in Materials book series (SPM,volume 17)</t>
  </si>
  <si>
    <t xml:space="preserve">2662-3161/E-ISSN 2662-317X </t>
  </si>
  <si>
    <t>https://www-scopus-com.am.e-nformation.ro/record/display.uri?eid=2-s2.0-85136782162&amp;origin=resultslist&amp;sort=plf-f&amp;src=s&amp;st1=COMAN&amp;st2=DIANA&amp;nlo=1&amp;nlr=20&amp;nls=count-f&amp;sid=fbabd3753532e2eb1b044b7904143921&amp;sot=anl&amp;sdt=aut&amp;sl=33&amp;s=AU-ID%28%22Coman%2c+Diana%22+26422792400%29&amp;relpos=1&amp;citeCnt=0&amp;searchTerm=https://link.springer.com/chapter/10.1007/978-3-031-08842-1_33</t>
  </si>
  <si>
    <t>https://link.springer.com/chapter/10.1007/978-3-031-08842-1_33#citeas</t>
  </si>
  <si>
    <t>10.1007/978-3-031-08842-1_33</t>
  </si>
  <si>
    <t>204 - 209</t>
  </si>
  <si>
    <t>International Conference of Applied Research on Textile and Materials: CIRATM -9</t>
  </si>
  <si>
    <t xml:space="preserve">Monastir,Tunisia </t>
  </si>
  <si>
    <t>978-3-031-08841-4</t>
  </si>
  <si>
    <t>Racz, S.-G.; Crenganiș, M.; Breaz, R.-E.; Maroșan, A.; Bârsan, A.; Gîrjob, C.-E.; Biriș, C.-M.; Tera, M. (Departamentul de Mașini și Echipamente Industriale, Facultatea de Inginerie, Universitatea Lucian Blaga din Sibiu, Victoriei 10, 550024 Sibiu, România)</t>
  </si>
  <si>
    <t xml:space="preserve">MDPI- Machines </t>
  </si>
  <si>
    <t>Marosan Iosif Adrian</t>
  </si>
  <si>
    <t>COFARU, N. F., OLEKSIK, V., COFARU, II, SIMION, C. M., ROMAN, M. D., LEBADA, I. C., &amp; FLEACA, S. R. (toți ULBS)</t>
  </si>
  <si>
    <t>Applied Sciences-Basel</t>
  </si>
  <si>
    <t>2475</t>
  </si>
  <si>
    <t>ROSCA, N. (ULBS), TRZEPIECINSKI, T. (Rzeszow University of Technology), &amp; OLEKSIK, V. (ULBS)</t>
  </si>
  <si>
    <t>https://doi.org/10.3390/ma15186453</t>
  </si>
  <si>
    <t>6453</t>
  </si>
  <si>
    <t>Recent Developments and Future Challenges in Incremental Sheet Forming of Aluminium and Aluminium Alloy Sheets</t>
  </si>
  <si>
    <t xml:space="preserve">TRZEPIECINSKI, T. (Rzeszow University of Technology), NAJM, S. M. (Budapest University of Technology and Economics), OLEKSIK, V. (ULBS), VASILCA, D. (ULBS), PANITI, I. (Budapest University of Technology and Economics), &amp; SZPUNAR, M. (Rzeszow University of Technology) </t>
  </si>
  <si>
    <t>Metals</t>
  </si>
  <si>
    <t>2075-4701</t>
  </si>
  <si>
    <t>https://www.webofscience.com/wos/woscc/full-record/WOS:000747631000001</t>
  </si>
  <si>
    <t>https://www.mdpi.com/2075-4701/12/1/124</t>
  </si>
  <si>
    <t>https://doi.org/10.3390/met12010124</t>
  </si>
  <si>
    <t>WOS:000747631000001</t>
  </si>
  <si>
    <r>
      <rPr>
        <sz val="10"/>
        <color theme="1"/>
        <rFont val="Arial Narrow"/>
      </rPr>
      <t xml:space="preserve">Olivia-Laura Petraşcu, Raluca Manole, </t>
    </r>
    <r>
      <rPr>
        <b/>
        <sz val="10"/>
        <color theme="1"/>
        <rFont val="Arial Narrow"/>
      </rPr>
      <t>Adrian-Marius Pascu</t>
    </r>
  </si>
  <si>
    <t>https://www.sciencedirect.com/science/article/abs/pii/S2214785322035957</t>
  </si>
  <si>
    <t>WOS:000819228900005</t>
  </si>
  <si>
    <t>Analysis of the metal sheets formability at single point incremental forming process.</t>
  </si>
  <si>
    <r>
      <rPr>
        <sz val="10"/>
        <color theme="1"/>
        <rFont val="Arial Narrow"/>
      </rPr>
      <t xml:space="preserve">GP Rusu, VŞ Oleksik, RE Breaz, D Dobrotă, </t>
    </r>
    <r>
      <rPr>
        <b/>
        <sz val="10"/>
        <color theme="1"/>
        <rFont val="Arial Narrow"/>
      </rPr>
      <t>IO Popp (</t>
    </r>
    <r>
      <rPr>
        <sz val="10"/>
        <color theme="1"/>
        <rFont val="Arial Narrow"/>
      </rPr>
      <t>ULBS)</t>
    </r>
  </si>
  <si>
    <t>MATEC Web of Conferences 368 (9), 01006</t>
  </si>
  <si>
    <t>2261-236X</t>
  </si>
  <si>
    <t>https://www.matec-conferences.org/articles/matecconf/abs/2022/15/matecconf_newtech22_01006/matecconf_newtech22_01006.html</t>
  </si>
  <si>
    <t>https://doi.org/10.1051/matecconf/202236801006</t>
  </si>
  <si>
    <t>1 la 9</t>
  </si>
  <si>
    <t>NEWTECH 2022 – The 7th International Conference on Advanced Manufacturing Engineering and Technologies</t>
  </si>
  <si>
    <t>Mobile robot vision navigation strategy based on pixy2 camera</t>
  </si>
  <si>
    <t>Morariu, F., Morariu, T., Racz, S.-G.</t>
  </si>
  <si>
    <t>https://www.scopus.com/record/display.uri?eid=2-s2.0-85142349858&amp;origin=resultslist&amp;sort=plf-f&amp;src=s&amp;sid=7ccb1885b3451959b1c0fadad0ddabaa&amp;sot=a&amp;sdt=a&amp;sl=38&amp;s=AU-ID%2857215866756%29+AND+PUBYEAR+IS+2022&amp;relpos=3&amp;citeCnt=0&amp;searchTerm=</t>
  </si>
  <si>
    <t>Dobrotă D., Racz SG., Oleksik M., Rotaru I., Tomescu M., Simion C.</t>
  </si>
  <si>
    <t>https://10.3390/s22010028</t>
  </si>
  <si>
    <t>A sensitivity analysis of MHD nanofluid flow across an exponentially stretched surface with non-uniform heat flux by response surface methodology</t>
  </si>
  <si>
    <t>Hussain, S (Hussain, Shahid) [COMSATS Univ Islamabad, Dept Math, Attock Campus,Kamra Rd, Attock 43600, Pakistan] ; Rasheed, K (Rasheed, Kianat) [COMSATS Univ Islamabad, Dept Math, Attock Campus,Kamra Rd, Attock 43600, Pakistan] ; Ali, A (Ali, Aamir) [COMSATS Univ Islamabad, Dept Math, Attock Campus,Kamra Rd, Attock 43600, Pakistan] ; Vrinceanu, N (Vrinceanu, Narcisa) [Lucian Blaga Univ Sibiu, Fac Engn, Dept Ind Machines &amp; Equipments, 10 Victoriei Blvd, Sibiu 550024, Romania] ; Alshehri, A (Alshehri, Ahmed) [Rabigh King Abdul Aziz Univ, Dept Math, Coll Sci &amp; Arts, Rabigh 21911, Saudi Arabia] ; Shah, Z (Shah, Zahir) [Univ Lakki Marwat, Dept Math Sci, Lakki Marwat 28420, Khyber Pakhtunk, Pakistan]</t>
  </si>
  <si>
    <t>Scientific Reports</t>
  </si>
  <si>
    <t>2045-2322</t>
  </si>
  <si>
    <t>https://1510q6ddu-y-https-www-webofscience-com.z.e-nformation.ro/wos/woscc/full-record/WOS:000878306800039</t>
  </si>
  <si>
    <t>https://www.nature.com/articles/s41598-022-22970-y</t>
  </si>
  <si>
    <t>https://doi.org/10.1038/s41598-022-22970-y</t>
  </si>
  <si>
    <t>WOS:000878306800039</t>
  </si>
  <si>
    <t>Blood Flow of Au-Nanofluid Using Sisko Model in Stenotic Artery with Porous Walls and Viscous Dissipation Effect</t>
  </si>
  <si>
    <t>Tang, TQ (Tang, Tao-Qian) [Natl Tsing Hua Univ, Int Intercollegiate PhD Program, Hsinchu 30013, Taiwan; E Da Hosp, Dept Internal Med, Kaohsiung 82445, Taiwan; Shou Univ, Coll Med, Sch Med, Kaohsiung 82445, Taiwan
 E Da Hosp, Dept Family &amp; Community Med, Kaohsiung 82445, Taiwan; Natl Tsing Hua Univ, Dept Engn &amp; Syst Sci, Hsinchu 30013, Taiwan] ; Rooman, M (Rooman, Muhammad) [Univ Lakki Marwat, Dept Math Sci, Lakki Marwat 28420, Pakistan] ; Vrinceanu, N (Vrinceanu, Narcisa) [Lucian Blaga Univ Sibiu, Fac Engn, Dept Ind Machines &amp; Equipments, 10 Victoriei Blvd, Sibiu 5500204, Romania] ; Shah, Z (Shah, Zahir) [Univ Lakki Marwat, Dept Math Sci, Lakki Marwat 28420, Pakistan] ; Alshehri, A (Alshehri, Ahmed) [King Abdulaziz Univ, Fac Sci, Dept Math, Jeddah 21589, Saudi Arabia]</t>
  </si>
  <si>
    <t>2072-666X</t>
  </si>
  <si>
    <t>https://1510q6ddu-y-https-www-webofscience-com.z.e-nformation.ro/wos/woscc/full-record/WOS:000846730300001</t>
  </si>
  <si>
    <t>https://www.mdpi.com/2072-666X/13/8/1303</t>
  </si>
  <si>
    <t>10.3390/mi13081303</t>
  </si>
  <si>
    <t xml:space="preserve">WOS:000846730300001 </t>
  </si>
  <si>
    <t>Darcy–Forchheimer Magnetized Nanofluid flow along with Heating and Dissipation Effects over a Shrinking Exponential Sheet with Stability Analysis</t>
  </si>
  <si>
    <t>Lund, LA (Lund, Liaquat Ali) [Sindh Agr Univ, KCAET Khairpur Mirs, Sindh 70060, Pakistan] ; Chandio, AF (Chandio, Abdul Fattah) [Quaid E Awam Univ Engn Sci &amp; Technol Nawabshah, Dept Elect Engn, Sindh 67480, Pakistan] ; Vrinceanu, N (Vrinceanu, Narcisa) [Lucian Blaga Univ Sibiu, Fac Engn, Dept Ind Machines &amp; Equipments, 10 Victoriei Blvd, Sibiu 550024, Romania] ; Yashkun, U (Yashkun, Ubaidullah) [Sukkur IBA Univ, Dept Math &amp; Social Sci, Sukkur 79165, Sindh, Pakistan] ; Shah, ZH (Shah, Zahir) [Univ Lakki Marwat, Dept Math Sci, Lakki Marwat 28420, Khyber Pakhtunk, Pakistan] ; Alshehri, A (Alshehri, Ahmed) [King Abdulaziz Univ, Fac Sci, Dept Math, Jeddah 21589, Saudi Arabia]</t>
  </si>
  <si>
    <t xml:space="preserve">Micromachines </t>
  </si>
  <si>
    <t>https://1510q6ddu-y-https-www-webofscience-com.z.e-nformation.ro/wos/woscc/full-record/WOS:000916174800001</t>
  </si>
  <si>
    <t>https://www.mdpi.com/2072-666X/14/1/106</t>
  </si>
  <si>
    <t>https://doi.org/10.3390/mi14010106</t>
  </si>
  <si>
    <t>WOS:000846730300001</t>
  </si>
  <si>
    <t xml:space="preserve">Effect of Thermal Radiation on Three-Dimensional Magnetized Rotating Flow of a Hybrid Nanofluid, </t>
  </si>
  <si>
    <t>Asghar, A (Asghar, Adnan) [Univ Utara Malaysia, Sch Quantitat Sci, Sintok 06010, Kedah, Malaysia] ; Lund, LA (Lund, Liaquat Ali) [Sindh Agr Univ, KCAET Khairpur Mirs, Tandojam Sindh 70060, Pakistan] ; Shah, ZH (Shah, Zahir) [Univ Lakki Marwat, Dept Math Sci, Lakki Marwat 28420, Pakistan] ; Vrinceanu, N (Vrinceanu, Narcisa) [Lucian Blaga Univ Sibiu, Dept Ind Machines &amp; Equipments, Fac Engn, 10 Victoriei Blvd, Sibiu 5500204, Romania] ; Deebani, W (Deebani, Wejdan) [King Abdulaziz Univ, Coll Arts &amp; Sci, Dept Math, Rabigh 21911, Saudi Arabia] ; Shutaywi, M (Shutaywi, Meshal) [King Abdulaziz Univ, Coll Arts &amp; Sci, Dept Math, Rabigh 21911, Saudi Arabia]</t>
  </si>
  <si>
    <t>Nanomaterials</t>
  </si>
  <si>
    <t>2079-4991</t>
  </si>
  <si>
    <t>https://1510q6ddu-y-https-www-webofscience-com.z.e-nformation.ro/wos/woscc/full-record/WOS:000794599000001</t>
  </si>
  <si>
    <t>https://www.mdpi.com/2079-4991/12/9/1566/pdf , https://www.mdpi.com/journal/nanomaterials</t>
  </si>
  <si>
    <t>https://doi.org/10.3390/nano12091566,</t>
  </si>
  <si>
    <t>WOS:000828113500001</t>
  </si>
  <si>
    <t>Ouerfelli, N (Ouerfelli, Noureddine) [Univ Tunis El Manar, Inst Super Technol Med Tunis, Lab Biophys &amp; Technol Med, Tunis 1006, Tunisia] ; Vrinceanu, N (Vrinceanu, Narcisa) [Lucian Blaga Univ Sibiu, Dept Ind Machinery &amp; Equipment, Sibiu 550024, Romania] ; Coman, D (Coman, Diana) [Lucian Blaga Univ Sibiu, Dept Ind Machinery &amp; Equipment, Sibiu 550024, Romania] ; Cioca, AL (Cioca, Adriana Lavinia)</t>
  </si>
  <si>
    <t>Int. J. Environ. Res. Public Health</t>
  </si>
  <si>
    <t>https://1510q6ddu-y-https-www-webofscience-com.z.e-nformation.ro/wos/woscc/full-record/WOS:000775334900001</t>
  </si>
  <si>
    <t>https://www.mdpi.com/1660-4601/19/6/3707/pdf</t>
  </si>
  <si>
    <t xml:space="preserve">https://doi.org/10.3390/ijerph19063707 </t>
  </si>
  <si>
    <t>Entropy generation and thermal analysis on MHD second grad fluid with variable thermophysical properties over a stratified permeable surface of paraboloid revolution</t>
  </si>
  <si>
    <t>Shutaywi, M (Shutaywi, Meshal) [King Abdulaziz Univ, Coll Sci &amp; Arts, Dept Math, Rabigh 21911, Saudi Arabia] ; Rooman, M (Rooman, Muhammad) [Univ Lakki Marwat, Dept Math Sci, Lakki Marwat 28420, Khyber Pakhtunk, Pakistan] ; Jan, MA (Jan, Muhammad Asif) [Kohat Univ Sci &amp; Technol KUST, Dept Math, Kohat 26000, Khyber Pakhtoon, Pakistan] ; Vrinceanu, N (Vrinceanu, Narcisa) [Lucian Blaga Univ Sibiu, Fac Engn, Dept Ind Machines &amp; Equipments, Sibiu 5500204, Romania] ; Shah, Z (Shah, Zahir) [Univ Lakki Marwat, Dept Math Sci, Lakki Marwat 28420, Khyber Pakhtunk, Pakistan] ; Deebani, W (Deebani, Wejdan) [King Abdulaziz Univ, Coll Sci &amp; Arts, Dept Math, Rabigh 21911, Saudi Arabia]</t>
  </si>
  <si>
    <t>ACS Omega</t>
  </si>
  <si>
    <t>2470-1343 </t>
  </si>
  <si>
    <t>https://1510q6ddu-y-https-www-webofscience-com.z.e-nformation.ro/wos/woscc/full-record/WOS:000834596800001</t>
  </si>
  <si>
    <t>https://pubs.acs.org/doi/10.1021/acsomega.2c02452</t>
  </si>
  <si>
    <t>https://doi.org/10.1021/acsomega.2c02452</t>
  </si>
  <si>
    <t>WOS:000834596800001</t>
  </si>
  <si>
    <t>27436-27449</t>
  </si>
  <si>
    <t>Entropy Optimization and thermal behavior of porous system with considering hybrid nanofluid,</t>
  </si>
  <si>
    <t>Shah, ZH (Shah, Zahir) [Univ Lakki Marwat, Dept Math Sci, Lakki Marwat, Pakistan] ; Ullah, A (Ullah, Asad) [Univ Lakki Marwat, Dept Math Sci, Lakki Marwat, Pakistan] ; Musa, A (Musa, Awad) [Prince Sattam Bin Abdulaziz Univ, Coll Sci &amp; Humanities Al Aflaj, Dept Phys, Al Kharj, Saudi Arabia] ; Vrinceanu, N (Vrinceanu, Narcisa) [Lucian Blaga Univ Sibiu, Fac Engn, Dept Ind Machines &amp; Equipments, Sibiu, Romania] ; Bou, SF (Bou, Santiago Ferrandiz) [Univ Politecn Valencia, Higher Polytech Sch Alcoy, Dept Mech &amp; Mat Engn, Valencia, Spain] ; Iqbal, S (Iqbal, Shahid) [Albion Coll, Dept Phys, Albion, MI USA] ; Deebani, W (Deebani, Wejdan) [King Abdulaziz Univ, Coll Sci &amp; Arts, Dept Math, Rabigh, Saudi Arabia]</t>
  </si>
  <si>
    <t>Front. Phys</t>
  </si>
  <si>
    <t xml:space="preserve">2296-424X </t>
  </si>
  <si>
    <t>https://1510q6ddu-y-https-www-webofscience-com.z.e-nformation.ro/wos/woscc/full-record/WOS:000828113500001</t>
  </si>
  <si>
    <t>https://www.frontiersin.org/articles/10.3389/fphy.2022.929463/full</t>
  </si>
  <si>
    <t>https://doi.org/10.3389/fphy.2022.929463</t>
  </si>
  <si>
    <t>Entropy Optimization on Axisymmetric Darcy–Forchheimer Powell–Eyring Nanofluid over a Horizontally Stretching Cylinder with Viscous Dissipation Effect</t>
  </si>
  <si>
    <t>Rooman, M (Rooman, Muhammad) [Univ Lakki Marwat, Dept Math Sci, Lakki Marwat 28420, Pakistan; Kohat Univ Sci &amp; Technol KUST, Dept Math, Kohat 26000, Pakistan] ; Jan, MA (Jan, Muhammad Asif) [Kohat Univ Sci &amp; Technol KUST, Dept Math, Kohat 26000, Pakistan] ; Shah, Z (Shah, Zahir) [Univ Lakki Marwat, Dept Math Sci, Lakki Marwat 28420, Pakistan] ; Vrinceanu, N (Vrinceanu, Narcisa) [Lucian Blaga Univ Sibiu, Dept Ind Machines &amp; Equipments, Fac Engn, 10 Victoriei Blvd, Sibiu 550024, Romania] ; Bou, SF (Bou, Santiago Ferrandiz) [Univ Politecn Valencia, Higher Polytech Sch Alcoy, Dept Mech &amp; Mat Engn, Valencia 46022, Spain] ; Iqbal, S (Iqbal, Shahid) [Albion Coll, Dept Phys, Albion, MI 49224 USA] ; Deebani, W (Deebani, Wejdan) [King Abdulaziz Univ, Coll Sci &amp; Arts, Dept Math, Rabigh 21911, Saudi Arabia]</t>
  </si>
  <si>
    <t xml:space="preserve">Coatings </t>
  </si>
  <si>
    <t>https://1510q6ddu-y-https-www-webofscience-com.z.e-nformation.ro/wos/woscc/full-record/WOS:000818287800001</t>
  </si>
  <si>
    <t>https://www.mdpi.com/2079-6412/12/6/749</t>
  </si>
  <si>
    <t>https://doi.org/10.3390/coatings12060749</t>
  </si>
  <si>
    <t>WOS:000818287800001</t>
  </si>
  <si>
    <t xml:space="preserve">Mathematical Modelling of Ree-Eyring Nanofluid Using Koo-Kleinstreuer and Cattaneo-Christov Models on Chemically </t>
  </si>
  <si>
    <t>Shah, Z (Shah, Zahir) [Univ Lakki Marwat, Dept Math Sci, Lakki Marwat 28420, Pakistan] ; Vrinceanu, N (Vrinceanu, Narcisa) [Lucian Blaga Univ Sibiu, Fac Engn, Dept Ind Machines &amp; Equipments, 10 Victoriei Blvd, Sibiu 550024, Romania] ; Rooman, M (Rooman, Muhammad) [Univ Lakki Marwat, Dept Math Sci, Lakki Marwat 28420, Pakistan] ; Deebani, W (Deebani, Wejdan) [King Abdulaziz Univ, Coll Sci &amp; Arts, Dept Math, POB 344, Rabigh 21911, Saudi Arabia] ; Shutaywi, M (Shutaywi, Meshal) [King Abdulaziz Univ, Coll Sci &amp; Arts, Dept Math, POB 344, Rabigh 21911, Saudi Arabia]</t>
  </si>
  <si>
    <t>https://1510q6ddu-y-https-www-webofscience-com.z.e-nformation.ro/wos/woscc/full-record/WOS:000775746700001</t>
  </si>
  <si>
    <t>https://www.mdpi.com/2079-6412/12/3/391/pdf</t>
  </si>
  <si>
    <t xml:space="preserve">https://doi.org/10.3390/coatings12030391  </t>
  </si>
  <si>
    <t xml:space="preserve">Modeling the transmission phenomena of water-borne disease with non-singular and non-local kernel. </t>
  </si>
  <si>
    <t>Deebani, W (Deebani, Wejdan) [King Abdulaziz Univ, Coll Sci &amp; Arts, Dept Math, Rabigh, Saudi Arabia] ; Jan, R (Jan, Rashid) [Univ Swabi, Dept Math, Swabi, Pakistan] ; Shah, Z (Shah, Zahir) [Univ Lakki Marwat, Dept Math Sci, Lakki Marwat, Pakistan] ; Vrinceanu, N (Vrinceanu, Narcisa) [Lucian Blaga Univ Sibiu, Dept Ind Machines &amp; Equipments, Sibiu, Romania] ; Racheriu, M (Racheriu, Mihaela) [Lucian Blaga Univ Sibiu, Med Fac, Sibiu, Romania] , [Cty Clin Emergency Hosp, Dept Clin Surg, Sibiu, Romania]</t>
  </si>
  <si>
    <t xml:space="preserve">Comput Methods Biomech Biomed Engin. </t>
  </si>
  <si>
    <t xml:space="preserve">25:1-14. </t>
  </si>
  <si>
    <t>Print ISSN: 1025-5842 Online ISSN: 1476-8259</t>
  </si>
  <si>
    <t>https://1510q6gv2-y-https-www-webofscience-com.z.e-nformation.ro/wos/woscc/full-record/WOS:000844675900001</t>
  </si>
  <si>
    <t>https://www.tandfonline.com/doi/abs/10.1080/10255842.2022.2114793?journalCode=gcmb20</t>
  </si>
  <si>
    <t>10.1080/10255842.2022.2114793</t>
  </si>
  <si>
    <t xml:space="preserve">WOS:000844675900001  </t>
  </si>
  <si>
    <t>Q3/Q4</t>
  </si>
  <si>
    <t>Nanoparticle/biopolymer-based coatings for functionalization of textiles: recent developments (a minireview).</t>
  </si>
  <si>
    <t>Vrinceanu, N (Vrinceanu, Narcisa) [Lucian Blaga Univ Sibiu, Dept Ind Machines &amp; Equipments, Sibiu, Romania] ; Bucur, S (Bucur, Stefan) [Alexandru Ioan Cuza Univ, Fac Chem, Iasi, Romania] ; Rimbu, CM (Rimbu, Cristina Mihaela) [Ion Ionescu de la Brad Univ Agr Sci &amp; Vet Med, Dept Publ Hlth, Iasi, Romania] ; Neculai-Valeanu, S (Neculai-Valeanu, Sabina) [Res Stn Cattle Breeding, Iasi, Romania] ; Bou, SF (Bou, Santiago Ferrandiz) [Univ Politecn Valencia, Dept Mech &amp; Mat Engn, Valencia, Spain] ; Suchea, MP (Suchea, Mirela Petruta) [IMT Bucharest, Natl Inst Res &amp; Dev Microtechnol, Voluntari, Romania; Hellen Mediterranean Univ, Ctr Mat Technol &amp; Photon, Iraklion, Greece]</t>
  </si>
  <si>
    <t>Textile Research Journal</t>
  </si>
  <si>
    <t>19-20</t>
  </si>
  <si>
    <t>0040-5175</t>
  </si>
  <si>
    <t>https://1510q6ddu-y-https-www-webofscience-com.z.e-nformation.ro/wos/woscc/full-record/WOS:000752057700001</t>
  </si>
  <si>
    <t>https://journals.sagepub.com/doi/abs/10.1177/00405175211070613</t>
  </si>
  <si>
    <t xml:space="preserve">http://org.10.1177/00405175211070613 </t>
  </si>
  <si>
    <t>WOS:000752057700001</t>
  </si>
  <si>
    <t>3889-3902</t>
  </si>
  <si>
    <t>Narcisa Vrinceanu (Lucian Blaga Univ Sibiu, Fac Engn, 10 Victoriei Blvd, Sibiu 550024, Romania], Noureddine Ouerfelli (Laboratoire de Biophysique et Technologies Médicales Institut Supérieur des Technologies Médicales de Tunis, University of Tunis El Manar, 9, Av. Dr. Zouhaier Essafi, 1006, Tunis, Tunisia) &amp; Diana Coman (Lucian Blaga Univ Sibiu, Fac Engn, 10 Victoriei Blvd, Sibiu 550024, Romania]</t>
  </si>
  <si>
    <t>Msahli, S., Debbabi, F. (eds) Advances in Applied Research on Textile and Materials - IX. CIRATM 2020. Springer Proceedings in Materials,</t>
  </si>
  <si>
    <t>2662-3161/E-ISSN
2662-317X</t>
  </si>
  <si>
    <t>https://doi.org/10.1007/978-3-031-08842-1_33</t>
  </si>
  <si>
    <t>204–209</t>
  </si>
  <si>
    <t xml:space="preserve">International Conference of Applied Research on Textile and Materials, CIRATM 2020: Advances in Applied Research on Textile and Materials </t>
  </si>
  <si>
    <t>Tunis, Tunisia</t>
  </si>
  <si>
    <t>Radiative Darcy-Forchheimer Micropler Bödewadt flow of CNTs with viscous dissipation effect</t>
  </si>
  <si>
    <t>Shah, Z (Shah, Zahir) [Univ Lakki Marwat, Dept Math Sci, Lakki Marwat 28420, Khyber Pakhtunk, Pakistan] ; Rooman, M (Rooman, Muhammad) [Univ Lakki Marwat, Dept Math Sci, Lakki Marwat 28420, Khyber Pakhtunk, Pakistan] ; Jan, MA (Jan, Muhammad Asif) [Kohat Univ Sci &amp; Technol KUST, Dept Math, Kohat 26000, Khyber Pakhtoon, Pakistan] ; Vrinceanu, N (Vrinceanu, Narcisa) [Lucian Blaga Univ Sibiu, Fac Engn, Dept Ind Machines &amp; Equipments, 10 Victoriei Blvd, Sibiu 550024, Romania] ; Deebani, W (Deebani, Wejdan) [King Abdulaziz Univ, Coll Sci &amp; Arts, Dept Math, Rabigh, Saudi Arabia] ; Shutaywi, M (Shutaywi, Meshal) [King Abdulaziz Univ, Coll Sci &amp; Arts, Dept Math, Rabigh, Saudi Arabia] ; Bou, SF (Bou, Santiago Ferrandiz) [Univ Politecn Valencia, Dept Mech &amp; Mat Engn, Higher Polytech Sch Alcoy, Valencia, Spain]</t>
  </si>
  <si>
    <t>Journal of Petroleum Science and Engineering</t>
  </si>
  <si>
    <t>0920-4105</t>
  </si>
  <si>
    <t>https://1510q6gv2-y-https-www-webofscience-com.z.e-nformation.ro/wos/woscc/full-record/WOS:000853040100005</t>
  </si>
  <si>
    <t xml:space="preserve">https://www.sciencedirect.com/science/article/pii/S0920410522007148 ; https://reader.elsevier.com/reader/sd/pii/S0920410522007148?token=D2E3C262966472A8881B5B2E2AE56ADA5948B337F591731A7EA34D75C82B1B71C6A69CCF62C0378776AF4DF829750394&amp;originRegion=eu-west-1&amp;originCreation=20220715145213 </t>
  </si>
  <si>
    <t>https://doi.org/10.1016/j.petrol.2022.110857</t>
  </si>
  <si>
    <t xml:space="preserve">WOS:000853040100005  </t>
  </si>
  <si>
    <t>Statistical modeling for Ree-Eyring nanofluid flow in a conical gap between porous rotating surfaces with entropy generation and Hall Effect</t>
  </si>
  <si>
    <t>Rooman, M (Rooman, Muhammad) [Univ Lakki Marwat, Dept Math Sci, Lakki Marwat 28420, Khyber Pakhtunk, Pakistan] ; Shafiq, A (Shafiq, Anum) [Nanjing Univ Informat Sci &amp; Technol, Sch Math &amp; Stat, Nanjing 210044, Peoples R China] ; Shah, Z (Shah, Zahir) [Univ Lakki Marwat, Dept Math Sci, Lakki Marwat 28420, Khyber Pakhtunk, Pakistan] ; Vrinceanu, N (Vrinceanu, Narcisa) [Lucian Blaga Univ Sibiu, Fac Engn, Dept Ind Machines &amp; Equipments, 10 Victoriei Blvd, Sibiu 5500204, Romania] ; Deebani, W (Deebani, Wejdan) [4] ; Shutaywi, M (Shutaywi, Meshal) [King Abdulaziz Univ, Coll Sci &amp; Arts, Dept Math, Rabigh, Saudi Arabia]</t>
  </si>
  <si>
    <t>12(1)</t>
  </si>
  <si>
    <t>https://1510q6ddu-y-https-www-webofscience-com.z.e-nformation.ro/wos/woscc/full-record/WOS:000905463900026</t>
  </si>
  <si>
    <t>https://www.nature.com/articles/s41598-022-25136-y#citeas</t>
  </si>
  <si>
    <t xml:space="preserve">https://doi.org/10.1038/s41598-022-25136-y  </t>
  </si>
  <si>
    <t>WOS:000905463900026</t>
  </si>
  <si>
    <t>Structural and Functional Characterization of Novel Phosphotyrosine Phosphatase Protein from Drosophila melanogaster (Pupal Retina)</t>
  </si>
  <si>
    <t>Naz, R (Naz, Rubina) [Gomal Univ, Inst Chem Sci, Dera Ismail Khan 29050, Pakistan] ; Saeed, A (Saeed, Asma) [Gomal Univ, Dept Biol Sci, Dera Ismail Khan 29050, Pakistan] ; Tirth, V (Tirth, Vineet) [King Khalid Univ, Coll Engn, Mech Engn Dept, Abha 61421, Saudi Arabia] , [King Khalid Univ, Res Ctr Adv Mat Sci RCAMS, Abha 61413, Saudi Arabia] ; Shukla, NK (Shukla, Neeraj Kumar) [King Khalid Univ, Coll Engn, Mech Engn Dept, Abha 61421, Saudi Arabia] ; Mayet, AM (Mayet, Abdulilah Mohammad) [King Khalid Univ, Coll Engn, Mech Engn Dept, Abha 61421, Saudi Arabia] ; Khan, A (Khan, Alamzeb) [Arabia
5 ] ; Vrinceanu, N (Vrinceanu, Narcisa) [Lucian Blaga Univ Sibiu, Fac Engn, Dept Ind Machines &amp; Equipment, Sibiu 550024, Romania] ; Racheriu, M (Racheriu, Mihaela) [Lucian Blaga Univ Sibiu, Med Fac, Sibiu 550245, Romania] ; Amir, T (Amir, Tahira) [Univ Wah, Dept Chem, Wah 47040, Pakistan] ; Iqbal, A (Iqbal, Anwar) [Univ Lakki Marwat, Dept Chem Sci, Lakki Marwat 28420, Pakistan]</t>
  </si>
  <si>
    <t>2470-1343</t>
  </si>
  <si>
    <t>https://1510q6ddu-y-https-www-webofscience-com.z.e-nformation.ro/wos/woscc/full-record/WOS:000907741200001</t>
  </si>
  <si>
    <t>https://pubs.acs.org/doi/pdf/10.1021/acsomega.2c04760</t>
  </si>
  <si>
    <t>https://doi.org/10.1021/acsomega.2c04760</t>
  </si>
  <si>
    <t>WOS:000907741200001</t>
  </si>
  <si>
    <t>1937-1945</t>
  </si>
  <si>
    <t>Vrinceanu, N (Vrinceanu, Narcisa) [Lucian Blaga Univ Sibiu, Fac Engn, 10 Victoriei Blvd, Sibiu 550024, Romania] ; Coman, D (Coman, Diana) [Lucian Blaga Univ Sibiu, Fac Engn, 10 Victoriei Blvd, Sibiu 550024, Romania]</t>
  </si>
  <si>
    <t>Special Issue Part5</t>
  </si>
  <si>
    <t>https://1510q6gv2-y-https-www-webofscience-com.z.e-nformation.ro/wos/woscc/full-record/WOS:000818797700002</t>
  </si>
  <si>
    <t>https://www.sciencedirect.com/science/article/abs/pii/S2214785322012251</t>
  </si>
  <si>
    <t>https://doi.org/10.1016/j.matpr.2022.02.563</t>
  </si>
  <si>
    <t>The 37th Danubia Adria Symposium on Advances in Experimental Mechanics (DAS)</t>
  </si>
  <si>
    <t>Linz, Austria</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</si>
  <si>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</si>
  <si>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</si>
  <si>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</si>
  <si>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</si>
  <si>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</si>
  <si>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</si>
  <si>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</si>
  <si>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rPr>
      <t xml:space="preserve">* </t>
    </r>
    <r>
      <rPr>
        <b/>
        <sz val="10"/>
        <color theme="1"/>
        <rFont val="Arial Narrow"/>
      </rPr>
      <t xml:space="preserve">Punctaje de referință:                                                                                                                                                                                                                                                                                                             
</t>
    </r>
    <r>
      <rPr>
        <sz val="10"/>
        <color theme="1"/>
        <rFont val="Arial Narrow"/>
      </rPr>
      <t>• autor de volume/capitole: 10 p./pagină;
• coordonare/editare de volum: 5 p./pagină;
• traducere de volume/capitole: 5 p./pagină.
*În domeniul</t>
    </r>
    <r>
      <rPr>
        <b/>
        <sz val="10"/>
        <color theme="1"/>
        <rFont val="Arial Narrow"/>
      </rPr>
      <t xml:space="preserve"> Drept</t>
    </r>
    <r>
      <rPr>
        <sz val="10"/>
        <color theme="1"/>
        <rFont val="Arial Narrow"/>
      </rPr>
      <t xml:space="preserve">, pentru toate publicațiile se aplică </t>
    </r>
    <r>
      <rPr>
        <b/>
        <sz val="10"/>
        <color theme="1"/>
        <rFont val="Arial Narrow"/>
      </rPr>
      <t>un coeficient de multiplicare de 2</t>
    </r>
    <r>
      <rPr>
        <sz val="10"/>
        <color theme="1"/>
        <rFont val="Arial Narrow"/>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b/>
        <sz val="10"/>
        <color theme="1"/>
        <rFont val="Arial Narrow"/>
      </rPr>
      <t>limbi vechi</t>
    </r>
    <r>
      <rPr>
        <sz val="10"/>
        <color theme="1"/>
        <rFont val="Arial Narrow"/>
      </rPr>
      <t>” (latină, greacă veche, ebraică, slavonă) sau în/din „</t>
    </r>
    <r>
      <rPr>
        <b/>
        <sz val="10"/>
        <color theme="1"/>
        <rFont val="Arial Narrow"/>
      </rPr>
      <t>limbi străine mai puțin curente</t>
    </r>
    <r>
      <rPr>
        <sz val="10"/>
        <color theme="1"/>
        <rFont val="Arial Narrow"/>
      </rPr>
      <t>” (chineză, hindi, suedeză ș.a.), se aplică un c</t>
    </r>
    <r>
      <rPr>
        <b/>
        <sz val="10"/>
        <color theme="1"/>
        <rFont val="Arial Narrow"/>
      </rPr>
      <t>oeficient de multiplicare de 2</t>
    </r>
    <r>
      <rPr>
        <sz val="10"/>
        <color theme="1"/>
        <rFont val="Arial Narrow"/>
      </rPr>
      <t xml:space="preserve">.
</t>
    </r>
  </si>
  <si>
    <t>Titlul cărții</t>
  </si>
  <si>
    <t>Editura 
(Lista ULBS)</t>
  </si>
  <si>
    <t>ISBN</t>
  </si>
  <si>
    <t xml:space="preserve">Paginile capitolului/
cărții </t>
  </si>
  <si>
    <t>Nr autori afiliați la instituții de educație și cercetare din România</t>
  </si>
  <si>
    <t>Ivascu, L. Cioca, L. I.; Filip, F. G. (editori)</t>
  </si>
  <si>
    <t>Intelligent Techniques for Efficient Use of Valuable Resources</t>
  </si>
  <si>
    <t>Springer https://link.springer.com/book/10.1007/978-3-031-09928-1</t>
  </si>
  <si>
    <t>ISBN 978-3-031-09927-4 ISBN 978-3-031-09928-1 (eBook)</t>
  </si>
  <si>
    <t>1-172</t>
  </si>
  <si>
    <t>5 p/pag</t>
  </si>
  <si>
    <t xml:space="preserve">Ivascu, L. Cioca, L. I.; Filip, F. G. </t>
  </si>
  <si>
    <t>Information and Communications Technology in the Context of Circular Economy</t>
  </si>
  <si>
    <t>Springer https://link.springer.com/book/10.1007/978-3-031-09928-2</t>
  </si>
  <si>
    <t>10 p/pag</t>
  </si>
  <si>
    <t>Cioca, L.-I.; Fülöp, M.T.; Breaz, T.O.</t>
  </si>
  <si>
    <t>Mathematical Model of the Financial Sustainability of a Public University</t>
  </si>
  <si>
    <t>17-32</t>
  </si>
  <si>
    <t>10p/pag</t>
  </si>
  <si>
    <t>Cioca, L.-I. (editor)</t>
  </si>
  <si>
    <t>Circular Economy and Efficient Use of Resources</t>
  </si>
  <si>
    <t>MDPI Books https://www.mdpi.com/books/book/4858-circular-economy-and-efficient-use-of-resources</t>
  </si>
  <si>
    <t>978-3-0365-2994-3</t>
  </si>
  <si>
    <t>1-126</t>
  </si>
  <si>
    <t>5p/pag</t>
  </si>
  <si>
    <t>Computational Social Science, Proceedings of the 2nd International Conference on New Computational Social Science</t>
  </si>
  <si>
    <t>Dan Dobrota, Roshan Chitrakar, Maria Ciurea, Liliana Mâţă, Wei Luo</t>
  </si>
  <si>
    <t>Computational Social Science, Proceedings of the 2nd International Conference on New Computational Social Science, Routledge. Taylor&amp;Francis Group</t>
  </si>
  <si>
    <t xml:space="preserve">978-1003304791 </t>
  </si>
  <si>
    <t>282</t>
  </si>
  <si>
    <t>5p/pagină</t>
  </si>
  <si>
    <t xml:space="preserve">Crăciunean Daniel-Cristian (ULBS), Volovici Daniel (ULBS) </t>
  </si>
  <si>
    <t>Domain Specific Conceptual Modeling</t>
  </si>
  <si>
    <t>Springer, Cham</t>
  </si>
  <si>
    <t>978-3-030-93546-7</t>
  </si>
  <si>
    <t>543-565</t>
  </si>
  <si>
    <t>Craciunean Daniel</t>
  </si>
  <si>
    <t>Craciunean DC (ULBS), Volovici D.(ULBS)</t>
  </si>
  <si>
    <t>Domain-Specific Conceptual Modeling: Concepts, Methods and ADOxx Tools</t>
  </si>
  <si>
    <t>Springer International Publishing</t>
  </si>
  <si>
    <t>Volovici Daniel</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</si>
  <si>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</si>
  <si>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</si>
  <si>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</si>
  <si>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</si>
  <si>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</si>
  <si>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</si>
  <si>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</si>
  <si>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</si>
  <si>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sz val="10"/>
        <color theme="1"/>
        <rFont val="Arial Narrow"/>
      </rPr>
      <t xml:space="preserve">* </t>
    </r>
    <r>
      <rPr>
        <b/>
        <sz val="10"/>
        <color theme="1"/>
        <rFont val="Arial Narrow"/>
      </rPr>
      <t xml:space="preserve">Punctaje de referință:                                                                                                                                                                                                                                                                                                             </t>
    </r>
    <r>
      <rPr>
        <sz val="10"/>
        <color theme="1"/>
        <rFont val="Arial Narrow"/>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</si>
  <si>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</si>
  <si>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</si>
  <si>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</si>
  <si>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</si>
  <si>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</si>
  <si>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</si>
  <si>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</si>
  <si>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</si>
  <si>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</si>
  <si>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Petruse Radu Emanuil</t>
  </si>
  <si>
    <t>ScolioSAVE</t>
  </si>
  <si>
    <t>PED-2021-1215</t>
  </si>
  <si>
    <t>Beneficiar</t>
  </si>
  <si>
    <t>https://uefiscdi.gov.ro/resource-862932-d5.pdf</t>
  </si>
  <si>
    <t>2021-2022</t>
  </si>
  <si>
    <t>600.000,00 RON</t>
  </si>
  <si>
    <t>Pîrvu Bogdan-Constantin</t>
  </si>
  <si>
    <t>Futures of Innovation Technologies European Digital Innovation Hub (FIT EDIH)</t>
  </si>
  <si>
    <t>Selecția la nivel European a Centrelor de Inovare Digitală. 
European Digital Innovation Hubs (DIGITAL-2021-EDIH-01)</t>
  </si>
  <si>
    <t>Partener</t>
  </si>
  <si>
    <t xml:space="preserve">https://ec.europa.eu/info/funding-tenders/opportunities/portal/screen/opportunities/topic-details/digital-2021-edih-initial-01  </t>
  </si>
  <si>
    <t>372.765 Euro</t>
  </si>
  <si>
    <t>Intelligent Processing of Smart Materials</t>
  </si>
  <si>
    <t>HORIZON-MSCA-2021-DN-01</t>
  </si>
  <si>
    <t>220269.6 EURO</t>
  </si>
  <si>
    <t>Green and Smart Social Housing Districts – Stage 1 (GSSHD-S1)</t>
  </si>
  <si>
    <t>HORIZON-CL4-2021-RESILIENCE-02</t>
  </si>
  <si>
    <t xml:space="preserve">FLOREA ADRIAN (din partea ULBS)
</t>
  </si>
  <si>
    <t>https://ec.europa.eu/research/participants/grants/101079850?ticket=ST-32801646-zHmt2ozqkZTkESXKXGQMmFHYAPfQSF9SsX8gqzoK8i5umsEaWsqLfB7oodArpo9nCXR0CZU7wTa5dDJU2NBEAcm-jpJZscgsw0K7Hhzs52zbeom-ETMg0joKUOnrFU2zVMRFyPlURyUUY5D9INLJBfWAHO9zzof89ziE31tQXwW9JIJb8LgOazbAP725pBsBORFczcJ0#!/processes</t>
  </si>
  <si>
    <t>Nefinantat; 
Punctaj obtinut 6p din 10p</t>
  </si>
  <si>
    <t>CHATS: Confusion Heuristics in Autonomous Training Stations
for the Manufacturing Industry</t>
  </si>
  <si>
    <t>PN-III-CERC-CO-PED-3-2021</t>
  </si>
  <si>
    <t>Neghină Mihai</t>
  </si>
  <si>
    <t>https://uefiscdi.gov.ro/proiect-experimental-demonstrativ-ped</t>
  </si>
  <si>
    <t>120000 EUR</t>
  </si>
  <si>
    <t>AI4GreenPET
AI4GreenPET: Monitoring and Controlling Eco-Friendly Quality of the PET Bottle Manufacturing Process Based on Advanced AI Services</t>
  </si>
  <si>
    <t>DIH-World Open Call 2</t>
  </si>
  <si>
    <t>https://dihworld.eu/second-open-call/</t>
  </si>
  <si>
    <t>28125 EUR</t>
  </si>
  <si>
    <t>MERLIN: Manufacturing Ecosystem with Prediction-Based Digital Twins</t>
  </si>
  <si>
    <t>PN-III-ID-PCE-2021-3</t>
  </si>
  <si>
    <t>https://uefiscdi.gov.ro/resource-862333-pce-2021_rezultate-finale_informatica.pdf</t>
  </si>
  <si>
    <t>250000 EUR</t>
  </si>
  <si>
    <t>Metode de predicție centrată pe actor în sisteme expert de asamblare asistată</t>
  </si>
  <si>
    <t>AOSR Teams 2022-2023</t>
  </si>
  <si>
    <t>https://www.aosr.ro/rezultatele-competitiei-de-proiecte-de-cercetare-a-academiei-oamenilor-de-stiinta-din-romania-destinata-tinerilor-cercetatori-aosr-teams-editia-2022-2023/</t>
  </si>
  <si>
    <t>60000 RON</t>
  </si>
  <si>
    <t>Neghină Cătălina</t>
  </si>
  <si>
    <t>Monitoring eco-friendly quality of the PET bottle manufacturing using advanced AI (AI4GreenPET)</t>
  </si>
  <si>
    <t>HORIZON 2020 RESEARCH AND INNOVATION FRAMEWORK PROGRAMME DIH-WORLD-Open Call 2</t>
  </si>
  <si>
    <t>CENTROPLAST DOO
represented by Dragan Pantic</t>
  </si>
  <si>
    <t>2022
(proiectul a început pe 10 Octombrie 2022)</t>
  </si>
  <si>
    <t>Recunoașterea automată a insectelor în
imagini și evaluarea impactului
acestora asupra mediului</t>
  </si>
  <si>
    <t>UEFISCDI
PED 2021</t>
  </si>
  <si>
    <t>https://uefiscdi.gov.ro/resource-862960-d3.pdf</t>
  </si>
  <si>
    <t>2021
(afișare rezultate Iunie 2022)</t>
  </si>
  <si>
    <t>Euristica confuziei în staţii autonome de
instruire pentru industria de manufactură</t>
  </si>
  <si>
    <t>https://uefiscdi.gov.ro/resource-862978-d2.pdf</t>
  </si>
  <si>
    <t>Zamfirescu Bălă-Constantin</t>
  </si>
  <si>
    <t>Mihai Neghina</t>
  </si>
  <si>
    <t>Arpad Gellert</t>
  </si>
  <si>
    <t>PN-III-P2-2.1-PED-2021-1138</t>
  </si>
  <si>
    <t>PN-III-P2-2.1-PED2021-0519</t>
  </si>
  <si>
    <t>Catalina Neghina</t>
  </si>
  <si>
    <t>Narcisa Vrinceanu</t>
  </si>
  <si>
    <t>Materiale textile inovative cu funcționalitate îmbunătăţită, pentru eliminarea fotocatalitică a compușilor organici volatili</t>
  </si>
  <si>
    <t xml:space="preserve">PN-III-P4-PCE-2021-0537/Program 4_Cercetare Fundamantală și de Frontieră_Proiecte de Cercetare Exploratorie (PCE 2021) </t>
  </si>
  <si>
    <t>Narcisa VRINCEANU</t>
  </si>
  <si>
    <t>https://webcache.googleusercontent.com/search?q=cache:hHJsI9JboFcJ:https://uefiscdi.gov.ro/resource-862761-pce-2021-liste-de-rezerva.pdf&amp;cd=1&amp;hl=ro&amp;ct=clnk&amp;gl=de</t>
  </si>
  <si>
    <t>250.000 EURO/1.200,000 lei</t>
  </si>
  <si>
    <t>82,4/cerere de finantare aflata pe lista de rezerva</t>
  </si>
  <si>
    <t>Materiale textile noi fotocatalitic active pentru utilizari in spatiile inchise</t>
  </si>
  <si>
    <t>PN-III-P2-2.1-PED-2021-1674/PNCD III-Programe 2, Subprogramme 2.1 - Competitivitatea prin cercetare, dezvoltare si inovare - Proiect experimental - demonstrativ</t>
  </si>
  <si>
    <t>600.000 Eur</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</si>
  <si>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</si>
  <si>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</si>
  <si>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</si>
  <si>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</si>
  <si>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</si>
  <si>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</si>
  <si>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</si>
  <si>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</si>
  <si>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</si>
  <si>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</si>
  <si>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sz val="10"/>
        <color theme="1"/>
        <rFont val="Arial Narrow"/>
      </rPr>
      <t xml:space="preserve">* </t>
    </r>
    <r>
      <rPr>
        <b/>
        <sz val="10"/>
        <color theme="1"/>
        <rFont val="Arial Narrow"/>
      </rPr>
      <t xml:space="preserve">Punctaje de referință:                                                                                                                                                                                                                                                                                                             
</t>
    </r>
    <r>
      <rPr>
        <sz val="10"/>
        <color theme="1"/>
        <rFont val="Arial Narrow"/>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</si>
  <si>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</si>
  <si>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</si>
  <si>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</si>
  <si>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</si>
  <si>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</si>
  <si>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</si>
  <si>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Bădescu Mircea (Lucian Blaga University of Sibiu), Purcar Carmen Maria (University Lucian Blaga of Sibiu)</t>
  </si>
  <si>
    <t>Considerations on oversized transportation in the UE community</t>
  </si>
  <si>
    <t>Jozef Gnap, Juraj Jagelčák, Peter Marienka, Marcel Frančák and Mária Vojteková, Global Assessment of Bridge Passage in Relation to Oversized and Excessive Transport: Case Study Intended for Slovakia, Appl. Sci. 2022, 12(4), 1931; https://doi.org/10.3390/app12041931</t>
  </si>
  <si>
    <t xml:space="preserve">https://www.mdpi.com/journal/applsci
</t>
  </si>
  <si>
    <t>MDPI</t>
  </si>
  <si>
    <t>Livia Dana Beju, DP Brîndaşu, Nicolae Călin Muţiu, Johannes Rothmund (Institute for Machine Tools, University
of Stuttgart, Stuttgart, Germany)</t>
  </si>
  <si>
    <t>Modeling, simulation and manufacturing of drill flutes;                  The International Journal of
Advanced Manufacturing Technology/ SPRINGER LONDON LTD, 236 GRAYS INN RD, 6TH FLOOR, LONDON WC1X 8HL, ENGLAND       April 2016, Volume 83, Issue 9</t>
  </si>
  <si>
    <t xml:space="preserve"> Lei Ren, Jing Xu, Xinmin Zhang, Xiaobin Cui, Junjin Ma;               Determination of wheel position in flute grinding of cylindrical end-mills
considering tolerances of flute parameters; Journal of Manufacturing Processes       </t>
  </si>
  <si>
    <t xml:space="preserve">https://doi.org/10.1016/j.jmapro.2021.11.065 </t>
  </si>
  <si>
    <r>
      <rPr>
        <sz val="10"/>
        <color rgb="FFFF0000"/>
        <rFont val="Arial Narrow"/>
      </rPr>
      <t xml:space="preserve">SCOPUS : </t>
    </r>
    <r>
      <rPr>
        <u/>
        <sz val="10"/>
        <color rgb="FF0066CC"/>
        <rFont val="Arial Narrow"/>
      </rPr>
      <t xml:space="preserve">https://www.scopus.com/record/display.uri?eid=2-s2.0-84940930011&amp;origin=inward&amp;txGid=32a81de4ed9db0e569591cd7669b6d40 </t>
    </r>
    <r>
      <rPr>
        <sz val="10"/>
        <color rgb="FFFF0000"/>
        <rFont val="Arial Narrow"/>
      </rPr>
      <t>WEB_of_SCIENCE :</t>
    </r>
    <r>
      <rPr>
        <u/>
        <sz val="10"/>
        <rFont val="Arial Narrow"/>
      </rPr>
      <t xml:space="preserve"> http://cel.webofknowledge.com/InboundService.do?customersID=SPRINGER&amp;smartRedirect=yes&amp;mode=FullRecord&amp;IsProductCode=Yes&amp;product=CEL&amp;Init=Yes&amp;Func=Frame&amp;action=retrieve&amp;SrcApp=PARTNER_APP&amp;SrcAuth=SPRINGER&amp;SID=C2VNIZtpca4IKqdILQL&amp;UT=WOS%3A000373156000057</t>
    </r>
  </si>
  <si>
    <t>Beju Livia</t>
  </si>
  <si>
    <t xml:space="preserve">Yong Li, Guofu Ding, Changjiu Xia, Yangcheng Ning, Lei Jiang;                             An iterative optimization algorithm for posture and geometric parameters
of grinding wheel based on cross-section sensitivity and matching
constraints of solid end mills;                     Journal of Manufacturing Processes  </t>
  </si>
  <si>
    <t>https://doi.org/10.1016/j.jmapro.2022.05.011</t>
  </si>
  <si>
    <r>
      <rPr>
        <sz val="10"/>
        <color rgb="FFFF0000"/>
        <rFont val="Arial Narrow"/>
      </rPr>
      <t xml:space="preserve">SCOPUS : </t>
    </r>
    <r>
      <rPr>
        <u/>
        <sz val="10"/>
        <color rgb="FF0066CC"/>
        <rFont val="Arial Narrow"/>
      </rPr>
      <t>https://www.scopus.com/record/display.uri?eid=2-s2.0-84940930011&amp;origin=inward&amp;txGid=32a81de4ed9db0e569591cd7669b6d40</t>
    </r>
    <r>
      <rPr>
        <sz val="10"/>
        <color rgb="FF0066CC"/>
        <rFont val="Arial Narrow"/>
      </rPr>
      <t xml:space="preserve"> </t>
    </r>
    <r>
      <rPr>
        <sz val="10"/>
        <color rgb="FFFF0000"/>
        <rFont val="Arial Narrow"/>
      </rPr>
      <t xml:space="preserve">WEB_of_SCIENCE : </t>
    </r>
    <r>
      <rPr>
        <u/>
        <sz val="10"/>
        <color theme="1"/>
        <rFont val="Arial Narrow"/>
      </rPr>
      <t>http://cel.webofknowledge.com/InboundService.do?customersID=SPRINGER&amp;smartRedirect=yes&amp;mode=FullRecord&amp;IsProductCode=Yes&amp;product=CEL&amp;Init=Yes&amp;Func=Frame&amp;action=retrieve&amp;SrcApp=PARTNER_APP&amp;SrcAuth=SPRINGER&amp;SID=C2VNIZtpca4IKqdILQL&amp;UT=WOS%3A000373156000057</t>
    </r>
  </si>
  <si>
    <t>Changqing Shen, Yuminghao Xiao &amp; Liangshan Xiong;  Grinding Wheel Parametric Design for Machining Arbitrary Grooves on the Helical Rake Face of the Tool; International Journal of Precision Engineering and Manufacturing-Green Technology</t>
  </si>
  <si>
    <t>https://doi.org/10.1007/s40684-021-00372-1</t>
  </si>
  <si>
    <r>
      <rPr>
        <sz val="10"/>
        <color rgb="FFFF0000"/>
        <rFont val="Arial Narrow"/>
      </rPr>
      <t xml:space="preserve">SCOPUS : </t>
    </r>
    <r>
      <rPr>
        <u/>
        <sz val="10"/>
        <color rgb="FF0066CC"/>
        <rFont val="Arial Narrow"/>
      </rPr>
      <t xml:space="preserve">https://www.scopus.com/record/display.uri?eid=2-s2.0-84940930011&amp;origin=inward&amp;txGid=32a81de4ed9db0e569591cd7669b6d40 </t>
    </r>
    <r>
      <rPr>
        <sz val="10"/>
        <color rgb="FFFF0000"/>
        <rFont val="Arial Narrow"/>
      </rPr>
      <t>WEB_of_SCIENCE :</t>
    </r>
    <r>
      <rPr>
        <u/>
        <sz val="10"/>
        <rFont val="Arial Narrow"/>
      </rPr>
      <t xml:space="preserve"> http://cel.webofknowledge.com/InboundService.do?customersID=SPRINGER&amp;smartRedirect=yes&amp;mode=FullRecord&amp;IsProductCode=Yes&amp;product=CEL&amp;Init=Yes&amp;Func=Frame&amp;action=retrieve&amp;SrcApp=PARTNER_APP&amp;SrcAuth=SPRINGER&amp;SID=C2VNIZtpca4IKqdILQL&amp;UT=WOS%3A000373156000057</t>
    </r>
  </si>
  <si>
    <t>Aleksandar Zivkovic, Milos Knezev, Milan Zeljkovic, Slobodan Navalusic, Livia Dana Beju</t>
  </si>
  <si>
    <t>A study of thermo-elastic characteristics of the machine tool spindle</t>
  </si>
  <si>
    <r>
      <rPr>
        <sz val="10"/>
        <color theme="1"/>
        <rFont val="Arial Narrow"/>
      </rPr>
      <t>Liu, W., Zhang, S., Lin, J. </t>
    </r>
    <r>
      <rPr>
        <i/>
        <sz val="12"/>
        <color rgb="FF333333"/>
        <rFont val="Segoe UI"/>
      </rPr>
      <t>et al.</t>
    </r>
    <r>
      <rPr>
        <sz val="12"/>
        <color rgb="FF333333"/>
        <rFont val="Segoe UI"/>
      </rPr>
      <t> Advancements in accuracy decline mechanisms and accuracy retention approaches of CNC machine tools: a review. </t>
    </r>
    <r>
      <rPr>
        <i/>
        <sz val="12"/>
        <color rgb="FF333333"/>
        <rFont val="Segoe UI"/>
      </rPr>
      <t>Int J Adv Manuf Technol</t>
    </r>
    <r>
      <rPr>
        <sz val="12"/>
        <color rgb="FF333333"/>
        <rFont val="Segoe UI"/>
      </rPr>
      <t> </t>
    </r>
    <r>
      <rPr>
        <b/>
        <sz val="12"/>
        <color rgb="FF333333"/>
        <rFont val="Segoe UI"/>
      </rPr>
      <t>121</t>
    </r>
    <r>
      <rPr>
        <sz val="12"/>
        <color rgb="FF333333"/>
        <rFont val="Segoe UI"/>
      </rPr>
      <t>, 7087–7115 (2022). https://doi.org/10.1007/s00170-022-09720-0</t>
    </r>
  </si>
  <si>
    <t>https://doi.org/10.1007/s00170-022-09720-0</t>
  </si>
  <si>
    <t>Article Metrics | Advancements in accuracy decline mechanisms and accuracy retention approaches of CNC machine tools: a review | SpringerLink</t>
  </si>
  <si>
    <t>Petruse, R.E (ULBS)., Puşcaşu, S., Pascu, A.(ULBS), Bondrea, I. (ULBS)</t>
  </si>
  <si>
    <t>Key factors towards a high-quality additive manufacturing process with ABS material</t>
  </si>
  <si>
    <t>MECHANICAL CHARACTERISATION OF SOME POLYMERS USED IN 3D PRINTING , Aniskevich, A., Zīle, E., Bulderberga, O., Zeleniakiene, D. , ECCM 2022 - Proceedings of the 20th European Conference on Composite Materials: Composites Meet Sustainability
3, pp. 1196-1203</t>
  </si>
  <si>
    <t xml:space="preserve">https://www.scopus.com/record/display.uri?eid=2-s2.0-85149183254&amp;origin=resultslist&amp;sort=plf-f&amp;src=s&amp;citedAuthorId=55572604000&amp;imp=t&amp;sid=9a4987f3b1ca72d6a356729701704127&amp;sot=cite&amp;sdt=cite&amp;cluster=scopubyr%2c%222022%22%2ct&amp;sl=0&amp;relpos=3&amp;citeCnt=0&amp;searchTerm= </t>
  </si>
  <si>
    <t>Bondrea Ioan</t>
  </si>
  <si>
    <t>Recent Advancements in Hybrid Investment Casting Process—A Review, Morsiya, C.V., Pandya, S.N., Lecture Notes in Mechanical Engineering
pp. 817-831</t>
  </si>
  <si>
    <t>https://www.scopus.com/record/display.uri?eid=2-s2.0-85126386334&amp;origin=resultslist&amp;sort=plf-f&amp;src=s&amp;citedAuthorId=55572604000&amp;imp=t&amp;sid=9a4987f3b1ca72d6a356729701704127&amp;sot=cite&amp;sdt=cite&amp;cluster=scopubyr%2c%222022%22%2ct&amp;sl=0&amp;relpos=10&amp;citeCnt=1&amp;searchTerm=</t>
  </si>
  <si>
    <t>Cioca Lucian-Ionel (ULBS), Bratu Mihaela Laura (ULBS)</t>
  </si>
  <si>
    <t>Sustainable Education in the Context of COVID-19: Study of the Social Perception andWell-Being of Students at the Faculty of Engineering in Sibiu, Romania</t>
  </si>
  <si>
    <t>Stanciu Mirela, Popescu Agatha, Sava Camelia, Moise George, Nistoreanu Bogdan Gabriel, Rodzik Jaroslaw, Bratu Iulian Alexandru, Youth's perception toward ecotourism as a possible model for sustainable use of local tourism resources, FRONTIERS IN ENVIRONMENTAL SCIENCE 2022</t>
  </si>
  <si>
    <t>https://www.frontiersin.org/articles/10.3389/fenvs.2022.940957/full?&amp;utm_source=Email_to_authors_&amp;utm_medium=Email&amp;utm_content=T1_11.5e1_author&amp;utm_campaign=Email_publication&amp;field=&amp;journalName=Frontiers_in_Environmental_Science&amp;id=940957</t>
  </si>
  <si>
    <t>WoS</t>
  </si>
  <si>
    <t>Bratu Mihaela</t>
  </si>
  <si>
    <t>Furtado Maues Luiz Mauricio, Moreira Felipe de Sa, Pinheiro Cordeiro Luciana de Nazare, de Paula Saraiva Raisse Layane, dos Santos Junior Paulo Cerqueira, Pinheiro Pinheiro Olga Maria. Impact on Education and Ecological Footprint as a Consequence of SARS-CoV-2 in the Perception of the Quality of Teaching Engineering Students in the Brazilian Amazon. SUSTAINABILITY</t>
  </si>
  <si>
    <t>https://www.mdpi.com/2071-1050/14/16/9891</t>
  </si>
  <si>
    <t>Gavriluta, C; Dalban, CM; Ioan, BG. Educational, Emotional, and Social Impact of the Emergency State of COVID-19 on Romanian University Students. INTERNATIONAL JOURNAL OF ENVIRONMENTAL RESEARCH AND PUBLIC HEALTH</t>
  </si>
  <si>
    <t>https://www.mdpi.com/1660-4601/19/7/3990</t>
  </si>
  <si>
    <t>Bratu, IA; Dinca, LC; Enescu, CM; Stanciu, M. The Role of Social Media in Public Forest Management Policies during COVID-19: Implications for Stakeholder Engagement. SUSTAINABILITY 2022</t>
  </si>
  <si>
    <t>https://www.mdpi.com/2071-1050/14/7/3778</t>
  </si>
  <si>
    <t>R Zirwatul Aida R Ibrahim , Jumadil Saputra , Siti Nazilah Mat Ali , lulian Alexandru Bratu , Mazidah Mohd Dagang , Siti Sarawati Johar, DETERMINANTS OF FEMALE EMPLOYEE WELLBEING FROM THE PERSPECTIVE OF WORK-FAMILY CONFLICT. Polish Journal of Management Studies 2022; 25 (2): 174-190</t>
  </si>
  <si>
    <t>https://pjms.zim.pcz.pl/resources/html/article/details?id=230305&amp;language=en</t>
  </si>
  <si>
    <t>Sustainability of Youth Careers in Romania-Study on the Correlation of Students' Personal Interests with the Selected University Field of Study</t>
  </si>
  <si>
    <t>Bratu Mihaela Laura (ULBS), Cioca Lucian-Ionel (ULBS)</t>
  </si>
  <si>
    <t>Impact of Engineer Personality on Sustainable Environment</t>
  </si>
  <si>
    <t>Managerial strategies for optimizing ergonomics in organizations, tailored to the personality of engineers, to improve the quality of life and security of employees</t>
  </si>
  <si>
    <t>Modelling Human Behaviour through Game Theory in Order to increase the Quality of Work and the Quality of Life of Employees through Managerial Strategies Appropriate to Individual and Group Personality</t>
  </si>
  <si>
    <t>R Zirwatul Aida R Ibrahim , Jumadil Saputra , Siti Nazilah Mat Ali , lulian Alexandru Bratu , Mazidah Mohd Dagang , Siti Sarawati Johar, DETERMINANTS OF FEMALE EMPLOYEE WELLBEING FROM THE PERSPECTIVE OF WORK-FAMILY CONFLICT. Polish Journal of Management Studies 2022; 25 (2): 174-191</t>
  </si>
  <si>
    <t>Butănescu-Volanin Remus Constantin (ULBS)</t>
  </si>
  <si>
    <t>Analiza Economica a Firmei: Resurse-Performante-Valoare; Editura Universitatii Lucian Blaga: Sibiu, Romania, 2017; p. 183.</t>
  </si>
  <si>
    <t>Sustainability of Agaricus blazei Murrill Mushrooms in
Classical and Semi-Mechanized Growing System, through
Economic Efficiency, Using Different Culture Substrates</t>
  </si>
  <si>
    <t>https://www.mdpi.com/2071-1050/14/10/6166/htm</t>
  </si>
  <si>
    <t>WoS
SCOPUS
(https://www.mdpi.com/journal/sustainability/indexing)</t>
  </si>
  <si>
    <t>Butanescu Volanin Remus</t>
  </si>
  <si>
    <t>Torretta, V (Italia); Rada, EC (Italia); Ragazzi, M (Italia); Trulli, E (Italia); Istrate, IA; Cioca, LI</t>
  </si>
  <si>
    <t>Treatment and disposal of tyres: Two EU approaches. A review</t>
  </si>
  <si>
    <t>Formation of disinfection by-products from microplastics, tire wear particles, and other polymer-based materials; Ghanadi, M (Ghanadi, Mahyar) [1] ; Kah, M (Kah, Melanie) [2] ; Kookana, RS (Kookana, Rai S.) [3] ; Padhye, LP (Padhye, Lokesh P.) [1]; WATER RESEARCH</t>
  </si>
  <si>
    <t>https://www.sciencedirect.com/science/article/pii/S0043135422014737?via%3Dihub</t>
  </si>
  <si>
    <t>The co-pyrolysis of waste tires and waste engine oil
By:Wang, JZ (Wang, Junzhi) [1] ; Qi, XW (Qi, Xiaowen) [1] ; Dong, XJ (Dong, Xinjiang) [1] ; Luo, SY (Luo, Siyi) [1] ; Feng, Y (Feng, Yu) [2] ; Feng, M (Feng, Mao) [3] ; Guo, XJ (Guo, Xianjun) [4]; ENERGY SOURCES PART A-RECOVERY UTILIZATION AND ENVIRONMENTAL EFFECTS</t>
  </si>
  <si>
    <t>https://www.tandfonline.com/doi/full/10.1080/15567036.2022.2136797</t>
  </si>
  <si>
    <t>Advancement in recycling waste tire activated carbon to potential adsorbents
By:Ali, UFM (Ali, Umi Fazara Md) [1] , [2] ; Hussin, F (Hussin, Farihahusnah) [3] ; Gopinath, SCB (Gopinath, Subash C. B.) [1] , [4] ; Aroua, MK (Aroua, Mohamed Kheireddine) [3] ; Khamidun, MH (Khamidun, Mohd Hairul) [5] ; Jusoh, N (Jusoh, Norwahyu) [6] ; Ibrahim, N (Ibrahim, Naimah) [7] ; Ahmad, SFK (Ahmad, Syahirah Faraheen Kabir) [1]; ENVIRONMENTAL ENGINEERING RESEARCH</t>
  </si>
  <si>
    <t>https://www.eeer.org/journal/view.php?doi=10.4491/eer.2021.452</t>
  </si>
  <si>
    <t>4R of rubber waste management: current and outlook
By:Leong, SY (Leong, Seng-Yi) [1] ; Lee, SY (Lee, Siang-Yin) [2] ; Koh, TY (Koh, Thiam-Young) [1] ; Ang, DTC (Ang, Desmond Teck-Chye) [3]; JOURNAL OF MATERIAL CYCLES AND WASTE MANAGEMENT</t>
  </si>
  <si>
    <t>https://link.springer.com/article/10.1007/s10163-022-01554-y</t>
  </si>
  <si>
    <t>Formation Mechanism of Monocyclic Aromatic Hydrocarbons during Pyrolysis of Styrene Butadiene Rubber in Waste Passenger Car Tires
By:Li, JY (Li, Jiayuan) [1] ; Zheng, DH (Zheng, Dahai) [2] ; Yao, ZH (Yao, Zihao) [1] ; Wang, SX (Wang, Shixin) [1] ; Xu, RN (Xu, Ruinian) [2] ; Deng, SW (Deng, Shengwei) [1] , [3] ; Chen, BH (Chen, Biaohua) [2] ; Wang, JG (Wang, Jianguo) [1]; ACS OMEGA</t>
  </si>
  <si>
    <t>https://pubs.acs.org/doi/10.1021/acsomega.2c04994</t>
  </si>
  <si>
    <t>The effect of solution soaking pretreatments on the surface chemistry of crumb rubber
By:Badughaish, A (Badughaish, Abdulrahman) [1] ; Wang, JY (Wang, Jiayu) [1] , [2] ; Xiao, FP (Xiao, Feipeng) [1]; JOURNAL OF RUBBER RESEARCH</t>
  </si>
  <si>
    <t>https://link.springer.com/article/10.1007/s42464-022-00185-0</t>
  </si>
  <si>
    <t>Molecular Dynamics Study on the Compatibility of Asphalt and Rubber Powder with Different Component Contents
By:Gao, MX (Gao, Mingxing) [1] ; Chen, YL (Chen, Yaolu) [1] ; Fan, CH (Fan, Conghao) [1] ; Li, MJ (Li, Meijian) [1]; ACS OMEGA</t>
  </si>
  <si>
    <t>https://pubs.acs.org/doi/10.1021/acsomega.2c02813#</t>
  </si>
  <si>
    <t>Valorisation of Waste Tyre via Pyrolysis: Advances and Perspectives
By:Rahman, MM (Rahman, Md. Maksudur) [1] ; Yu, Y (Yu, Yun) [1] ; Wu, HW (Wu, Hongwei) [1]; ENERGY &amp; FUELS</t>
  </si>
  <si>
    <t>https://pubs.acs.org/doi/10.1021/acs.energyfuels.2c02053</t>
  </si>
  <si>
    <t>A techno-economic study to evaluate the impacts of feedstock ratio on commercial scale co-pyrolysis plants of biomass and waste tire
By:Khan, SR (Khan, Shoaib Raza) [1] , [2] ; Ciolkosz, D (Ciolkosz, Daniel) [2] ; -Correa, JV (-Correa, Juliana Vasco) [2] ; Zeeshan, M (Zeeshan, Muhammad) [1]; JOURNAL OF ANALYTICAL AND APPLIED PYROLYSIS</t>
  </si>
  <si>
    <t>https://www.sciencedirect.com/science/article/pii/S0165237022002698?via%3Dihub</t>
  </si>
  <si>
    <t>Promoting sustainable materials using recycled rubber in concrete: A review
By:Mei, JN (Mei, Jiangnan) [1] ; Xu, GY (Xu, Guiying) [1] ; Ahmad, W (Ahmad, Waqas) [2] ; Khan, K (Khan, Kaffayatullah) [3] ; Amin, MN (Amin, Muhammad Nasir) [3] ; Aslam, F (Aslam, Fahid) [4] ; Alaskar, A (Alaskar, Abdulaziz) [5]; JOURNAL OF CLEANER PRODUCTION</t>
  </si>
  <si>
    <t>https://www.sciencedirect.com/science/article/pii/S0959652622034990?via%3Dihub</t>
  </si>
  <si>
    <t>Tire pyrolysis char: Processes, properties, upgrading and applications
By:Gao, NB (Gao, Ningbo) [1] ; Wang, FC (Wang, Fengchao) [1] ; Quan, C (Quan, Cui) [1] ; Santamaria, L (Santamaria, Laura) [2] ; Lopez, G (Lopez, Gartzen) [2] , [3] ; Williams, PT (Williams, Paul T.) [4]; PROGRESS IN ENERGY AND COMBUSTION SCIENCE</t>
  </si>
  <si>
    <t>https://www.sciencedirect.com/science/article/pii/S0360128522000314?via%3Dihub</t>
  </si>
  <si>
    <t>Towards the circular economy of carbon black through pyrolysis of end-of-life tyres
By:Sanchis, A (Sanchis, Alberto) [1] ; Veses, A (Veses, Alberto) [1] ; Martinez, JD (Martinez, Juan Daniel) [1] ; Garcia, T (Garcia, Tomas) [1] ; Murillo, R (Murillo, Ramon) [1]; BOLETIN DEL GRUPO ESPANOL DEL CARBON</t>
  </si>
  <si>
    <t>https://dialnet.unirioja.es/servlet/articulo?codigo=8583096</t>
  </si>
  <si>
    <t>Effect of Particle Sizes and Dosages of Rubber Waste on the Mechanical Properties of Rubberized Concrete Composite
By:Abbas, S (Abbas, Safeer) [1] ; Fatima, A (Fatima, Ayesha) [2] ; Kazmi, SMS (Kazmi, Syed Minhaj Saleem) [3] ; Munir, MJ (Munir, Muhammad Junaid) [3] ; Ali, S (Ali, Shahid) [2] ; Rizvi, MA (Rizvi, Mujasim Ali) [1]; APPLIED SCIENCES-BASEL</t>
  </si>
  <si>
    <t>https://www.mdpi.com/2076-3417/12/17/8460</t>
  </si>
  <si>
    <t>Integrated Assessment of Waste Tire Pyrolysis and Upgrading Pathways for Production of High-Value Products, By:Wu, QJ (Wu, Qijing) [1] ; Zhang, QQ (Zhang, Qianqian) [2] ; Chen, XY (Chen, Xiaoyan) [2] ; Song, GH (Song, Guohui) [3] ; Xiao, J (Xiao, Jun) [1]; ACS OMEGA</t>
  </si>
  <si>
    <t>https://pubs.acs.org/doi/10.1021/acsomega.2c02952</t>
  </si>
  <si>
    <t>Activated Carbon Tailored by Potassium Hydroxide from Waste Tires as a Supercapacitor Electrode, By:Zhang, DZ (Zhang, Dazhi) [1] , [2] ; Ma, ZJ (Ma, Zhaojie) [2] ; Zhang, YX (Zhang, Yixin) [1] ; Xu, YH (Xu, Yunhui) [2] ; Liu, HL (Liu, Honglai) [3] ; Wu, JJ (Wu, Jianjun) [1] ; Li, PP (Li, Peipei) [4];  ECS JOURNAL OF SOLID STATE SCIENCE AND TECHNOLOGY</t>
  </si>
  <si>
    <t>https://iopscience.iop.org/article/10.1149/2162-8777/ac7611</t>
  </si>
  <si>
    <t>Tyre remanufacturing: A brief review
By:Gaidhane, J (Gaidhane, Jeevan) [1] ; Ullah, I (Ullah, Inayat) [1] ; Khalatkar, A (Khalatkar, Abhay) [1]; MATERIALS TODAY-PROCEEDINGS</t>
  </si>
  <si>
    <t>https://www.sciencedirect.com/science/article/pii/S2214785322022751?via%3Dihub</t>
  </si>
  <si>
    <t>Characteristics, kinetics, infrared analysis and process optimization of co-pyrolysis of waste tires and oily sludge
By:Xu, GY (Xu, Guiying) [1] , [2] ; Cai, XH (Cai, Xinghui) [1] ; Wang, S (Wang, Shan) [1] ; Fang, BZ (Fang, Baizeng) [2] ; Wang, HX (Wang, Hanxi) [3] ; Zhu, YJ (Zhu, Youjian) [4]; JOURNAL OF ENVIRONMENTAL MANAGEMENT</t>
  </si>
  <si>
    <t>https://www.sciencedirect.com/science/article/pii/S0301479722008519?via%3Dihub</t>
  </si>
  <si>
    <t>Sustainable approach of applying previous treatment of tire wastes as raw material in cement composites: Review
By:Andre, FR (Andre, Fellipe Rodrigues) [1] ; Aboelkheir, MG (Aboelkheir, Mostafa Galal) [1]
MATERIALS TODAY-PROCEEDINGS</t>
  </si>
  <si>
    <t>https://www.sciencedirect.com/science/article/pii/S2214785322018053?via%3Dihub</t>
  </si>
  <si>
    <t>Preparation and Temperature Susceptibility Evaluation of Crumb Rubber Modified Asphalt Applied in Alpine Regions
By:Zong, YJ (Zong, Youjie) [1] ; Xiong, R (Xiong, Rui) [1] ; Tian, YG (Tian, Yaogang) [1] ; Chang, MF (Chang, Mingfeng) [1] ; Wang, XW (Wang, Xiaowen) [1] ; Yu, JH (Yu, Jiahao) [1] ; Zhang, YX (Zhang, Yixing) [1] ; Feng, BZ (Feng, Baozhu) [1] ; Wang, HY (Wang, Haoyu) [1] ; Li, C (Li, Chuang) [1]; COATINGS</t>
  </si>
  <si>
    <t>https://www.mdpi.com/2079-6412/12/4/496</t>
  </si>
  <si>
    <t>Environmental Benefits of Air Emission Reduction in the Waste Tire Management Practice
By:Cetkovic, J (Cetkovic, Jasmina) [1] ; Lakic, S (Lakic, Slobodan) [1] ; Zarkovic, M (Zarkovic, Milos) [1] ; Vujadinovic, R (Vujadinovic, Radoje) [2] ; Knezevic, M (Knezevic, Milos) [3] ; Zivkovic, A (Zivkovic, Angelina) ; Cvijovic, J (Cvijovic, Jelena) [4]; PROCESSES</t>
  </si>
  <si>
    <t>https://www.mdpi.com/2227-9717/10/4/787</t>
  </si>
  <si>
    <t>Derived from corn straw cellulose: modified used tire rubber powder composites
By:Hou, YS (Hou, Yushuang) [1] ; Wu, WL (Wu, Weili) [1]; CELLULOSE</t>
  </si>
  <si>
    <t>https://link.springer.com/article/10.1007/s10570-022-04549-y</t>
  </si>
  <si>
    <t>Analysis of the Driving Factors of the Extended Producer Responsibility System in China's Tire Industry
By:Hu, HB (Hu Houbao) [1] ; Chen, Q (Chen Qiang) [1] ; Liu, JJ (Liu Junjun) [2]; MATHEMATICAL PROBLEMS IN ENGINEERING</t>
  </si>
  <si>
    <t>https://www.hindawi.com/journals/mpe/2022/4327074/</t>
  </si>
  <si>
    <t>Effect of Pyrolysis Carbon Black from Waste Tire on the Mechanical Properties of SSBR/BR Blend
By:Zhang, GJ (Zhang, Guojie) [1] ; Zhang, Y (Zhang, Yong) [1] ; Wang, SF (Wang, Shifeng) [1] ; Jiang, Y (Jiang, Yang) [1]; MACROMOLECULAR MATERIALS AND ENGINEERING</t>
  </si>
  <si>
    <t>https://onlinelibrary.wiley.com/doi/10.1002/mame.202100944</t>
  </si>
  <si>
    <t>Tyre pyrolytic oil fuel blends in a modern compression ignition engine: A comprehensive combustion and emissions analysis
By:Mikulski, M (Mikulski, Maciej) [1] ; Hunicz, J (Hunicz, Jacek) [2] ; Duda, K (Duda, Kamil) [3] ; Kazimiersk, P (Kazimiersk, Pawel) [4] ; Suchocki, T (Suchocki, Tomasz) [4] ; Rybak, A (Rybak, Arkadiusz) [2]; FUEL</t>
  </si>
  <si>
    <t>https://www.sciencedirect.com/science/article/pii/S0016236122007281?via%3Dihub</t>
  </si>
  <si>
    <t>Evaluation of the Effects of Engineered Crumb Rubber (ECR) on Asphalt Mixture Characteristics
By:Rath, P (Rath, Punyaslok) [1] ; Meister, J (Meister, J.) [1] ; Jahangiri, B (Jahangiri, B.) [2] ; Buttlar, W (Buttlar, W.) [1]; JOURNAL OF TESTING AND EVALUATION</t>
  </si>
  <si>
    <t>https://www.astm.org/jte20210077.html</t>
  </si>
  <si>
    <t>Towards the development of sustainable concrete incorporating waste tyre rubbers: A long-term study of physical, mechanical &amp; durability properties and environmental impact, By:Ince, C (Ince, Ceren) [1] ; Shehata, BMH (Shehata, Bassel Mahmoud Hassan) [2] ; Derogar, S (Derogar, Shahram) [3] ; Ball, RJ (Ball, Richard J.) [4]; JOURNAL OF CLEAN PRODUCTION</t>
  </si>
  <si>
    <t>https://www.sciencedirect.com/science/article/abs/pii/S0959652621043882?via%3Dihub</t>
  </si>
  <si>
    <t>An experimental assessment on dual fuel engine behavior powered by waste tire-derived pyrolysis oil - biogas blends
By:Karagoz, M (Karagoz, Mustafa) [1] ; Polat, F (Polat, Fikret) [2] ; Saridemir, S (Saridemir, Suat) [2] ; Yesilyurt, MK (Yesilyurt, Murat Kadir) [3] ; Agbulut, U (Agbulut, Umit) [2]; FUEL PROCESSING TECHNOLOGY</t>
  </si>
  <si>
    <t>https://www.sciencedirect.com/science/article/pii/S0378382022000170?via%3Dihub</t>
  </si>
  <si>
    <t>Catalytic Hydrodesulfurization of a Spent Tire Pyrolysis Oil Distillate over a Ni-Mo Catalyst
By:Zhang, Q (Zhang, Qian) [1] , [2] , [3] ; Jones, I (Jones, Isabelle) [1] ; Zhu, MM (Zhu, Mingming) [1] ; Zhang, ZZ (Zhang, Zhezi) [1] ; Gao, J (Gao, Jian) [2] ; Zhang, DK (Zhang, Dongke) [1]; INDUSTRIAL &amp; ENGINEERING CHEMISTRY RESEARCH</t>
  </si>
  <si>
    <t>https://pubs.acs.org/doi/10.1021/acs.iecr.1c03240</t>
  </si>
  <si>
    <t>Valorisation of End-of-Life tyres for generating valuable resources under circular economy
By:Sharma, A (Sharma, Anita) [2] ; Sawant, RJ (Sawant, Ruturaj J.) [7] ; Sharma, A (Sharma, Abhishek) [1] ; Joshi, JB (Joshi, Jyeshtharaj B.) [3] , [4] ; Jain, RK (Jain, Rakesh Kumar) [5] ; Kasilingam, R (Kasilingam, Rajkumar) [6]; FUEL</t>
  </si>
  <si>
    <t>https://www.sciencedirect.com/science/article/abs/pii/S0016236122000102?via%3Dihub</t>
  </si>
  <si>
    <t>Effectiveness of selected issues related to used tyre management in Poland, By:Przydatek, G (Przydatek, Grzegorz) [1] ; Budzik, G (Budzik, Grzegorz) [2] ; Janik, M (Janik, Malgorzata) [1]; ENVIRONMENTAL SCIENCE AND POLLUTION RESEARCH</t>
  </si>
  <si>
    <t>https://link.springer.com/article/10.1007/s11356-022-18494-7</t>
  </si>
  <si>
    <t>Identification of the Elements and Systematisation of the Pillars of Solid Waste Management
By:Espuny, M (Espuny, Maximilian) [1] ; Costa, ACF (Costa, Ana C. F.) [1] ; Reis, JSM (Reis, Jose S. M.) [2] ; Barbosa, LCFM (Barbosa, Luis Cesar F. M.) [3] ; Carvalho, R (Carvalho, Raquel) [4] ; Santos, G (Santos, Gilberto) [5] , [6] ; Oliveira, OJ (Oliveira, Otavio J.) [7]; QUALITY INNOVATION PROSPERITY-KVALITA INOVACIA PROSPERITA</t>
  </si>
  <si>
    <t>https://www.qip-journal.eu/index.php/QIP/article/view/1717</t>
  </si>
  <si>
    <t>Ferronato, N (Italia); Rada, EC; Portillo, MAG (Bolivia); Cioca, LI; Ragazzi, M (Italia); Torretta, V (Italia)</t>
  </si>
  <si>
    <t>Introduction of the circular economy within developing regions: A comparative analysis of advantages and opportunities for waste valorization</t>
  </si>
  <si>
    <t>An evaluation of determinants influencing the adoption of circular economy principles in Nigerian construction SMEs
Zuofa, T; Ochieng, EG and Ode-Ichakpa, I.; BUILDING RESEARCH AND INFORMATION</t>
  </si>
  <si>
    <t>https://www.tandfonline.com/doi/abs/10.1080/09613218.2022.2142496?journalCode=rbri20</t>
  </si>
  <si>
    <t>Prioritizing countries for implementing waste recycling under socioeconomic supports
Dong, XZ; Song, JN and Duan, HY.; JOURNAL OF ENVIRONMENTAL MANAGEMENT</t>
  </si>
  <si>
    <t>https://www.sciencedirect.com/science/article/pii/S0301479722017315?via%3Dihub</t>
  </si>
  <si>
    <t>Barriers to circular supply chain: the case of unorganized tire retreading in India
Bhattacharya, S and Kalakbandi, VK.; INTERNATIONAL JOURNAL OF LOGISTICS MANAGEMENT</t>
  </si>
  <si>
    <t>https://www.emerald.com/insight/content/doi/10.1108/IJLM-04-2022-0162/full/html</t>
  </si>
  <si>
    <t>Circular economy approach for sustainable solid waste management: A developing economy perspective
By:Mandpe, A (Mandpe, Ashootosh) [1] , [2] ; Paliya, S (Paliya, Sonam) [1] , [3] ; Gedam, VV (Gedam, Vidyadhar V.) [4] ; Patel, S (Patel, Shubham) [5] ; Tyagi, L (Tyagi, Lakshay) [1] , [3] ; Kumar, S (Kumar, Sunil) [2] , [3]; WASTE MANAGEMENT &amp; RESEARCH</t>
  </si>
  <si>
    <t>https://journals.sagepub.com/doi/10.1177/0734242X221126718</t>
  </si>
  <si>
    <t>Household organic waste: Integrate psychosocial factors to define strategies toward a circular economy
Celestino, E; Carvalho, A and Palma-Oliveira, JM.; JOURNAL OF CLEANER PRODUCTION</t>
  </si>
  <si>
    <t>https://www.sciencedirect.com/science/article/abs/pii/S0959652622040185?via%3Dihub</t>
  </si>
  <si>
    <t>Waste management and green technology: future trends in circular economy leading towards environmental sustainability
Tanveer, M; Khan, SAR; (...); Ul Haq, I.; ENVIRONMENTAL SCIENCE AND POLLUTION RESEARCH</t>
  </si>
  <si>
    <t>https://link.springer.com/article/10.1007/s11356-022-23238-8</t>
  </si>
  <si>
    <t>Evaluating the Feasibility of Employing Dynamic Membranes for the Direct Filtration of Municipal Wastewater
By:Sanchis-Perucho, P (Sanchis-Perucho, Pau) [1] ; Aguado, D (Aguado, Daniel) [2] ; Ferrer, J (Ferrer, Jose) [2] ; Seco, A (Seco, Aurora) [1] ; Robles, A (Robles, Angel) [1].; MEMBRANES</t>
  </si>
  <si>
    <t>https://www.mdpi.com/2077-0375/12/10/1013</t>
  </si>
  <si>
    <t>Digital trade and environmental sustainability: the role of financial development and ecological innovation for a greener revolution in China
By:Fu, HL (Fu, Haoliang) [1] ; Huang, PY (Huang, Pengyu) [2] ; Xu, Y (Xu, Yang) [3] ; Zhang, ZK (Zhang, Zhukai) [2].; ECONOMIC RESEARCH-EKONOMSKA ISTRAZIVANJA</t>
  </si>
  <si>
    <t>https://www.tandfonline.com/doi/full/10.1080/1331677X.2022.2125889</t>
  </si>
  <si>
    <t>A neoteric approach for the complete valorization of Typha angustifolia leaf biomass: A drive towards environmental sustainability
Rani, BSJ and Venkatachalam, S.; JOURNAL OF ENVIRONMENTAL MANAGEMENT</t>
  </si>
  <si>
    <t>https://www.sciencedirect.com/science/article/pii/S0301479722011525?via%3Dihub</t>
  </si>
  <si>
    <t>A study on the path of improving the performance of China's provincial circular economy-An empirical study based on the fsQCA method
By:Zhu, FY (Zhu, Fangyang) [1] , [2] ; Lai, LR (Lai, Liangrong) [1] , [2] ; Zhu, ZD (Zhu, Zhidong) [3] ; Zhang, XJ (Zhang, Xiaojie) [1].; FRONTIERS IN ENVIRONMENTAL SCIENCE</t>
  </si>
  <si>
    <t>https://www.frontiersin.org/articles/10.3389/fenvs.2022.1006170/full</t>
  </si>
  <si>
    <t>Development of a Model for the Implementation of the Circular Economy in Desert Coastal Regions
Cabrera-Gonzalez, M; Ramonet, F and Harasek, M.; Land</t>
  </si>
  <si>
    <t>https://www.mdpi.com/2073-445X/11/9/1506</t>
  </si>
  <si>
    <t>The Design Value for Recycling End-of-Life Photovoltaic Panels
By:Cali, M (Cali, Michele) [1] ; Hajji, B (Hajji, Bekkay) [2] ; Nitto, G (Nitto, Gioele) [1] ; Acri, A (Acri, Alberto) [3].; APPLIED SCIENCES-BASEL</t>
  </si>
  <si>
    <t>https://www.mdpi.com/2076-3417/12/18/9092</t>
  </si>
  <si>
    <t>Sustainable approach for valorization of solid wastes as a secondary resource through urban mining
Tejaswini, MSSR; Pathak, P and Gupta, DK.; JOURNAL OF ENVIRONMENTAL MANAGEMENT</t>
  </si>
  <si>
    <t>https://www.sciencedirect.com/science/article/pii/S0301479722013007?via%3Dihub</t>
  </si>
  <si>
    <t>Integrating circular economy strategies and business models: a systematic literature review
Foroozanfar, MH; Imanipour, N and Sajadi, SM.; JOURNAL OF ENTREPRENEURSHIP IN EMERGING ECONOMIES</t>
  </si>
  <si>
    <t>https://www.emerald.com/insight/content/doi/10.1108/JEEE-10-2021-0411/full/html</t>
  </si>
  <si>
    <t>Recycling technologies for fibre-reinforced plastic composite materials: A bibliometric analysis using a systematic approach
By:Colombo, B (Colombo, Beatrice) [1] , [2] ; Gaiardelli, P (Gaiardelli, Paolo) [1] ; Dotti, S (Dotti, Stefano) [1] ; Caretto, F (Caretto, Flavio) [2].; JOURNAL OF COMPOSITE MATERIALS</t>
  </si>
  <si>
    <t>https://journals.sagepub.com/doi/10.1177/00219983221109877</t>
  </si>
  <si>
    <t>The governance of plastic in India: towards a just transition for recycling in the unorganised sector
Nagarajan, A.; LOCAL ENVIRONMENT</t>
  </si>
  <si>
    <t>https://www.tandfonline.com/doi/abs/10.1080/13549839.2022.2084721?journalCode=cloe20</t>
  </si>
  <si>
    <t>Rudimentary Assessment of Waste-to-Wealth of Used Tires Crumbs in Thermal Energy Storage
By:Al-Kayiem, HH (Al-Kayiem, Hussain H.) [1] ; Bhayo, BA (Bhayo, Bilawal A.) [2] ; Magaril, E (Magaril, Elena) [3] ; Ravi, P (Ravi, Pavithra) [4].; RECYCLING</t>
  </si>
  <si>
    <t>https://elar.urfu.ru/bitstream/10995/117925/1/2-s2.0-85132267039.pdf</t>
  </si>
  <si>
    <t>Beneficial reuse of water treatment sludge in the context of circular economy
By:Nguyen, MD (Nguyen, Minh Duc) [1] ; Thomas, M (Thomas, Michael) [2] ; Surapaneni, A (Surapaneni, Aravind) [3] , [4] ; Moon, EM (Moon, Ellen M.) [1] ; Milne, NA (Milne, Nicholas A.) [1].; ENVIRONMENTAL TECHNOLOGY &amp; INNOVATION</t>
  </si>
  <si>
    <t>https://www.sciencedirect.com/science/article/pii/S2352186422001997?via%3Dihub</t>
  </si>
  <si>
    <t>A combined approach to improve municipal solid waste management in upper-middle-income countries: the case of Sabana Centro, Colombia
By:Franceschi, FF (Franceschi, Fabiana F.) [1] , [2] ; Vega, LT (Vega, Lili T.) [4] ; Sanches-Pereira, A (Sanches-Pereira, Alessandro) [5] , [6] ; Cherni, JA (Cherni, Judith A.) [7] ; Gomez, MF (Gomez, Maria F.) [3].; CLEAN TECHNOLOGIES AND ENVIRONMENTAL POLICY</t>
  </si>
  <si>
    <t>https://link.springer.com/article/10.1007/s10098-022-02333-x</t>
  </si>
  <si>
    <t>Toward a circular supply chain: Understanding barriers from the perspective of recovery approaches
By:Ayati, SM (Ayati, Sayed Mohammad) [1] ; Shekarian, E (Shekarian, Ehsan) [1] , [2] ; Majava, J (Majava, Jukka) [1] ; Waehrens, BV (Waehrens, Brian Vejrum) [3].; JOURNAL OF CLEANER PRODUCTION</t>
  </si>
  <si>
    <t>https://pure.tue.nl/ws/files/237002654/1_s2.0_S0959652622013877_main.pdf</t>
  </si>
  <si>
    <t>The role of traceability in end-to-end circular agri-food supply chains
By:Anastasiadis, F (Anastasiadis, Foivos) [1] ; Manikas, I (Manikas, Ioannis) [2] ; Apostolidou, I (Apostolidou, Ioanna) [1] ; Wahbeh, S (Wahbeh, Sabreen) [2].; INDUSTRIAL MARKETING MANAGEMENT</t>
  </si>
  <si>
    <t>https://www.sciencedirect.com/science/article/abs/pii/S0019850122000955?via%3Dihub</t>
  </si>
  <si>
    <t>Circular Economy Indicators for the Assessment of Waste and By-Products from the Palm Oil Sector
By:Bejarano, PAC (Bejarano, Pedro-Antonio Cardenas) [1] ; Rodriguez-Miranda, JP (Rodriguez-Miranda, Juan-Pablo) [1] ; Maldonado-Astudillo, RI (Maldonado-Astudillo, Rayma Ireri) [2] ; Maldonado-Astudillo, YI (Maldonado-Astudillo, Yanik Ixchel) [2] ; Salazar, R (Salazar, Ricardo) [3].; PROCESSES</t>
  </si>
  <si>
    <t>https://www.mdpi.com/2227-9717/10/5/903</t>
  </si>
  <si>
    <t>Barriers and Enablers of Circular Economy Implementation for Electric-Vehicle Batteries: From Systematic Literature Review to Conceptual Framework
Sopha, BM; Purnamasari, DM and Ma'mun, S.; Sustainability</t>
  </si>
  <si>
    <t>https://www.mdpi.com/2071-1050/14/10/6359</t>
  </si>
  <si>
    <t>A bibliometric analysis of circular economy in the fields of business and economics: towards more action-oriented research
By:Dominko, M (Dominko, Miha) [1] ; Primc, K (Primc, Kaja) [1] ; Slabe-Erker, R (Slabe-Erker, Renata) [1] ; Kalar, B (Kalar, Barbara) [1].; ENVIRONMENT DEVELOPMENT AND SUSTAINABILITY</t>
  </si>
  <si>
    <t>https://www.ncbi.nlm.nih.gov/pmc/articles/PMC9059686/</t>
  </si>
  <si>
    <t>Towards a circular disruption: On the pivotal role of circular economy policy entrepreneurs
By:Droege, H (Droege, Hinrika) [1] ; Kirchherr, J (Kirchherr, Julian) [2] ; Raggi, A (Raggi, Andrea) [3] ; Ramos, TB (Ramos, Tomas B.) [1].; BUSINESS STRATEGY AND THE ENVIRONMENT</t>
  </si>
  <si>
    <t>https://run.unl.pt/bitstream/10362/144419/1/Towards_a_circular_disruption.pdf</t>
  </si>
  <si>
    <t>Assessment of popular techniques for co-processing municipal solid waste in Chinese cement kilns
By:Long, H (Long, Hua) [1] , [2] ; Liao, Y (Liao, Yang) [2] ; Cui, CH (Cui, Changhao) [1] ; Liu, MJ (Liu, Meijia) [1] ; Liu, ZW (Liu, Zeiwei) [1] ; Li, L (Li, Li) [1] ; Hu, WZ (Hu, Wenzheng) [3] ; Yan, DH (Yan, Dahai) [1].; FRONTIERS OF ENVIRONMENTAL SCIENCE &amp; ENGINEERING</t>
  </si>
  <si>
    <t>https://link.springer.com/article/10.1007/s11783-021-1485-4</t>
  </si>
  <si>
    <t>Is there room for a circular economy "from below"? Reflections on privatisation and commoning of circular waste loops in Argentina
Carenzo, S; Juarez, P and Becerra, L.; LOCAL ENVIRONMENT</t>
  </si>
  <si>
    <t>https://www.tandfonline.com/doi/abs/10.1080/13549839.2022.2048258?journalCode=cloe20</t>
  </si>
  <si>
    <t>The fate of heavy metals in the co-processing of solid waste in converter steelmaking
By:Long, H (Long, Hua) [1] , [2] , [3] ; Huang, XY (Huang, Xinyu) [1] ; Liu, MJ (Liu, Meijia) [1] ; Cui, CH (Cui, Changhao) [1] ; Li, L (Li, Li) [1] ; Liao, Y (Liao, Yang) [2] ; Yan, DH (Yan, Dahai) [1].; JOURNAL OF ENVIRONMENTAL MANAGEMENT</t>
  </si>
  <si>
    <t>https://www.sciencedirect.com/science/article/pii/S0301479722004509?via%3Dihub</t>
  </si>
  <si>
    <t>Agronomic application effects of organic wastes on a squash crop production
By:Pellejero, G (Pellejero, Graciela) [1] ; Menendez, J (Menendez, Jonathan) [1] ; Palacios, J (Palacios, Julieta) [1] ; Aschkar, G (Aschkar, Gabriela) [1] ; Garcia-Navarro, FJ (Garcia-Navarro, Francisco J.) [2] ; Trujillo-Gonzalez, JM (Trujillo-Gonzalez, Juan M.) [3] ; Chacon-Vozmediano, JL (Chacon-Vozmediano, Juan L.) [4] ; Jimenez-Ballesta, R (Jimenez-Ballesta, Raimundo) [5].; INTERNATIONAL JOURNAL OF RECYCLING OF ORGANIC WASTE IN AGRICULTURE</t>
  </si>
  <si>
    <t>https://ijrowa.isfahan.iau.ir/article_686567.html</t>
  </si>
  <si>
    <t>Poultry Feathers and Offal Treatment by Using Beneficial Microorganisms
By:Alvarez-Vera, M (Alvarez-Vera, Manuel) [1] , [3] ; Vazquez, J (Vazquez, Jacinto) [2] ; Fernandez, D (Fernandez, Daniel) [3] ; Reinoso, R (Reinoso, Rosalia) [3].; BIORESOURCES</t>
  </si>
  <si>
    <t>https://bioresources.cnr.ncsu.edu/resources/poultry-feathers-and-offal-treatment-by-using-beneficial-microorganisms/</t>
  </si>
  <si>
    <t>Organic Waste Management and Circular Bioeconomy: A Literature Review Comparison between Latin America and the European Union
By:Bottausci, S (Bottausci, Sara) [1] ; Midence, R (Midence, Roger) [1] ; Serrano-Bernardo, F (Serrano-Bernardo, Francisco) [2] ; Bonoli, A (Bonoli, Alessandra) [1].; Sustainability</t>
  </si>
  <si>
    <t>https://cris.unibo.it/bitstream/11585/850210/1/Sustainability%20issue.pdf</t>
  </si>
  <si>
    <t>Suitable site selection for transfer stations in a solid waste management system using analytical hierarchy process as a multi-criteria decision analysis: a case study in Azuay-Ecuador
Cobos-Mora, SL; Guaman-Aucapina, J and Zuniga-Ruiz, J.; ENVIRONMENT DEVELOPMENT AND SUSTAINABILITY</t>
  </si>
  <si>
    <t>https://link.springer.com/article/10.1007/s10668-022-02134-8</t>
  </si>
  <si>
    <t>Drivers and barriers of circular economy business models: Where we are now, and where we are heading
By:Hina, M (Hina, Maryam) [1] ; Chauhan, C (Chauhan, Chetna) [2] ; Kaur, P (Kaur, Puneet) [3] , [4] ; Kraus, S (Kraus, Sascha) [5] ; Dhir, A (Dhir, Amandeep) [4] , [6] , [7].; JOURNAL OF CLEANER PRODUCTION</t>
  </si>
  <si>
    <t>https://www.sciencedirect.com/science/article/pii/S0959652621042153?via%3Dihub</t>
  </si>
  <si>
    <t>Green growth &amp; sustainability transition through information. Are the greener better informed? Evidence from European SMEs
Chatzistamoulou, N and Tyllianakis, E.; JOURNAL OF ENVIRONMENTAL MANAGEMENT</t>
  </si>
  <si>
    <t>https://eprints.whiterose.ac.uk/183173/1/GreenGrowth_SMEs_author_accepted_MS.pdf</t>
  </si>
  <si>
    <t>Biogas role in achievement of the sustainable development goals: Evaluation, Challenges, and Guidelines
By:Obaideen, K (Obaideen, Khaled) [1] ; Abdelkareem, MA (Abdelkareem, Mohammad Ali) [2] , [3] , [4] ; Wilberforce, T (Wilberforce, Tabbi) [5] ; Elsaid, K (Elsaid, Khaled) [6] ; Sayed, ET (Sayed, Enas Taha) [3] , [4] ; Maghrabie, HM (Maghrabie, Hussein M.) [7] ; Olabi, AG (Olabi, A. G.) [2] , [3] , [5] , [8].; JOURNAL OF THE TAIWAN INSTITUTE OF CHEMICAL ENGINEERS</t>
  </si>
  <si>
    <t>https://www.sciencedirect.com/science/article/abs/pii/S1876107022000062?via%3Dihub</t>
  </si>
  <si>
    <t>Circular economy and frugal innovation: a conceptual nexus
By:Ezeudu, OB (Ezeudu, Obiora B.) [1] ; Agunwamba, JC (Agunwamba, Jonah C.) [1] , [2] ; Ugochukwu, UC (Ugochukwu, Uzochukwu C.) [1] ; Oraelosi, TC (Oraelosi, Tochukwu C.) [3].; ENVIRONMENTAL SCIENCE AND POLLUTION RESEARCH</t>
  </si>
  <si>
    <t>https://link.springer.com/article/10.1007/s11356-022-18522-6</t>
  </si>
  <si>
    <t>Barriers for sustainable waste management in Beijing based on a hybrid MMDE-ISM model
Sun, YK and Wang, C
2nd International Conference on Applied Mathematics, Modelling, and Intelligent Computing (CAMMIC)
2022</t>
  </si>
  <si>
    <t>https://www.spiedigitallibrary.org/conference-proceedings-of-spie/12259/2639158/Barriers-for-sustainable-waste-management-in-Beijing-based-on-a/10.1117/12.2639158.short?SSO=1</t>
  </si>
  <si>
    <t>The Mediating Role of Policy-Related Factors in the Relationship between Practice of Waste Generation and Sustainable Construction Waste Minimisation: PLS-SEM
By:Mohammed, M (Mohammed, Musa) [1] , [2] ; Shafiq, N (Shafiq, Nasir) [3] ; Al-Mekhlafi, AA (Al-Mekhlafi, Al-Baraa Abdulrahman) [4] ; Rashed, EF (Rashed, Ehab Farouk) [5] ; Khalil, MH (Khalil, Mohamed Hassan) [6] ; Zawawi, NA (Zawawi, Noor Amila) [3] ; Muhammad, A (Muhammad, Abubakar) [7] ; Sadis, AM (Sadis, Aminu Mubarak) [8].; Sustainability</t>
  </si>
  <si>
    <t>https://www.mdpi.com/2071-1050/14/2/656</t>
  </si>
  <si>
    <t>Sustainability Performance Management Framework for Circular Economy Implementation in State-Owned Plantation Enterprises
By:Trisyulianti, E (Trisyulianti, Erlin) [1] , [2] ; Prihartono, B (Prihartono, Budhi) [1] ; Andriani, M (Andriani, Made) [1] ; Suryadi, K (Suryadi, Kadarsah) [1].; Ssuatainability</t>
  </si>
  <si>
    <t>https://www.mdpi.com/2071-1050/14/1/482</t>
  </si>
  <si>
    <t>Cioca, LI; Ivascu, L; Rada, EC; Torretta, V (Italia); Ionescu, G</t>
  </si>
  <si>
    <t>Sustainable Development and Technological Impact on CO2 Reducing Conditions in Romania</t>
  </si>
  <si>
    <t>Panel Evidence from EU Countries on CO2 Emission Indicators during the Fourth Industrial Revolution
Bezic, H; Mance, D and Balaz, D.; Sustainability</t>
  </si>
  <si>
    <t>https://www.mdpi.com/2071-1050/14/19/12554</t>
  </si>
  <si>
    <t>Ranking Green Universities from MCDM Perspective: MABAC with Gini Coefficient-based Weighting Method
By:Oztas, T (Oztas, Tayfun) [1] ; Adali, EA (Adali, Esra Aytac) [1] ; Tus, A (Tus, Aysegul) [1] ; Oztas, GZ (Oztas, Gulin Zeynep) [1]; PROCESS INTEGRATION AND OPTIMIZATION FOR SUSTAINABILITY</t>
  </si>
  <si>
    <t>https://link.springer.com/article/10.1007/s41660-022-00281-z</t>
  </si>
  <si>
    <t>Immobilization of lead (Pb) using ladle furnace slag and carbon dioxide
Xu, B and Yi, YL.; CHEMOSPHERE</t>
  </si>
  <si>
    <t>https://www.sciencedirect.com/science/article/abs/pii/S0045653522028806?via%3Dihub</t>
  </si>
  <si>
    <t>Does sustainable environmental agenda matter in the era of globalization? The relationship among financial development, energy consumption, and sustainable environmental-economic growth
By:Cao, XH (Cao, XingHua) [1] ; Kannaiah, D (Kannaiah, Desti) [2] ; Ye, LT (Ye, Longtao) [3] ; Khan, J (Khan, Jamal) [4] ; Shabbir, MS (Shabbir, Malik Shahzad) [5] ; Bilal, K (Bilal, Kanwal) [6] ; Tabash, MI (Tabash, Mosaib, I) [7]; ENVIRONMENTAL SCIENCE AND POLLUTION RESEARCH</t>
  </si>
  <si>
    <t>https://link.springer.com/article/10.1007/s11356-022-18772-4</t>
  </si>
  <si>
    <t>Lakatos, ES; Cioca, LI; Dan, V; Ciomos, AO; Crisan, OA; Barsan, G</t>
  </si>
  <si>
    <t>Studies and Investigation about the Attitude towards Sustainable Production, Consumption and Waste Generation in Line with Circular Economy in Romania</t>
  </si>
  <si>
    <t>Analysis of environmental consciousness towards sustainable consumption: An investigation on the smartphone case
By:Kerber, JC (Kerber, Jaqueline Carneiro) [1] ; de Souza, ED (de Souza, Eduarda Dutra) [1] ; Fettermann, DC (Fettermann, Diego Castro) [1] ; Bouzon, M (Bouzon, Marina) [1]; JOURNAL OF CLEANER PRODUCTION</t>
  </si>
  <si>
    <t>https://www.sciencedirect.com/science/article/abs/pii/S0959652622051174?via%3Dihub</t>
  </si>
  <si>
    <t>The differences of climate change perception, responsibility and climate-friendly behavior among generations and the main determinants of youth?s climate-friendly actions in the EU
Skeiryte, A; Krikstolaitis, R and Liobikiene, G; JOURNAL OF ENVIRONMENTAL MANAGEMENT</t>
  </si>
  <si>
    <t>https://www.sciencedirect.com/science/article/pii/S0301479722018503?via%3Dihub</t>
  </si>
  <si>
    <t>Corporate social responsibility and circular economy from the perspective of consumers: A cross-cultural analysis in the cosmetic industry
By:Kolling, C (Kolling, Camila) [1] , [4] ; Ribeiro, JLD (Ribeiro, Jose Luis Duarte) [1] ; Morea, D (Morea, Donato) [2] ; Iazzolino, G (Iazzolino, Gianpaolo) [3]; CORPORATE SOCIAL RESPONSIBILITY AND ENVIRONMENTAL MANAGEMENT</t>
  </si>
  <si>
    <t>https://onlinelibrary.wiley.com/doi/10.1002/csr.2415</t>
  </si>
  <si>
    <t>Managing Electronic Waste: A Qualitative Inquiry into the Behaviour of Young Indian Consumers
Gautam, S and Jain, S; GLOBAL BUSINESS REVIEW</t>
  </si>
  <si>
    <t>https://journals.sagepub.com/doi/10.1177/09721509221121714</t>
  </si>
  <si>
    <t>How Does the Circular Economy Applied in the European Union Support Sustainable Economic Development?
By:Sabau-Popa, CD (Sabau-Popa, Claudia Diana) [1] ; Bele, AM (Bele, Alexandra Maria) [2] ; Dodescu, AO (Dodescu, Anca Otilia) [1] ; Bolos, ML (Bolos, Marcel Loan) [1]; Sustainability</t>
  </si>
  <si>
    <t>https://www.mdpi.com/2071-1050/14/16/9932</t>
  </si>
  <si>
    <t>The impact of brand familiarity, perceived trust and attitude on investors' decision-making in Islamic stock market
Husin, MM; Aziz, S and Bhatti, T; JOURNAL OF ISLAMIC MARKETING</t>
  </si>
  <si>
    <t>https://www.emerald.com/insight/content/doi/10.1108/JIMA-04-2020-0093/full/html</t>
  </si>
  <si>
    <t>Drivers of circular economy for small and medium enterprises: Case study on the Indian state of Tamil Nadu
By:Mathivathanan, D (Mathivathanan, Deepak) [1] ; Mathiyazhagan, K (Mathiyazhagan, K.) [2] ; Khorana, S (Khorana, Sangeeta) [3] ; Rana, NP (Rana, Nripendra P.) [4] ; Arora, B (Arora, Bimal) [5]; JOURNAL OF BUSINESS RESEARCH</t>
  </si>
  <si>
    <t>https://eprints.bournemouth.ac.uk/37980/7/JBR_TamilNadu%20accepted.pdf</t>
  </si>
  <si>
    <t>The Importance of Sustainability Aspects When Purchasing Online: Comparing Generation X and Generation Z
Brand, BM; Rausch, TM and Brandel, J; Sustainability</t>
  </si>
  <si>
    <t>https://www.mdpi.com/2071-1050/14/9/5689</t>
  </si>
  <si>
    <t>Role of consumer mindsets, behaviour, and influencing factors in circular consumption systems: A systematic review
Gomes, GM; Moreira, N and Ometto, AR; SUSTAINABLE PRODUCTION AND CONSUMPTION</t>
  </si>
  <si>
    <t>https://acris.aalto.fi/ws/portalfiles/portal/82219080/Role_of_consumer_mindsets_behaviour_and_influencing_factors_in_circular_consumption_systems_Gomes_Moreira_Ometto_2022.pdf</t>
  </si>
  <si>
    <t>Xenocentrism and Formal Education: Evaluating Its Impact on the Behavior of Chilean Consumers
Camacho, LJ; Ramirez-Correa, P and Salazar-Concha, C; JOURNAL OF RISK AND FINANCIAL MANAGEMENT</t>
  </si>
  <si>
    <t>https://www.mdpi.com/1911-8074/15/4/166</t>
  </si>
  <si>
    <t>Sustainable Development Goals (SDGs) as a Framework for Corporate Social Responsibility (CSR)
By:Shayan, NF (Fallah Shayan, Niloufar) [1] ; Mohabbati-Kalejahi, N (Mohabbati-Kalejahi, Nasrin) [2] ; Alavi, S (Alavi, Sepideh) [2] ; Zahed, MA (Zahed, Mohammad Ali) [3]; Sustainability</t>
  </si>
  <si>
    <t>https://www.mdpi.com/2071-1050/14/3/1222</t>
  </si>
  <si>
    <t>Sustainable Consumption in the Baltic States: The Carbon Footprint in the Household Sector
Liobikiene, G and Brizga, J; Sustainability</t>
  </si>
  <si>
    <t>https://www.mdpi.com/2071-1050/14/3/1567</t>
  </si>
  <si>
    <t>From garbage to product and service systems: A longitudinal Finnish case study of waste management evolution
Peura, P; Voutilainen, O and Kantola, J; Waste Management</t>
  </si>
  <si>
    <t>https://jukuri.luke.fi/bitstream/handle/10024/551495/Peura_et_al_2022.pdf;jsessionid=8DE6E6A973BF79A1AE1515F1710BED21?sequence=1</t>
  </si>
  <si>
    <t>Moraru, RI; Babut, GB; Cioca, LI</t>
  </si>
  <si>
    <t>RATIONALE AND CRITERIA DEVELOPMENT FOR RISK ASSESSMENT TOOL SELECTION IN WORK ENVIRONMENTS</t>
  </si>
  <si>
    <t>Selection of the safety risk analysis technique most compatible with nature, requirements and resources of mining projects using an integrated Folchi-AHP method
Hazrathosseini, A; RUDARSKO-GEOLOSKO-NAFTNI ZBORNIK</t>
  </si>
  <si>
    <t>https://hrcak.srce.hr/en/clanak/403454</t>
  </si>
  <si>
    <t>Rada, EC; Cioca, LI</t>
  </si>
  <si>
    <t>Optimizing the Methodology of Characterization of Municipal Solid Waste in EU Under a Circular Economy Perspective</t>
  </si>
  <si>
    <t>Exploratory compositional analysis of street bin litter: Empirical study in a regional city in Belgium
By:Verstegen, A (Verstegen, Anneleen) [1] ; De Bruyn, E (De Bruyn, Emma) [1] ; Soers, F (Soers, Felix) [1] ; Van Renne, R (Van Renne, Robbe) [1] ; De Greef, J (De Greef, Johan) [1] ; Vanaenroyde, B (Vanaenroyde, Bruno) [2] ; Van Caneghem, J (Van Caneghem, Jo) [1]; RESOURCES CONSERVATION AND RECYCLING</t>
  </si>
  <si>
    <t>https://www.sciencedirect.com/science/article/abs/pii/S0921344922006498?via%3Dihub</t>
  </si>
  <si>
    <t>Estimating the packaging share in household hazardous waste: Methodology proposal and case study application
By:Verstegen, A (Verstegen, Anneleen) [1] ; Bouzrouti, M (Bouzrouti, Mohamed) [1] ; Hensen, A (Hensen, Andrea) [1] ; Moreau, G (Moreau, Gilles) [1] ; Jansen, J (Jansen, Jerome) [2] ; Weemaels, L (Weemaels, Loes) [3] ; Van Caneghem, J (Van Caneghem, Jo) [1]; ENVIRONMENTAL AND SUSTAINABILITY INDICATORS</t>
  </si>
  <si>
    <t>https://www.sciencedirect.com/science/article/pii/S2665972721000684?via%3Dihub</t>
  </si>
  <si>
    <t>A new method to overcome difficulties of measurements for energy and exergy auditing of municipal solid Waste-to-Energy plants
Hejrandoost, ML; Fazelpour, F and Saraei, A; ENERGY CONVERSION AND MANAGEMENT</t>
  </si>
  <si>
    <t>https://www.sciencedirect.com/science/article/abs/pii/S0196890422000711?via%3Dihub</t>
  </si>
  <si>
    <t>Lakatos, ES; Dan, V; Cioca, LI; Bacali, L; Ciobanu, AM</t>
  </si>
  <si>
    <t>How Supportive Are Romanian Consumers of the Circular Economy Concept: A Survey</t>
  </si>
  <si>
    <t>Youth Awareness and Attitudes towards a Circular Economy to Achieve the Green Deal Goals
By:Krajnc, D (Krajnc, Damjan) [1] ; Kovacic, D (Kovacic, Darko) [2] ; Zunec, E (Zunec, Eva) [2] ; Brglez, K (Brglez, Kristijan) [3] , [4] ; Lukman, RK (Lukman, Rebeka Kovacic) [3] , [4]; Sustainability</t>
  </si>
  <si>
    <t>https://www.mdpi.com/2071-1050/14/19/12050</t>
  </si>
  <si>
    <t>Development and validation of a tool for the integration of the circular economy in industrial companies: Case study of 30 companies, Urain, I; Eguren, JA and Justel, D; JOURNAL OF CLEANER PRODUCTION</t>
  </si>
  <si>
    <t>https://ebiltegia.mondragon.edu/xmlui/bitstream/handle/20.500.11984/5852/DevelopmentAndValidationOfAToolForTheIntegrationOf.pdf;jsessionid=52F577EC351A508A74F40719992DCE99?sequence=1</t>
  </si>
  <si>
    <t>Institutional pressures as drivers of circular economy in firms: A machine learning approach
Arranz, CFA; Sena, V and Kwong, C; JOURNAL OF CLEANER PRODUCTION</t>
  </si>
  <si>
    <t>https://gala.gre.ac.uk/id/eprint/36590/7/36590_ARRANZ_Institutional_pressures_as_driver.pdf</t>
  </si>
  <si>
    <t>Examining Generation Z's Attitudes, Behavior and Awareness Regarding Eco-Products: A Bayesian Approach to Confirmatory Factor Analysis
By:Nikolic, TM (Nikolic, Tatjana Mamula) [1] ; Paunovic, I (Paunovic, Ivan) [2] , [3] ; Milovanovic, M (Milovanovic, Mirjana) [4] ; Lozovic, N (Lozovic, Nenad) [1] ; Durovic, M (Durovic, Marija) [5]; Sustainability</t>
  </si>
  <si>
    <t>https://pub.h-brs.de/frontdoor/deliver/index/docId/6122/file/sustainability-14-02727.pdf</t>
  </si>
  <si>
    <t>Cioca, LI; Moraru, RI</t>
  </si>
  <si>
    <t>EXPLOSION AND/OR FIRE RISK ASSESSMENT METHODOLOGY: A COMMON APPROACH, STRUCTURED FOR UNDERGROUND COALMINE ENVIRONMENTS</t>
  </si>
  <si>
    <t>Cause Analysis of Coal Mine Gas Explosion Based on Bayesian Network
Li, L and Fang, ZH; SHOCK AND VIBRATION</t>
  </si>
  <si>
    <t>https://www.hindawi.com/journals/sv/2022/1923734/</t>
  </si>
  <si>
    <t>THE INFLUENCE OF WOOD CRIBS SHAPE ON THE MASS LOSS AND TEMPERATURE VARIATION IN ENCLOSED SPACES
By:Anghel, I (Anghel, Ion) [1] ; Chiojdoiu, AF (Chiojdoiu, Alexandru-Florin) [2] ; Petrache, MA (Petrache, Madalin Adrian) [3] ; Vrabie, S (Vrabie, Sebastian) [4]; ACTA TECHNICA NAPOCENSIS SERIES-APPLIED MATHEMATICS MECHANICS AND ENGINEERING</t>
  </si>
  <si>
    <t>https://www.webofscience.com/wos/woscc/full-record/WOS:000838236300009</t>
  </si>
  <si>
    <t>Rada, EC; Zatelli, C (Italia); Cioca, LI; Torretta, V (Italia)</t>
  </si>
  <si>
    <t>Selective Collection Quality Index for Municipal Solid Waste Management</t>
  </si>
  <si>
    <t>Municipal Solid Waste generation dynamics. Breaks and thresholds analysis in the Italian context
Chakraborty, SK; Mazzanti, M and Mazzarano, M; Waste Management</t>
  </si>
  <si>
    <t>https://www.sciencedirect.com/science/article/abs/pii/S0956053X22001908?via%3Dihub</t>
  </si>
  <si>
    <t>Ivascu, L; Cioca, LI</t>
  </si>
  <si>
    <t>Opportunity Risk: Integrated Approach to Risk Management for Creating Enterprise Opportunities</t>
  </si>
  <si>
    <t>Risk management in higher education research: a systematic literature review
Khaw, TY and Teoh, AP; QUALITY ASSURANCE IN EDUCATION</t>
  </si>
  <si>
    <t>https://www.emerald.com/insight/content/doi/10.1108/QAE-04-2022-0097/full/html</t>
  </si>
  <si>
    <t>Influence of the Thermal Environment on Occupational Health and Safety in Automotive Industry: A Case Study
By:Rinjea, C (Rinjea, Constanta) [1] ; Chivu, OR (Chivu, Oana Roxana) [1] ; Darabont, DC (Darabont, Doru-Costin) [2] ; Feier, AI (Feier, Anamaria Ioana) [3] ; Borda, C (Borda, Claudia) [1] ; Gheorghe, M (Gheorghe, Marilena) [1] ; Nitoi, DF (Nitoi, Dan Florin) [1]; INTERNATIONAL JOURNAL OF ENVIRONMENTAL RESEARCH AND PUBLIC HEALTH</t>
  </si>
  <si>
    <t>https://www.ncbi.nlm.nih.gov/pmc/articles/PMC9324884/</t>
  </si>
  <si>
    <t>PROCESS MAPPING AS AN EFFECTIVE SAFETY TOOL IN THE AIR TRANSPORT PROCESS
Tirpakova, M; Blistanova, M and Hanak, P; MANAGEMENT RESEARCH AND PRACTICE</t>
  </si>
  <si>
    <t>https://www.webofscience.com/wos/woscc/full-record/WOS:000810992900001</t>
  </si>
  <si>
    <t>The Risky-Opportunity Analysis Method (ROAM) to Support Risk-Based Decisions in a Case-Study of Critical Infrastructure Digitization
By:Ardebili, AA (Ardebili, Ali Aghazadeh) [1] ; Padoano, E (Padoano, Elio) [2] ; Longo, A (Longo, Antonella) [1] ; Ficarella, A (Ficarella, Antonio) [1]; Risks</t>
  </si>
  <si>
    <t>https://arts.units.it/bitstream/11368/3013730/1/risks-10-00048-v2.pdf</t>
  </si>
  <si>
    <t>Ragazzi, M (Italia); Fedrizzi, S (Italia); Rada, E; Ionescu, G; Ciudin, R; Cioca, LI</t>
  </si>
  <si>
    <t>Experiencing Urban Mining in an Italian Municipality towards a Circular Economy vision</t>
  </si>
  <si>
    <t>Rada, EC; Ragazzi, M (Italia); Torretta, V (Italia); Castagna, G (Italia); Adami, L (Italia); Cioca, LI</t>
  </si>
  <si>
    <t>Circular Economy and Waste to Energy</t>
  </si>
  <si>
    <t>Evaluation of the Immobilization of Fly Ash from the Incineration of Municipal Waste in Cement Mortar Incorporating Nanomaterials-A Case Study
Czop, M; Lazniewska-Piekarczyk, B and Kajda-Szczesniak, M; Energies</t>
  </si>
  <si>
    <t>https://www.mdpi.com/1996-1073/15/23/9050</t>
  </si>
  <si>
    <t>The laboratory performance of asphalt mixture with thermoplastic polyurethane (TPU) and amorphous poly alpha olefin (APAO) compound modified asphalt binder
By:Hong, Z (Hong, Zhe) [1] , [2] ; Yan, KZ (Yan, Kezhen) [1] , [2] ; Wang, M (Wang, Min) [1] , [2] ; Yuan, J (Yuan, Jian) [1] , [2] ; Ge, DD (Ge, Dongdong) [3] ; Liu, J (Liu, Jun) [4]; CONSTRUCTION AND BUILDING MATERIALS</t>
  </si>
  <si>
    <t>https://www.sciencedirect.com/science/article/abs/pii/S0950061822023996?via%3Dihub</t>
  </si>
  <si>
    <t>Between declaration and action- an analysis of the results of research on circular behaviours taken up by the households and perceived benefits from them
Szczygiel, E; Lwowska, A and Hajduk-Stelmachowicz, M; PRACE KOMISJI GEOGRAFII PRZEMYSLU POLSKIEGO TOWARZYSTWA GEOGRAFICZNEGO-STUDIES OF THE INDUSTRIAL GEOGRAPHY COMMISSION OF THE POLISH GEOGRAPHICAL SOCIETY</t>
  </si>
  <si>
    <t>https://prace-kgp.up.krakow.pl/article/view/9332</t>
  </si>
  <si>
    <t>Cioca, LI; Ivascu, L</t>
  </si>
  <si>
    <t xml:space="preserve">
Risk Indicators and Road Accident Analysis for the Period 2012-2016</t>
  </si>
  <si>
    <t>Healthcare Supply Chain Reliability: The Case of Medical Air Transport
By:Skowron-Grabowska, B (Skowron-Grabowska, Beata) [1] ; Wincewicz-Bosy, M (Wincewicz-Bosy, Marta) [2] ; Dymyt, M (Dymyt, Malgorzata) [2] ; Sadowski, A (Sadowski, Adam) [3] ; Dymyt, T (Dymyt, Tomasz) [4] ; Wasowska, K (Wasowska, Katarzyna) [5]; INTERNATIONAL JOURNAL OF ENVIRONMENTAL RESEARCH AND PUBLIC HEALTH</t>
  </si>
  <si>
    <t>https://www.ncbi.nlm.nih.gov/pmc/articles/PMC8998864/</t>
  </si>
  <si>
    <t>Assessing the Risk of University-Student Driving to enhance Safe and Sustainable Traffic Management: A Logistic Regression and Analytic Hierarchy Approach
By:Khadar, SDA (Khadar, Shaik Dawood Abdul) [1] ; Mansour, M (Mansour, Mohamed) [1] , [2] ; Alsulamy, S (Alsulamy, Saleh) [3] ; Alghamdi, S (Alghamdi, Saleh) [1] ; Qureshi, MR (Qureshi, Mohamed Rafik) [1]; TEHNICKI VJESNIK-TECHNICAL GAZETTE</t>
  </si>
  <si>
    <t>https://hrcak.srce.hr/en/272624</t>
  </si>
  <si>
    <t>Spatial Analysis with Weighted Kernel Groupings to Determine Risk Sectors Due to Traffic Accidents in Urban Area. Tunja Analysis, Colombia
Escobar, FAC; Buitrago, GP and Guio, FA; CUADERNOS GEOGRAFICOS</t>
  </si>
  <si>
    <t>https://revistaseug.ugr.es/index.php/cuadgeo/article/view/18025</t>
  </si>
  <si>
    <t>ASSESSING USERS' PERCEPTIONS OF FOUR TYPES OF ROAD SAFETY MEASURES
By:Alonso, F (Alonso, Francisco) [1] ; Useche, SA (Useche, Sergio A.) [2] ; Faus, M (Faus, Mireia) [1] ; Esteban, C (Esteban, Cristina) [1]; TRANSPORT PROBLEMS</t>
  </si>
  <si>
    <t>https://roderic.uv.es/bitstream/handle/10550/83436/154303.pdf;jsessionid=868BCAC06B57CEEAEF74797FF34D365D.nodo1?sequence=1</t>
  </si>
  <si>
    <t>STUDY OF METHANE FLOW IN CAVED GOAFS AJACENT TO LONGWALL FACES IN VALEA JIULUI COAL BASIN, 13th International Multidisciplinary Scientific Geoconference, SGEM 2013
2013 |</t>
  </si>
  <si>
    <t>The influence of methane on the development of free radical during low-temperature oxidation of coal in gob
By:Hu, XC (Hu, Xincheng) [1] ; Yu, ZY (Yu, Zhaoyang) [1] ; Cai, JW (Cai, Jiawen) [1] ; Jiang, XY (Jiang, Xiaoyuan) [2] , [3] ; Li, P (Li, Peng) [4] , [5] ; Yang, SQ (Yang, Shengqiang) [2] , [3]; Fuel</t>
  </si>
  <si>
    <t>https://www.sciencedirect.com/science/article/abs/pii/S0016236122022049?via%3Dihub</t>
  </si>
  <si>
    <t>Rada, EC; Cioca, LI; Ionescu, G</t>
  </si>
  <si>
    <t>Energy recovery from Municipal Solid Waste in EU: proposals to assess the management performance under a circular economy perspective</t>
  </si>
  <si>
    <t>Circular economy adoption challenges in the food supply chain for sustainable development
By:Kumar, M (Kumar, Mukesh) [1] ; Raut, RD (Raut, Rakesh D.) [2] ; Jagtap, S (Jagtap, Sandeep) [3] ; Choubey, VK (Choubey, Vikas Kumar) [1]; BUSINESS STRATEGY AND THE ENVIRONMENT</t>
  </si>
  <si>
    <t>https://dspace.lib.cranfield.ac.uk/bitstream/handle/1826/18580/Circular_economy_adoption_challenges-2022.pdf;jsessionid=2EAED3E68DE4FF28976D5C44F2737A10?sequence=1</t>
  </si>
  <si>
    <t>Analyzing Performance in Wholesale Trade Romanian SMEs: Framing Circular Economy Business Scenarios
By:Dura, CC (Dura, Codruta Cornelia) [1] ; Iordache, AMM (Iordache, Ana Maria Mihaela) [2] ; Ionescu, A (Ionescu, Alexandru) [3] ; Isac, C (Isac, Claudia) [1] ; Breaz, TO (Breaz, Teodora Odett) [4] , [5]; Sustainability</t>
  </si>
  <si>
    <t>https://www.mdpi.com/2071-1050/14/9/5567</t>
  </si>
  <si>
    <t>Sustainability Performance Management Framework for Circular Economy Implementation in State-Owned Plantation Enterprises
By:Trisyulianti, E (Trisyulianti, Erlin) [1] , [2] ; Prihartono, B (Prihartono, Budhi) [1] ; Andriani, M (Andriani, Made) [1] ; Suryadi, K (Suryadi, Kadarsah) [1]; Sustainability</t>
  </si>
  <si>
    <t>Occupational Accidents Assessment by Field of Activity and Investigation Model for Prevention and Control</t>
  </si>
  <si>
    <t>A holistic view and evaluation of health and safety at work: Enabling the assessment of the overall burden
Micheli, GJL; Farne, S and Vitrano, G; SAFETY SCIENCE</t>
  </si>
  <si>
    <t>https://www.sciencedirect.com/science/article/abs/pii/S0925753522002399?via%3Dihub</t>
  </si>
  <si>
    <t>Maritime workers and their global health: Need to improve scientific knowledge and prevention
By:Lucas, D (Lucas, David) [1] , [2] , [3] ; Corman, V (Corman, Victorita) [4] ; Jensen, OC (Jensen, Olaf C.) [4] , [5] ; Denisenko, I (Denisenko, Ilona) [6] ; Prisno, DEL (Lucero-Prisno, Don E-, III) [7] , [8] ; Canals, ML (Canals, Maria L.) [9] , [10]; JOURNAL OF GLOBAL HEALTH</t>
  </si>
  <si>
    <t>https://findresearcher.sdu.dk/ws/files/202688234/jogh_12_03031.pdf</t>
  </si>
  <si>
    <t>Cioca, LI; Ivascu, L; Turi, A; Artene, A; Gaman, GA</t>
  </si>
  <si>
    <t>Sustainable Development Model for the Automotive Industry</t>
  </si>
  <si>
    <t>Automotive Sector Financial Performance Dynamic Model: Europe vs. Asia Case Study
By:Ionescu, RV (Ionescu, Romeo-Victor) [1] ; Zlati, ML (Zlati, Monica-Laura) [2] ; Antohi, VM (Antohi, Valentin-Marian) [2] , [3] ; Dinca, MS (Dinca, Marius-Sorin) [3]; MATHEMATICS</t>
  </si>
  <si>
    <t>https://www.mdpi.com/2227-7390/10/19/3627</t>
  </si>
  <si>
    <t>Integrated Approach for Safety Culture Factor Evaluation from a Sustainability Perspective
By:Jasiulewicz-Kaczmarek, M (Jasiulewicz-Kaczmarek, Malgorzata) [1] ; Antosz, K (Antosz, Katarzyna) [2] ; Wyczolkowski, R (Wyczolkowski, Ryszard) [3] ; Slawinska, M (Slawinska, Malgorzata) [1]; INTERNATIONAL JOURNAL OF ENVIRONMENTAL RESEARCH AND PUBLIC HEALTH</t>
  </si>
  <si>
    <t>https://www.ncbi.nlm.nih.gov/pmc/articles/PMC9564704/</t>
  </si>
  <si>
    <t>Analysis of the integrating sustainable value creation process: evidence from Iran's automotive industry
By:Valiyan, H (Valiyan, Hasan) [1] ; Abdoli, M (Abdoli, Mohammadreza) [1] ; Jahromi, AK (Jahromi, Alireza Koushki) [2] ; Zamanianfar, L (Zamanianfar, Leila) [3] ; Gholizadeh, P (Gholizadeh, Peyman) [4]; TQM JOURNAL</t>
  </si>
  <si>
    <t>https://www.emerald.com/insight/content/doi/10.1108/TQM-11-2021-0323/full/html</t>
  </si>
  <si>
    <t>Sustainability Strategies and Achieving SDGs: A Comparative Analysis of Leading Companies in the Automotive Industry
Lukin, E; Krajnovic, A and Bosna, J; Sustainability</t>
  </si>
  <si>
    <t>https://www.mdpi.com/2071-1050/14/7/4000</t>
  </si>
  <si>
    <t>IS TOO MUCH A GOOD THING? THE NON-LINEAR RELATIONSHIP BETWEEN INTELLECTUAL CAPITAL AND FINANCIAL COMPETITIVENESS IN THE CHINESE AUTOMOTIVE INDUSTRY
Xu, J; Liu, F and Xie, JC; JOURNAL OF BUSINESS ECONOMICS AND MANAGEMENT</t>
  </si>
  <si>
    <t>https://journals.vilniustech.lt/index.php/JBEM/article/view/16406</t>
  </si>
  <si>
    <t>The Dynamics between Corporate Fairness and Environmental Sustainability Initiatives in the Indian Automotive Industry
Shyna, KS and Ranganathan, S; INTERNATIONAL TRANSACTION JOURNAL OF ENGINEERING MANAGEMENT &amp; APPLIED SCIENCES &amp; TECHNOLOGIES</t>
  </si>
  <si>
    <t>https://doi.nrct.go.th//ListDoi/listDetail?Resolve_DOI=10.14456/itjemast.2022.56</t>
  </si>
  <si>
    <t>Transitioning towards sustainability: The 'what', 'why' and 'how' of the integration of sustainable practices into business models
Diez-Martinez, I and Peiro-Signes, A; TEC EMPRESARIAL</t>
  </si>
  <si>
    <t>https://www.webofscience.com/wos/woscc/full-record/WOS:000782839500003</t>
  </si>
  <si>
    <t>Giurea, R; Precazzini, I (Italia); Ragazzi, M (Italia); Achim, MI; Cioca, LI; Conti, F (Italia); Torretta, V (Italia); Rada, EC</t>
  </si>
  <si>
    <t>Good Practices and Actions for Sustainable Municipal Solid Waste Management in the Tourist Sector</t>
  </si>
  <si>
    <t>Testing the stakeholders' partnership in a tourism waste management network: an ERGM approach
By:Xu, XM (Xu, Xiumei) [1] ; Huang, YC (Huang, Yicheng) [2] ; Lai, Q (Lai, Qun) [3] , [4] ; Feng, C (Feng, Chao) [5]; ENVIRONMENTAL SCIENCE AND POLLUTION RESEARCH</t>
  </si>
  <si>
    <t>https://assets.researchsquare.com/files/rs-1456848/v1/4c1cae17-7c0c-4827-b541-ef4513a8a579.pdf?c=1648846526</t>
  </si>
  <si>
    <t>A Behavioral Approach to the Tourism Consumer Decisions of Generation Z
By:Puiu, S (Puiu, Silvia) [1] ; Velea, L (Velea, Liliana) [2] ; Udristioiu, MT (Udristioiu, Mihaela Tinca) [3] ; Gallo, A (Gallo, Alessandro) [2]; BEHAVIORAL SCIENCES</t>
  </si>
  <si>
    <t>https://www.ncbi.nlm.nih.gov/pmc/articles/PMC9495311/</t>
  </si>
  <si>
    <t>Agritourism and Farms Diversification in Italy: What Have We Learnt from COVID-19?
By:Zanetti, B (Zanetti, Barbara) [1] ; Verrascina, M (Verrascina, Milena) [1] ; Licciardo, F (Licciardo, Francesco) [1] ; Gargano, G (Gargano, Giuseppe); Land</t>
  </si>
  <si>
    <t>https://www.mdpi.com/2073-445X/11/8/1215</t>
  </si>
  <si>
    <t>Lakatos, ES; Yong, G (China); Szilagyi, A; Clinci, DS; Georgescu, L; Iticescu, C; Cioca, LI</t>
  </si>
  <si>
    <t>Conceptualizing Core Aspects on Circular Economy in Cities</t>
  </si>
  <si>
    <t>Design (Allocation) of a Carbon Emission System-A Lesson from Power Restrictions in Zhejiang, China
By:Xiong, F (Xiong, Feng) [1] , [2] ; Zeng, XY (Zeng, Xiaoyu) [2] ; Xie, Y (Xie, Yi (Fionna)) [3] ; Li, Y (Li, Yan) [2]; Sustainability</t>
  </si>
  <si>
    <t>https://www.mdpi.com/2071-1050/14/19/12161</t>
  </si>
  <si>
    <t>Towards the Smart Circular Economy Paradigm: A Definition, Conceptualization, and Research Agenda
By:Bressanelli, G (Bressanelli, Gianmarco) [1] ; Adrodegari, F (Adrodegari, Federico) [1] ; Pigosso, DCA (Pigosso, Daniela C. A.) [2] ; Parida, V (Parida, Vinit) [3] , [4]; Sustainability</t>
  </si>
  <si>
    <t>https://iris.unibs.it/bitstream/11379/557204/1/2022%20-%20Towards%20the%20Smart%20Circular%20Economy%20paradigm.pdf</t>
  </si>
  <si>
    <t>Application Studies for the Implementation of the Sustainability Charter in the Metropolitan City of Genoa
By:Pirlone, F (Pirlone, Francesca) [1] ; Spadaro, I (Spadaro, Ilenia) [1] ; Arza, C (Arza, Cristiana) [2] ; Lonati, G (Lonati, Giovanna) [2] ; Garibaldi, P (Garibaldi, Piero) [2]; Sustainability</t>
  </si>
  <si>
    <t>https://iris.unige.it/bitstream/11567/1080584/1/sustainability-14-04721.pdf</t>
  </si>
  <si>
    <t>Circular Economy for Cities and Sustainable Development: The Case of the Portuguese City of Leiria
Antunes, JCC; Eugenio, T and Branco, MC; Sustainability</t>
  </si>
  <si>
    <t>https://www.mdpi.com/2071-1050/14/3/1726</t>
  </si>
  <si>
    <t>Banaduc, D; Curtean-Banaduc, A; Cianfaglione, K (Franta); Akeroyd, JR (Irlanda); Cioca, LI</t>
  </si>
  <si>
    <t>Proposed Environmental Risk Management Elements in a Carpathian Valley Basin, within the Rosia Montana European Historical Mining Area</t>
  </si>
  <si>
    <t>Allocation and Utilization of Coal Mine Water for Ecological Protection of Lakes in Semi-Arid Area of China
By:Liu, CS (Liu, Changshun) [1] ; Liang, LL (Liang, Lili) [2] ; Wang, L (Wang, Lin) [1] ; Zheng, S (Zheng, Shuai) [1]; Sustainability</t>
  </si>
  <si>
    <t>https://www.mdpi.com/2071-1050/14/15/9042</t>
  </si>
  <si>
    <t>Metal Contents and Pollution Indices Assessment of Surface Water, Soil, and Sediment from the Aries River Basin Mining Area, Romania
By:Moldovan, A (Moldovan, Ana) [1] , [2] ; Torok, AI (Torok, Anamaria Iulia) [1] ; Kovacs, E (Kovacs, Eniko) [1] , [3] ; Cadar, O (Cadar, Oana) [1] ; Mirea, IC (Mirea, Ionut Cornel) [4] ; Micle, V (Micle, Valer) [2]; Sustainability</t>
  </si>
  <si>
    <t>https://www.mdpi.com/2071-1050/14/13/8024</t>
  </si>
  <si>
    <t>A PETAR method for risk assessment of human health and environment on the regional scale, By:Guo, K (Guo, Kai) [1] ; Liu, Y (Liu, Yang) [2] ; Lan, ZY (Lan, Zeying) [3] ; Qin, LJ (Qin, Liangjun) [2] ; Lin, T (Lin, Tong) [4] ; Gan, Q (Gan, Qiao) [1] ; Jin, BB (Jin, Bingbing) [2] ; Chen, M (Chen, Min) [2]; INTEGRATED ENVIRONMENTAL ASSESSMENT AND MANAGEMENT</t>
  </si>
  <si>
    <t>https://setac.onlinelibrary.wiley.com/doi/10.1002/ieam.4621</t>
  </si>
  <si>
    <t>Does environmental risk really change in abandoned mining areas in the medium term when no control measures are taken?
By:Rodriguez, L (Rodriguez, Luis) [1] ; Gonzalez-Corrochano, B (Gonzalez-Corrochano, Beatriz) [2] ; Medina-Diaz, HL (Medina-Diaz, Hassay L.) [1] ; Lopez-Bellido, FJ (Lopez-Bellido, Francisco J.) [1] ; Fernandez-Morales, FJ (Fernandez-Morales, Francisco J.) [1] ; Alonso-Azcarate, J (Alonso-Azcarate, Jacinto) [2]; CHEMOSPHERE</t>
  </si>
  <si>
    <t>https://ruidera.uclm.es/xmlui/bitstream/handle/10578/30124/curriculum_PA21710045_1b712493a97847a0ad540837809f03d2_20_8%20(1).pdf?sequence=1</t>
  </si>
  <si>
    <t>Cioca, M; Ghete, AI (Germania); Cioca, LI; Gifu, D</t>
  </si>
  <si>
    <t>Machine Learning and Creative Methods Used to Classify Customers in a CRM Systems</t>
  </si>
  <si>
    <t>Towards Explainable Machine Learning for Bank Churn Prediction Using Data Balancing and Ensemble-Based Methods
By:Tekouabou, SCK (Tekouabou, Stephane C. K.) [1] , [2] ; Gherghina, SC (Gherghina, Stefan Cristian) [3] ; Toulni, H (Toulni, Hamza) [4] , [5] ; Mata, PN (Mata, Pedro Neves) [6] , [7] ; Martins, JM (Martins, Jose Moleiro) [6] , [8]; MATHEMATICS</t>
  </si>
  <si>
    <t>https://repositorio.ipl.pt/bitstream/10400.21/14825/1/mathematics-10-02379-v2.pdf</t>
  </si>
  <si>
    <t>A Machine Learning Framework towards Bank Telemarketing Prediction
By:Tekouabou, SCK (Tekouabou, Stephane Cedric Koumetio) [1] , [2] ; Gherghina, SC (Gherghina, Stefan Cristian) [3] ; Toulni, H (Toulni, Hamza) [4] , [5] ; Mata, PN (Neves Mata, Pedro) [6] , [7] ; Mata, MN (Mata, Mario Nuno) [6] ; Martins, JM (Martins, Jose Moleiro) [6] , [8]; JOURNAL OF RISK AND FINANCIAL MANAGEMENT</t>
  </si>
  <si>
    <t>https://repositorio.ipl.pt/bitstream/10400.21/14762/1/jrfm-15-00269-v2%20%282%29.pdf</t>
  </si>
  <si>
    <t>Ciuta, S; Antognoni, S (Italia); Rada, EC; Ragazzi, M (Italia); Badea, A; Cioca, LI</t>
  </si>
  <si>
    <t>Respirometric Index and Biogas Potential of Different Foods and Agricultural Discarded Biomass</t>
  </si>
  <si>
    <t>Hydrochar and hydrochar co-compost from OFMSW digestate for soil application: 1. production and chemical characterization
By:Scrinzi, D (Scrinzi, Donato) [1] ; Bona, D (Bona, Daniela) [2] ; Denaro, A (Denaro, Andrea) [1] ; Silvestri, S (Silvestri, Silvia) [2] ; Andreottola, G (Andreottola, Gianni) [1] ; Fiori, L (Fiori, Luca) [1] , [3]; JOURNAL OF ENVIRONMENTAL MANAGEMENT</t>
  </si>
  <si>
    <t>https://www.sciencedirect.com/science/article/pii/S0301479722002614?via%3Dihub</t>
  </si>
  <si>
    <t>KNOWLEDGE BASED HAZARD ANALYSIS GUIDELINES FOR OPERATIONAL TRANSPORTATION PROJECTS</t>
  </si>
  <si>
    <t>Wang, SW (China); Abbas, J (Pakistan); Sial, MS (Pakistan); Alvarez-Otero, S (Spania); Cioca, LI</t>
  </si>
  <si>
    <t>Assessment of the spatial association network of green innovation: Role of energy resources in green recovery
By:Liang, ZY (Liang, Zhiying) [1] ; Chen, J (Chen, Jian) [2] ; Jiang, DY (Jiang, Dayang) [3] ; Sun, YP (Sun, Yunpeng) [3]; RESOURCES POLICY</t>
  </si>
  <si>
    <t>https://www.sciencedirect.com/science/article/abs/pii/S0301420722005153?via%3Dihub</t>
  </si>
  <si>
    <t>Arsene, B; Gheorghe, C; Sarbu, FA; Barbu, M; Cioca, LI; Calefariu, G</t>
  </si>
  <si>
    <t>MQL-Assisted Hard Turning of AISI D2 Steel with Corn Oil: Analysis of Surface Roughness, Tool Wear, and Manufacturing Costs</t>
  </si>
  <si>
    <t>Machinability characteristics analysis of hard turning operation on AISI 4340 steel using physical vapor deposition multilayer coated carbide cutting tool in the dry environment
By:Bag, R (Bag, Rabinarayan) [1] ; Panda, A (Panda, Amlana) [1] , [2] ; Sahoo, AK (Sahoo, Ashok Kumar) [1] ; Kumar, R (Kumar, Ramanuj) [1]; PROCEEDINGS OF THE INSTITUTION OF MECHANICAL ENGINEERS PART E-JOURNAL OF PROCESS MECHANICAL ENGINEERING</t>
  </si>
  <si>
    <t>https://journals.sagepub.com/doi/10.1177/09544089221140218</t>
  </si>
  <si>
    <t>Turning of hardened AISI H13 steel with recently developed S3P-AlTiSiN coated carbide tool using MWCNT mixed nanofluid under minimum quantity lubrication
By:Mahapatra, S (Mahapatra, Sitesh) [1] ; Das, A (Das, Anshuman) [2] ; Jena, PC (Jena, Pankaj Charan) [1] ; Das, SR (Das, Sudhansu Ranjan) [1]; PROCEEDINGS OF THE INSTITUTION OF MECHANICAL ENGINEERS PART C-JOURNAL OF MECHANICAL ENGINEERING SCIENCE</t>
  </si>
  <si>
    <t>https://journals.sagepub.com/doi/10.1177/09544062221126357</t>
  </si>
  <si>
    <t>Comparison of metal removal rate and surface roughness optimization for AISI 316L using sunflower oil minimum quantity lubrication and dry turning processes
Martowibowo, SY; Ariza, IJ and Damanik, BK; JOURNAL OF MECHANICAL ENGINEERING AND SCIENCES</t>
  </si>
  <si>
    <t>https://journal.ump.edu.my/jmes/article/view/7027</t>
  </si>
  <si>
    <t>Parametric Study and Optimization of End-Milling Operation of AISI 1522H Steel Using Definitive Screening Design and Multi-Criteria Decision-Making Approach
By:Abas, M (Abas, Muhammad) [1] ; Alkahtani, M (Alkahtani, Mohammed) [2] ; Khalid, QS (Khalid, Qazi Salman) [1] ; Hussain, G (Hussain, Ghulam) [3] ; Abidi, MH (Abidi, Mustufa Haider) [2] ; Buhl, J (Buhl, Johannes) [4], Materials</t>
  </si>
  <si>
    <t>https://www.ncbi.nlm.nih.gov/pmc/articles/PMC9229928/</t>
  </si>
  <si>
    <t>Evaluating the effect of minimum quantity lubrication during hard turning of AISI D3 steel using vegetable oil enriched with nano-additives
By:Ibrahim, AMM (Ibrahim, Ahmed Mohamed Mahmoud) [1] , [5] ; Omer, MAE (Omer, Mohamed A. E.) [2] ; Das, SR (Das, Sudhansu Ranjan) [3] ; Li, W (Li, Wei) [1] ; Alsoufi, MS (Alsoufi, Mohammad S.) [4] ; Elsheikh, A (Elsheikh, Ammar) [2]; ALEXANDRIA ENGINEERING JOURNAL</t>
  </si>
  <si>
    <t>https://www.sciencedirect.com/science/article/pii/S1110016822002915?via%3Dihub</t>
  </si>
  <si>
    <t>Investigations on surface induced tribological characteristics in MQCL assisted machining of duplex stainless steel
By:Krolczyk, JB (Krolczyk, J. B.) [1] ; Maruda, RW (Maruda, R. W.) [2] ; Krolczyk, GM (Krolczyk, G. M.) [1] ; Wojciechowski, S (Wojciechowski, S.) [3] ; Gupta, MK (Gupta, Munish Kumar) [1] ; Korkmaz, ME (Korkmaz, Mehmet Erdi) [4]; JOURNAL OF MATERIALS RESEARCH AND TECHNOLOGY-JMR&amp;T</t>
  </si>
  <si>
    <t>https://www.sciencedirect.com/science/article/pii/S2238785422004744?via%3Dihub</t>
  </si>
  <si>
    <t>Machinability Investigation of Nitronic 60 Steel Turning Using SiAlON Ceramic Tools under Different Cooling/Lubrication Conditions
By:Padhan, S (Padhan, Smita) [1] ; Das, SR (Das, Sudhansu Ranjan) [1] ; Das, A (Das, Anshuman) [2] ; Alsoufi, MS (Alsoufi, Mohammad S.) [3] ; Ibrahim, AMM (Ibrahim, Ahmed Mohamed Mahmoud) [4] ; Elsheikh, A (Elsheikh, Ammar) [5]; Materials</t>
  </si>
  <si>
    <t>https://www.ncbi.nlm.nih.gov/pmc/articles/PMC8999871/</t>
  </si>
  <si>
    <t>Lakatos, ES; Nan, LM; Bacali, L; Ciobanu, G; Ciobanu, AM; Cioca, LI</t>
  </si>
  <si>
    <t>Consumer Satisfaction towards Green Products: Empirical Insights from Romania</t>
  </si>
  <si>
    <t>The Origins, Evolution, Current State, and Future of Green Products and Consumer Research: A Bibliometric Analysis
Bravo, A; Vieira, D and Rebello, TA; Sustainability</t>
  </si>
  <si>
    <t>https://www.mdpi.com/2071-1050/14/17/11022</t>
  </si>
  <si>
    <t>Circular Economy Guidelines for the Textile Industry
Furferi, R; Volpe, Y and Mantellassi, F; Sustainability</t>
  </si>
  <si>
    <t>https://www.mdpi.com/2071-1050/14/17/11111</t>
  </si>
  <si>
    <t>Green Marketing: Drivers in the Process of Buying Green Products-The Role of Green Satisfaction, Green Trust, Green WOM and Green Perceived Value
By:Roman-Augusto, JA (Roman-Augusto, Jose Antonio) [1] ; Garrido-Lecca-Vera, C (Garrido-Lecca-Vera, Camila) [1] ; Lodeiros-Zubiria, ML (Lodeiros-Zubiria, Manuel Luis) [1] ; Mauricio-Andia, M (Mauricio-Andia, Martin) [1]; Sustainability</t>
  </si>
  <si>
    <t>https://www.mdpi.com/2071-1050/14/17/10580</t>
  </si>
  <si>
    <t>Green Marketing Practices Related to Key Variables of Consumer Purchasing Behavior
Garcia-Salirrosas, EE and Rondon-Eusebio, RF; Sustainability</t>
  </si>
  <si>
    <t>https://www.mdpi.com/2071-1050/14/14/8499</t>
  </si>
  <si>
    <t>Smart Sustainable Freight Transport for a City Multi-Floor Manufacturing Cluster: A Framework of the Energy Efficiency Monitoring of Electric Vehicle Fleet Charging
By:Davydenko, L (Davydenko, Liudmyla) [1] ; Davydenko, N (Davydenko, Nina) [1] ; Bosak, A (Bosak, Andrii) [2] ; Bosak, A (Bosak, Alla) [2] ; Deja, A (Deja, Agnieszka) [3] ; Dzhuguryan, T (Dzhuguryan, Tygran) [3]; Energies</t>
  </si>
  <si>
    <t>https://www.mdpi.com/1996-1073/15/10/3780</t>
  </si>
  <si>
    <t>An Empirical Analysis of the Common Factors Influencing the Sharing and Green Economies
By:Veith, C (Veith, Cristina) [1] ; Vasilache, SN (Vasilache, Simona Nicoleta) [2] ; Ciocoiu, CN (Ciocoiu, Carmen Nadia) [1] ; Chitimiea, A (Chitimiea, Andreea) [1] ; Minciu, M (Minciu, Mihaela) [1] ; Manta, AM (Manta, Andreea-Mariana) [1] ; Isbaita, I (Isbaita, Iyad) [1]; Sustainability</t>
  </si>
  <si>
    <t>https://www.mdpi.com/2071-1050/14/2/771</t>
  </si>
  <si>
    <t>Vlad, D; Cioca, LI</t>
  </si>
  <si>
    <t>Research Regarding the Influence of Raw Material and Knitted Fabric Geometry on the Tensile Strength and Breaking Elongation</t>
  </si>
  <si>
    <t>Sustainable silk dyeing in a silicon non-aqueous dyeing system with Reactive Red 195: salt-free and less alkali
By:Luo, YN (Luo, Yuni) [1] ; Zhu, L (Zhu, Lei) [3] ; Pei, LJ (Pei, Liujun) [2] ; Cai, ZS (Cai, Zaisheng) [1] ; Wang, JP (Wang, Jiping) [2]; TEXTILE RESEARCH JOURNAL</t>
  </si>
  <si>
    <t>https://journals.sagepub.com/doi/10.1177/00405175221113080</t>
  </si>
  <si>
    <t>Vlad, D; Cioca , LI</t>
  </si>
  <si>
    <t>Environment-Friendly High-Efficiency Continuous Pad Dyeing of Non-Shrinkable Wool Fabric by the Silicon Fixation Method without Auxiliary Chemicals
By:Luo, YN (Luo, Yuni) [1] ; Zhai, SX (Zhai, Shixiong) [1] ; Pei, LJ (Pei, Liujun) [2] ; Wang, JP (Wang, Jiping) [2] ; Cai, ZS (Cai, Zaisheng) [1]; ACS SUSTAINABLE CHEMISTRY &amp; ENGINEERING</t>
  </si>
  <si>
    <t>https://pubs.acs.org/doi/10.1021/acssuschemeng.1c07793</t>
  </si>
  <si>
    <t>Tang, YK (China); Akram, A (China); Cioca, LI; Shah, SGM; Qureshi, MAA (China)</t>
  </si>
  <si>
    <t>Whether an innovation act as a catalytic moderator between corporate social responsibility performance and stated owned and non-state owned enterprises' performance or not? An evidence from Pakistani listed firms</t>
  </si>
  <si>
    <t>CEO birth order and corporate social responsibility behaviors: The moderating effect of female sibling and age gap
By:Zheng, MN (Zheng, Minna) [1] ; Ren, GQ (Ren, Guangqian) [2] ; Wu, SH (Wu, Sihong) [2] ; Jiang, ZZ (Jiang, Zezhen) [3]; FRONTIERS IN PSYCHOLOGY</t>
  </si>
  <si>
    <t>https://www.ncbi.nlm.nih.gov/pmc/articles/PMC9669608/</t>
  </si>
  <si>
    <t>Responsible innovation in Asia: A systematic review and an agenda for future research
By:Christofi, M (Christofi, Michael) [1] ; Khan, H (Khan, Huda) [2] ; Iaia, L (Iaia, Lea) [3]; ASIA PACIFIC JOURNAL OF MANAGEMENT</t>
  </si>
  <si>
    <t>https://link.springer.com/article/10.1007/s10490-022-09839-4</t>
  </si>
  <si>
    <t>Promote Green Innovation in Manufacturing Enterprises in the Aspect of Government Subsidies in China
Sun, XJ; Tang, J and Li, SL; INTERNATIONAL JOURNAL OF ENVIRONMENTAL RESEARCH AND PUBLIC HEALTH</t>
  </si>
  <si>
    <t>https://www.mdpi.com/1660-4601/19/13/7864</t>
  </si>
  <si>
    <t>Do corporate social responsibility practices contribute to green innovation? The mediating role of green dynamic capability
Yuan, BL and Cao, XY; TECHNOLOGY IN SOCIETY</t>
  </si>
  <si>
    <t>https://www.sciencedirect.com/science/article/abs/pii/S0160791X22000094?via%3Dihub</t>
  </si>
  <si>
    <t>Iticescu, C; Georgescu, PL; Arseni, M; Rosu, A; Timofti, M; Carp, G; Cioca, LI</t>
  </si>
  <si>
    <t>Optimal Solutions for the Use of Sewage Sludge on Agricultural Lands</t>
  </si>
  <si>
    <t>Feasibility of agricultural utilization of river sludge as a planting substrate following treatment with polyacrylamide
By:Wang, J (Wang, Jun) [1] , [2] ; Liu, MJ (Liu, Mengjiao) [1] , [2] ; Han, KF (Han, Kefeng) [1] , [2] ; Zhao, HF (Zhao, Hongfu) [3] ; Zhang, HY (Zhang, Huyin) [4] ; Ma, QX (Ma, Qingxu) [1] , [2] , [5] ; Wu, LH (Wu, Lianghuan) [1] , [2]; JOURNAL OF CLEANER PRODUCTION</t>
  </si>
  <si>
    <t>https://www.sciencedirect.com/science/article/abs/pii/S0959652622025562?via%3Dihub</t>
  </si>
  <si>
    <t>Wastewater Sewage Sludge Management via Production of the Energy Crop Virginia Mallow
By:Suric, J (Suric, Jona) [1] ; Brandic, I (Brandic, Ivan) [1] ; Peter, A (Peter, Anamarija) [1] ; Bilandzija, N (Bilandzija, Nikola) [2] ; Leto, J (Leto, Josip) [3] ; Karazija, T (Karazija, Tomislav) [4] ; Kutnjak, H (Kutnjak, Hrvoje) [3] ; Poljak, M (Poljak, Milan) [4] ; Voca, N (Voca, Neven) [1]; AGRONOMY-BASEL</t>
  </si>
  <si>
    <t>https://www.mdpi.com/2073-4395/12/7/1578</t>
  </si>
  <si>
    <t>Analysis of the Composition of Municipal Wastewater Sludge from Small Settlements in East Kazakhstan
By:Litvinov, V (Litvinov, Vadim) [1] ; Daumova, G (Daumova, Gulzhan) [2] ; Shaikhov, M (Shaikhov, Maksat) [3] ; Sergeyeva, N (Sergeyeva, Natalya); JOURNAL OF ECOLOGICAL ENGINEERING</t>
  </si>
  <si>
    <t>http://www.jeeng.net/Analysis-of-the-Composition-of-Municipal-Wastewater-Sludge-from-Small-Settlements,149896,0,2.html</t>
  </si>
  <si>
    <t>An inter-loop approach for hydrothermal carbonization of sewage sludge to produce hydrochars and their use as an adsorbent for iron removal from spent sulfuric acid
By:Martins, VMS (Silveira Martins, Vinicius Mateus) [1] ; Sante, LGG (Giannina Sante, Luis Guilherme) [1] ; Giona, RM (Giona, Renata Mello) [2] ; Possetti, GRC (Collere Possetti, Gustavo Rafael) [3] ; Bail, A (Bail, Alesandro) [1]; CLEAN TECHNOLOGIES AND ENVIRONMENTAL POLICY</t>
  </si>
  <si>
    <t>https://link.springer.com/article/10.1007/s10098-021-02269-8</t>
  </si>
  <si>
    <t>Zafar, MZ (Pakistan); Maqbool, A (Pakistan); Cioca, LI; Shah, SGM (China); Masud, S (China)</t>
  </si>
  <si>
    <t>Accentuating the Interrelation between Consumer Intention and Healthy Packaged Food Selection during COVID-19: A Case Study of Pakistan</t>
  </si>
  <si>
    <t>The Impact of Interpretive Packaged Food Labels on Consumer Purchase Intention: The Comparative Analysis of Efficacy and Inefficiency of Food Labels
By:Zafar, MZ (Zafar, Muhammad Zeeshan) [1] ; Shi, XJ (Shi, Xiangjiao) [2] , [3] ; Yang, HL (Yang, Hailan) [2] ; Abbas, J (Abbas, Jaffar) [4] , [5] ; Chen, JK (Chen, Jiakui) [6]; INTERNATIONAL JOURNAL OF ENVIRONMENTAL RESEARCH AND PUBLIC HEALTH</t>
  </si>
  <si>
    <t>https://www.ncbi.nlm.nih.gov/pmc/articles/PMC9690506/</t>
  </si>
  <si>
    <t>Cioca, M.; Cioca, L.I.; Duta L. (Univ. Targoviste)</t>
  </si>
  <si>
    <t>Web technologies and multi-criterion analysis used in enterprise integration</t>
  </si>
  <si>
    <t>TRANSFORMATION TOWARDS CIRCULAR ECONOMY IN COMPARISON WITH ECO-INNOVATION DEVELOPMENT ON THE EXAMPLE OF EU MEMBER STATES, Szczepańczyk, Marta, Polish Journal of Management Studies, Volume 26, Issue 1, Pages 292 - 30922 December 2022</t>
  </si>
  <si>
    <t>https://www.scopus.com/record/display.uri?eid=2-s2.0-85144962083&amp;origin=resultslist&amp;sort=plf-f&amp;src=s&amp;citedAuthorId=55888486300&amp;imp=t&amp;sid=75bba458212fe6d6788108432e1c28ca&amp;sot=cite&amp;sdt=cite&amp;cluster=scopubyr%2c%222022%22%2ct&amp;sl=0&amp;relpos=0&amp;citeCnt=1&amp;searchTerm=</t>
  </si>
  <si>
    <t xml:space="preserve">MANAGEMENT OF REMOTE STAFF SELECTION PROCESSES BY USING SMART HR RECRUITING TECHNOLOGY DURING COVID-19 PANDEMIC, Vedernikov M.; Bazaliуska N.; Zelena M.; Volianska-Savchuk L.; Boiko J., Polish Journal of Management Studies, Volume 26, Issue 1, Pages 338 - 35522 December 2022
</t>
  </si>
  <si>
    <t>https://www.scopus.com/record/display.uri?eid=2-s2.0-85144939999&amp;origin=resultslist&amp;sort=plf-f&amp;src=s&amp;citedAuthorId=55888486300&amp;imp=t&amp;sid=75bba458212fe6d6788108432e1c28ca&amp;sot=cite&amp;sdt=cite&amp;cluster=scopubyr%2c%222022%22%2ct&amp;sl=0&amp;relpos=1&amp;citeCnt=0&amp;searchTerm=</t>
  </si>
  <si>
    <t>Cioca, M., Ghete, A.-I. (Germania), Cioca, L.-I., Gîfu, D. (UAIC)</t>
  </si>
  <si>
    <t>Machine learning and creative methods used to classify customers in a CRM systems</t>
  </si>
  <si>
    <t xml:space="preserve">Towards Explainable Machine Learning for Bank Churn Prediction Using Data Balancing and Ensemble-Based Methods, Tékouabou, Stéphane C. K.; Gherghina, Ștefan Cristian; Toulni, Hamza; Mata, Pedro Neves; Martins, José Moleiro, Mathematics, Volume 10, Issue 14, July-2 2022 Article number 2379
</t>
  </si>
  <si>
    <t>https://www.scopus.com/record/display.uri?eid=2-s2.0-85134080875&amp;origin=resultslist&amp;sort=plf-f&amp;src=s&amp;citedAuthorId=55888486300&amp;imp=t&amp;sid=75bba458212fe6d6788108432e1c28ca&amp;sot=cite&amp;sdt=cite&amp;cluster=scopubyr%2c%222022%22%2ct&amp;sl=0&amp;relpos=2&amp;citeCnt=3&amp;searchTerm=</t>
  </si>
  <si>
    <t>A Machine Learning Framework towards Bank Telemarketing Prediction, Tékouabou, Stéphane Cédric Koumétio et all, Journal of Risk and Financial Management, Volume 15, Issue 6, June 2022 Article number 269</t>
  </si>
  <si>
    <t>https://www.scopus.com/record/display.uri?eid=2-s2.0-85132549942&amp;origin=resultslist&amp;sort=plf-f&amp;src=s&amp;citedAuthorId=55888486300&amp;imp=t&amp;sid=db3d9443c69df32184b1a83c108c44de&amp;sot=cite&amp;sdt=cite&amp;cluster=scopubyr%2c%222022%22%2ct&amp;sl=0&amp;relpos=3&amp;citeCnt=2&amp;searchTerm=</t>
  </si>
  <si>
    <t>Cioca, M., Cioca, L.-I., Mihaescu, L.</t>
  </si>
  <si>
    <t>Infrastructure and system programming for digital ecosystems used in natural disaster management</t>
  </si>
  <si>
    <t>Assessment of the adequacy of mobile applications for disaster reduction, Navarro de Corcuera, Lucía et all, Environment, Development and Sustainability, Volume 24, Issue 5, Pages 6197 - 6223, May 2022</t>
  </si>
  <si>
    <t>https://www.scopus.com/record/display.uri?eid=2-s2.0-85114316122&amp;origin=resultslist&amp;sort=plf-f&amp;src=s&amp;citedAuthorId=55888486300&amp;imp=t&amp;sid=db3d9443c69df32184b1a83c108c44de&amp;sot=cite&amp;sdt=cite&amp;cluster=scopubyr%2c%222022%22%2ct&amp;sl=0&amp;relpos=4&amp;citeCnt=0&amp;searchTerm=</t>
  </si>
  <si>
    <t>Ciora, R.A., Simion, C.M., Cioca, M.</t>
  </si>
  <si>
    <t>Quality improvement based on big data analysis</t>
  </si>
  <si>
    <t>How transitioning to Industry 4.0 promotes circular product lifetimes, Ertz M. et all, Industrial Marketing ManagementVolume 101, Pages 125 - 140February 2022</t>
  </si>
  <si>
    <t>https://www.scopus.com/record/display.uri?eid=2-s2.0-85121535401&amp;origin=resultslist&amp;sort=plf-f&amp;src=s&amp;citedAuthorId=55888486300&amp;imp=t&amp;sid=db3d9443c69df32184b1a83c108c44de&amp;sot=cite&amp;sdt=cite&amp;cluster=scopubyr%2c%222022%22%2ct&amp;sl=0&amp;relpos=5&amp;citeCnt=22&amp;searchTerm=</t>
  </si>
  <si>
    <t>Artificial Intelligence, Blockchain, Big Data Analytics, Machine Learning and Data Mining in Traditional CRM and Social CRM: A Critical Review, Lampropoulos, Georgios et all, 2022 IEEE/WIC/ACM International Joint Conference on Web Intelligence and Intelligent Agent Technology, WI-IAT 2022Virtual, Online17 November 2022through 20 November 2022</t>
  </si>
  <si>
    <t>https://www.scopus.com/record/display.uri?eid=2-s2.0-85158856525&amp;origin=resultslist&amp;sort=plf-f&amp;src=s&amp;citedAuthorId=55888486300&amp;imp=t&amp;sid=db3d9443c69df32184b1a83c108c44de&amp;sot=cite&amp;sdt=cite&amp;cluster=scopubyr%2c%222022%22%2ct&amp;sl=0&amp;relpos=6&amp;citeCnt=0&amp;searchTerm=</t>
  </si>
  <si>
    <t>Cioca, M., Cioca, L.-I., Buraga, S.-C. (UAIC)</t>
  </si>
  <si>
    <t>SMS disaster alert system programming</t>
  </si>
  <si>
    <t xml:space="preserve">A Comprehensive Web Cloud Application for Dealing with Various Emergency Situations, Salib, Edward, 7th International Conference on Multimedia Communication Technologies, ICMCT 2022, </t>
  </si>
  <si>
    <t>https://www.scopus.com/record/display.uri?eid=2-s2.0-85156144381&amp;origin=resultslist&amp;sort=plf-f&amp;src=s&amp;citedAuthorId=55888486300&amp;imp=t&amp;sid=804476badfb7da90dd30183397cd72d9&amp;sot=cite&amp;sdt=cite&amp;cluster=scopubyr%2c%222022%22%2ct&amp;sl=0&amp;relpos=7&amp;citeCnt=0&amp;searchTerm=</t>
  </si>
  <si>
    <t xml:space="preserve">Karakozov G.S.; Virabyan G.B.; Verlinski S.V.; Ciudin R.; Cioca M.
</t>
  </si>
  <si>
    <t>Construction of decision support system in business design based on integration of information technology</t>
  </si>
  <si>
    <t>Design of Enterprise Management Decision Support System Based on Big Data Mining Technology, Duan, Lianhe, IEEE International Conference on Knowledge Engineering and Communication Systems, ICKES 2022Chickballapur28 December 2022through 29 December 2022</t>
  </si>
  <si>
    <t>https://www.scopus.com/record/display.uri?eid=2-s2.0-85150682068&amp;origin=resultslist&amp;sort=plf-f&amp;src=s&amp;citedAuthorId=55888486300&amp;imp=t&amp;sid=804476badfb7da90dd30183397cd72d9&amp;sot=cite&amp;sdt=cite&amp;cluster=scopubyr%2c%222022%22%2ct&amp;sl=0&amp;relpos=8&amp;citeCnt=0&amp;searchTerm=</t>
  </si>
  <si>
    <t>An IoT based Natural Disaster Monitoring for Railway Accident Warning Alert System, Balamurugan S. et all, 3rd International Conference on Communication, Computing and Industry 4.0, C2I4 2022Bangalore15 December 2022through 16 December 2022</t>
  </si>
  <si>
    <t>https://www.scopus.com/record/display.uri?eid=2-s2.0-85150445858&amp;origin=resultslist&amp;sort=plf-f&amp;src=s&amp;citedAuthorId=55888486300&amp;imp=t&amp;sid=804476badfb7da90dd30183397cd72d9&amp;sot=cite&amp;sdt=cite&amp;cluster=scopubyr%2c%222022%22%2ct&amp;sl=0&amp;relpos=9&amp;citeCnt=0&amp;searchTerm=</t>
  </si>
  <si>
    <t>Machine Learning Models for Customer Relationship Management to Improve Satisfaction Rate in Banking Sector, Goel, Rajat; Kalotra, Anil, 7th International Conference on Parallel, Distributed and Grid Computing, PDGC 2022Solan25 November 2022through 27 November 2022</t>
  </si>
  <si>
    <t>https://www.scopus.com/record/display.uri?eid=2-s2.0-85149731661&amp;origin=resultslist&amp;sort=plf-f&amp;src=s&amp;citedAuthorId=55888486300&amp;imp=t&amp;sid=804476badfb7da90dd30183397cd72d9&amp;sot=cite&amp;sdt=cite&amp;cluster=scopubyr%2c%222022%22%2ct&amp;sl=0&amp;relpos=10&amp;citeCnt=0&amp;searchTerm=</t>
  </si>
  <si>
    <t>Cioca, M., Cioca, L.-I., Cioranu, C. (UEFISCDI), Gifu, D. (UAIC)</t>
  </si>
  <si>
    <t>Extracting features from the on-line news for making templates used in the process of educating the next generation of politicians</t>
  </si>
  <si>
    <t>RoCoFake – A Romanian Covid-19 Fake News Dataset, Ciora, R; et all, 10th E-Health and Bioengineering Conference, EHB 2022Virtual, Online17 November 2022through 18 November 2022</t>
  </si>
  <si>
    <t>https://www.scopus.com/record/display.uri?eid=2-s2.0-85146582634&amp;origin=resultslist&amp;sort=plf-f&amp;src=s&amp;citedAuthorId=55888486300&amp;imp=t&amp;sid=804476badfb7da90dd30183397cd72d9&amp;sot=cite&amp;sdt=cite&amp;cluster=scopubyr%2c%222022%22%2ct&amp;sl=0&amp;relpos=11&amp;citeCnt=0&amp;searchTerm=</t>
  </si>
  <si>
    <t>Gîfu, D. (UAIC), Cioca, M.</t>
  </si>
  <si>
    <t>Online Civic Identity. Extraction of Features</t>
  </si>
  <si>
    <t>Detecting emotions in comments on forums</t>
  </si>
  <si>
    <t>Cioranu, C (UEFISCDI), Cioca, M.</t>
  </si>
  <si>
    <t>Database versioning, a transparent SQL approach</t>
  </si>
  <si>
    <t>Document Versioning for MongoDB, de Espona Pernas, Lucia, Communications in Computer and Information ScienceVolume 1652 CCIS, Pages 512 - 5242022</t>
  </si>
  <si>
    <t>https://www.scopus.com/record/display.uri?eid=2-s2.0-85137984663&amp;origin=resultslist&amp;sort=plf-f&amp;src=s&amp;citedAuthorId=55888486300&amp;imp=t&amp;sid=804476badfb7da90dd30183397cd72d9&amp;sot=cite&amp;sdt=cite&amp;cluster=scopubyr%2c%222022%22%2ct&amp;sl=0&amp;relpos=12&amp;citeCnt=2&amp;searchTerm=</t>
  </si>
  <si>
    <t>Cioranu, C. (UEFISCDI), Cioca, M., Novac, C.</t>
  </si>
  <si>
    <t>Database versioning 2.0, a transparent SQL approach used in quantitative management and decision making</t>
  </si>
  <si>
    <t>Using Class Membership based Approach to Improve Predictive Classification in Customer Relationship Management Systems, Tekouabou, Stephane C. K. et all, International Journal of Computing, Volume 21, Issue 2, Pages 242 - 250, 2022</t>
  </si>
  <si>
    <t>https://www.scopus.com/record/display.uri?eid=2-s2.0-85133541408&amp;origin=resultslist&amp;sort=plf-f&amp;src=s&amp;citedAuthorId=55888486300&amp;imp=t&amp;sid=804476badfb7da90dd30183397cd72d9&amp;sot=cite&amp;sdt=cite&amp;cluster=scopubyr%2c%222022%22%2ct&amp;sl=0&amp;relpos=13&amp;citeCnt=0&amp;searchTerm=</t>
  </si>
  <si>
    <t xml:space="preserve">Cioca M, Cioca LI </t>
  </si>
  <si>
    <t>Decision support systems used in disaster management</t>
  </si>
  <si>
    <t>A decision support model for robust allocation and routing of search and rescue resources after earthquake: a case study, Ahmadi, G., et all, Journal OPERATIONAL RESEARCH, Volume22
Issue 2, Page1039-1081, DOI10.1007/s12351-020-00591-5, PublishedAPR 2022</t>
  </si>
  <si>
    <t>https://www.webofscience.com/wos/woscc/full-record/WOS:000553657700001</t>
  </si>
  <si>
    <t>Dobrin C., Cioca, M.</t>
  </si>
  <si>
    <t>Management of agility process for surviving in the competitive business environment</t>
  </si>
  <si>
    <t>Regional Business Environment, Agricultural Opening-Up and High-Quality Development: Dynamic Empirical Analysis from China's Agriculture, Wang, Dezhen et all., AGRONOMY-BASEL, Volume12, Issue4, Article Number974, DOI10.3390/agronomy12040974, PublishedAPR 2022, Indexed 2022-04-29</t>
  </si>
  <si>
    <t>https://www.webofscience.com/wos/woscc/full-record/WOS:000786135300001</t>
  </si>
  <si>
    <t xml:space="preserve">Cofaru, N.F.; Roman, M.D.; Cofaru, I.I.; Oleksik, V.S.; Fleaca, S.R. </t>
  </si>
  <si>
    <t>Medial Opening Wedge High Tibial Osteotomy in KneeOsteoarthritis—A Biomechanical Approach.Appl. Sci2020,10, 8972.</t>
  </si>
  <si>
    <t xml:space="preserve">Roman, M.D.; Mohor, C.I.; Melinte, P.R.; Chicea, R.; Georgeanu, V.A.; Hasegan, A.; Boicean, A.G.; Fleacă, S.R. Meniscal Tear Management Associated with ACL Reconstruction. Appl. Sci. 2022, 12, 6175. https://doi.org/10.3390/app12126175 </t>
  </si>
  <si>
    <t>https://www.mdpi.com/2076-3417/12/12/6175</t>
  </si>
  <si>
    <t xml:space="preserve">Quan, P.H.; Antoniac, I.; Miculescu, F.; Antoniac, A.; (Păltânea), V.M.; Robu, A.; Bița, A.-I.; Miculescu, M.; Saceleanu, A.; Bodog, A.D.; Saceleanu, V. Fluoride Treatment and In Vitro Corrosion Behavior of Mg-Nd-Y-Zn-Zr Alloys Type. Materials 2022, 15, 566. https://doi.org/10.3390/ma15020566 </t>
  </si>
  <si>
    <t>https://www.mdpi.com/1996-1944/15/2/566</t>
  </si>
  <si>
    <t xml:space="preserve">Frydrýšek, K.; Čepica, D.; Halo, T.; Skoupý, O.; Pleva, L.; Madeja, R.; Pometlová, J.; Losertová, M.; Koutecký, J.; Michal, P.; Havlas, V.; Kraus, Š.; Ďurica, D.; Dědková, K.P.; Pagáč, M.; Krpec, P.; Osemlak, P. Biomechanical Analysis of Staples for Epiphysiodesis. Appl. Sci. 2022, 12, 614. https://doi.org/10.3390/app12020614 </t>
  </si>
  <si>
    <t>https://www.mdpi.com/2076-3417/12/2/614</t>
  </si>
  <si>
    <t>Moisin, Andrei; Faur, Mihai; Popa, Carmen; Gherman, Claudia Diana; Dumitrescu, Victor; Tanasescu, Denisa; Boicean, Adrian; Balasescu, Simona; Comandasu, Meda; Dumitrescu, Dan; Zgura, Anca; and Mohor, Calin (2022) "Laparoscopic versus open surgical treatment of umbilical hernia," Journal of Mind and Medical Sciences: Vol. 9: Iss. 1, Article 15.</t>
  </si>
  <si>
    <t>https://scholar.valpo.edu/jmms/vol9/iss1/15/</t>
  </si>
  <si>
    <t xml:space="preserve">Rackov, M., Kuzmanović, S., Knežević, I., Čavić, M., Penčić, M., Čavić, D., &amp; Cofaru, N. F. (2019). </t>
  </si>
  <si>
    <t>Analysis of possible concept solutions of chain drives. In MATEC Web of Conferences (Vol. 290, p. 01018). EDP Sciences.</t>
  </si>
  <si>
    <t>Terada, H., Makino, K., Sun, X., Usami, J., &amp; Saito, T. (2022, August). Development of Discontinuous Shaped Roller-Chain Drive Type Wave Motion Reducer. In Advances in Italian Mechanism Science: Proceedings of the 4th International Conference of IFToMM Italy (pp. 168-176). Cham: Springer International Publishing.</t>
  </si>
  <si>
    <t>https://link.springer.com/chapter/10.1007/978-3-031-10776-4_20</t>
  </si>
  <si>
    <t>Dragoi, MV; Vrinceanu, DB; Stamate, VM; Cofaru, NF</t>
  </si>
  <si>
    <t>Vertical wind turbine with self-limitation system of speed</t>
  </si>
  <si>
    <t>Bouzaher, M.T., Guerira, B. Impact of Flexible Blades on the Performance of Savonius Wind Turbine. Arab J Sci Eng 47, 15365–15377 (2022). https://doi.org/10.1007/s13369-022-06631-w</t>
  </si>
  <si>
    <t>https://link.springer.com/article/10.1007/s13369-022-06631-w</t>
  </si>
  <si>
    <t xml:space="preserve">Sopon, M.; Oleksik, V.; Roman, M.; Cofaru, N.; Oleksik, M.; Mohor, C.; Boicean, A.; Fleaca, R. </t>
  </si>
  <si>
    <t>Biomechanical Study of the Osteoporotic Spine Fracture: Optical Approach. J. Pers. Med. 2021, 11, 907. https://doi.org/10.3390/jpm11090907</t>
  </si>
  <si>
    <t>Georgeanu V.A., Atasiei T., Predescu V., Gheorghiu N., Feier A.M., Russu O.M.  Transfemoral Approach in Revision Hip Arthroplasty; a Prospective Analysis of 36 Cases: Radiological and Functional Results at a Minimum 2 Years Follow‐up</t>
  </si>
  <si>
    <t>https://www.mdpi.com/2075-4426/11/9/907</t>
  </si>
  <si>
    <r>
      <rPr>
        <sz val="10"/>
        <color theme="1"/>
        <rFont val="Arial Narrow"/>
      </rPr>
      <t xml:space="preserve">Oleksik Valentin (ULBS), Pascu Adrian (ULBS), </t>
    </r>
    <r>
      <rPr>
        <b/>
        <sz val="10"/>
        <color theme="1"/>
        <rFont val="Arial Narrow"/>
      </rPr>
      <t>Deac Cristian (ULBS)</t>
    </r>
    <r>
      <rPr>
        <sz val="10"/>
        <color theme="1"/>
        <rFont val="Arial Narrow"/>
      </rPr>
      <t>, Fleaca Radu (ULBS), Roman Mihai (ULBS), Bologa Octavian (ULBS)</t>
    </r>
  </si>
  <si>
    <t>The Influence of Geometrical Parameters on the Incremental Forming Process for Knee Implants Analyzed by Numerical Simulation</t>
  </si>
  <si>
    <t>Ajay C.V., Elangovan S., Kamaraja A.S., Kumar K.K., Kumar S.P., Optimization and prediction of incremental sheet forming parameters of Titanium grade 5 sheet using a response surface methodology and artificial neural network, 
PROCEEDINGS OF THE INSTITUTION OF MECHANICAL ENGINEERS PART C-JOURNAL OF MECHANICAL ENGINEERING SCIENCE</t>
  </si>
  <si>
    <t>https://journals.sagepub.com/doi/10.1177/09544062221133674</t>
  </si>
  <si>
    <t>WoS, Scopus</t>
  </si>
  <si>
    <t>Deac Cristian</t>
  </si>
  <si>
    <r>
      <rPr>
        <sz val="10"/>
        <color theme="1"/>
        <rFont val="Arial Narrow"/>
      </rPr>
      <t xml:space="preserve">Oleksik Valentin (ULBS), Pascu Adrian (ULBS), </t>
    </r>
    <r>
      <rPr>
        <b/>
        <sz val="10"/>
        <color theme="1"/>
        <rFont val="Arial Narrow"/>
      </rPr>
      <t>Deac Cristian (ULBS)</t>
    </r>
    <r>
      <rPr>
        <sz val="10"/>
        <color theme="1"/>
        <rFont val="Arial Narrow"/>
      </rPr>
      <t>, Fleaca Radu (ULBS), Roman Mihai (ULBS), Bologa Octavian (ULBS)</t>
    </r>
  </si>
  <si>
    <t>Li R.X., Wang T., Research on Single Point Incremental Forming Characteristics of Perforated TA1 Sheet, METALS 12(11)</t>
  </si>
  <si>
    <t>https://www.mdpi.com/2075-4701/12/11/1944</t>
  </si>
  <si>
    <r>
      <rPr>
        <sz val="10"/>
        <color theme="1"/>
        <rFont val="Arial Narrow"/>
      </rPr>
      <t xml:space="preserve">Oleksik Valentin (ULBS), Pascu Adrian (ULBS), </t>
    </r>
    <r>
      <rPr>
        <b/>
        <sz val="10"/>
        <color theme="1"/>
        <rFont val="Arial Narrow"/>
      </rPr>
      <t>Deac Cristian (ULBS)</t>
    </r>
    <r>
      <rPr>
        <sz val="10"/>
        <color theme="1"/>
        <rFont val="Arial Narrow"/>
      </rPr>
      <t>, Fleaca Radu (ULBS), Roman Mihai (ULBS), Bologa Octavian (ULBS)</t>
    </r>
  </si>
  <si>
    <t>Gangaram Mandaloi, Aniket Nagargoje, Ankit Kumar Gupta, Gaurabh Banerjee, Harshal Y. Shahare, Puneet Tandon, A Comprehensive Review on Experimental Conditions, Strategies, Performance, and Applications of Incremental Forming for Deformation Machining, JOURNAL OF MANUFACTURING SCIENCE AND ENGINEERING-TRANSACTIONS OF THE ASME, vol 144 issue 11</t>
  </si>
  <si>
    <t>https://asmedigitalcollection.asme.org/manufacturingscience/article-abstract/144/11/110802/1141317/A-Comprehensive-Review-on-Experimental-Conditions</t>
  </si>
  <si>
    <r>
      <rPr>
        <sz val="10"/>
        <color theme="1"/>
        <rFont val="Arial Narrow"/>
      </rPr>
      <t xml:space="preserve">Oleksik Valentin (ULBS), Pascu Adrian (ULBS), </t>
    </r>
    <r>
      <rPr>
        <b/>
        <sz val="10"/>
        <color theme="1"/>
        <rFont val="Arial Narrow"/>
      </rPr>
      <t>Deac Cristian (ULBS)</t>
    </r>
    <r>
      <rPr>
        <sz val="10"/>
        <color theme="1"/>
        <rFont val="Arial Narrow"/>
      </rPr>
      <t>, Fleaca Radu (ULBS), Roman Mihai (ULBS), Bologa Octavian (ULBS)</t>
    </r>
  </si>
  <si>
    <t>Gatea S., Tawfiq T.A.S., Ou H.A., Numerical and experimental investigation of formability in incremental sheet forming of particle-reinforced metal matrix composite sheet, INTERNATIONAL JOURNAL OF ADVANCED MANUFACTURING TECHNOLOGY, vil. 120, issue 3-4, p. 1889-1900</t>
  </si>
  <si>
    <t>https://1510g07f0-y-https-link-springer-com.z.e-nformation.ro/article/10.1007/s00170-022-08881-2</t>
  </si>
  <si>
    <r>
      <rPr>
        <sz val="10"/>
        <color theme="1"/>
        <rFont val="Arial Narrow"/>
      </rPr>
      <t xml:space="preserve">Oleksik Valentin (ULBS), Pascu Adrian (ULBS), </t>
    </r>
    <r>
      <rPr>
        <b/>
        <sz val="10"/>
        <color theme="1"/>
        <rFont val="Arial Narrow"/>
      </rPr>
      <t>Deac Cristian (ULBS)</t>
    </r>
    <r>
      <rPr>
        <sz val="10"/>
        <color theme="1"/>
        <rFont val="Arial Narrow"/>
      </rPr>
      <t>, Fleaca Radu (ULBS), Roman Mihai (ULBS), Bologa Octavian (ULBS)</t>
    </r>
  </si>
  <si>
    <t xml:space="preserve">Bouzidi S., Ayadi M., Boulila A., Feasibility Study of the SPIF Process Applied to Perforated Sheet Metals,ARABIAN JOURNAL FOR SCIENCE AND ENGINEERING, vol. 47, issue 7, p. 9225-9252 </t>
  </si>
  <si>
    <t>https://1510g07f0-y-https-link-springer-com.z.e-nformation.ro/article/10.1007/s13369-022-06570-6</t>
  </si>
  <si>
    <r>
      <rPr>
        <sz val="10"/>
        <color theme="1"/>
        <rFont val="Arial Narrow"/>
      </rPr>
      <t xml:space="preserve">Oleksik Valentin (ULBS), Pascu Adrian (ULBS), </t>
    </r>
    <r>
      <rPr>
        <b/>
        <sz val="10"/>
        <color theme="1"/>
        <rFont val="Arial Narrow"/>
      </rPr>
      <t>Deac Cristian (ULBS)</t>
    </r>
    <r>
      <rPr>
        <sz val="10"/>
        <color theme="1"/>
        <rFont val="Arial Narrow"/>
      </rPr>
      <t>, Fleaca Radu (ULBS), Roman Mihai (ULBS), Bologa Octavian (ULBS)</t>
    </r>
  </si>
  <si>
    <t>Patel D., Gandhi A., 
A review article on process parameters affecting Incremental Sheet Forming (ISF), 
MATERIALS TODAY-PROCEEDINGS, vol. 63, p.368-275</t>
  </si>
  <si>
    <t>https://1510a07f6-y-https-www-sciencedirect-com.z.e-nformation.ro/science/article/pii/S2214785322015450?via%3Dihub</t>
  </si>
  <si>
    <r>
      <rPr>
        <sz val="10"/>
        <color theme="1"/>
        <rFont val="Arial Narrow"/>
      </rPr>
      <t xml:space="preserve">Oleksik Valentin (ULBS), Pascu Adrian (ULBS), </t>
    </r>
    <r>
      <rPr>
        <b/>
        <sz val="10"/>
        <color theme="1"/>
        <rFont val="Arial Narrow"/>
      </rPr>
      <t>Deac Cristian (ULBS)</t>
    </r>
    <r>
      <rPr>
        <sz val="10"/>
        <color theme="1"/>
        <rFont val="Arial Narrow"/>
      </rPr>
      <t>, Fleaca Radu (ULBS), Roman Mihai (ULBS), Bologa Octavian (ULBS)</t>
    </r>
  </si>
  <si>
    <t>Vinoth V., Sathiyamurthy S., Ajay C.V., Vardhan H., Siva R., Prabhakaran J., Kumar C.S., Experimental studies on single point incremental sheet forming of stainless steel 409L alloy, MATERIALS TODAY-PROCEEDINGS, vol. 62, p.599-622</t>
  </si>
  <si>
    <t>https://1510a07f6-y-https-www-sciencedirect-com.z.e-nformation.ro/science/article/pii/S2214785322019587?via%3Dihub</t>
  </si>
  <si>
    <r>
      <rPr>
        <sz val="10"/>
        <color theme="1"/>
        <rFont val="Arial Narrow"/>
      </rPr>
      <t xml:space="preserve">Oleksik Valentin (ULBS), Pascu Adrian (ULBS), </t>
    </r>
    <r>
      <rPr>
        <b/>
        <sz val="10"/>
        <color theme="1"/>
        <rFont val="Arial Narrow"/>
      </rPr>
      <t>Deac Cristian (ULBS)</t>
    </r>
    <r>
      <rPr>
        <sz val="10"/>
        <color theme="1"/>
        <rFont val="Arial Narrow"/>
      </rPr>
      <t>, Fleaca Radu (ULBS), Bologa Octavian (ULBS), Racz Gabriel (ULBS)</t>
    </r>
  </si>
  <si>
    <t>Experimental study on the surface quality of the medical implants obtained by single point incremental forming</t>
  </si>
  <si>
    <t>Oraon M., Sharma V., Deriving the functional relation of input parameters in single-point incremental forming through dimensional analysis, 
FRONTIERS IN MECHANICAL ENGINEERING-SWITZERLAND, vol. 8, art nr. 1003456</t>
  </si>
  <si>
    <t>https://www.frontiersin.org/articles/10.3389/fmech.2022.1003456/full</t>
  </si>
  <si>
    <r>
      <rPr>
        <sz val="10"/>
        <color theme="1"/>
        <rFont val="Arial Narrow"/>
      </rPr>
      <t xml:space="preserve">Oleksik Valentin (ULBS), Pascu Adrian (ULBS), </t>
    </r>
    <r>
      <rPr>
        <b/>
        <sz val="10"/>
        <color theme="1"/>
        <rFont val="Arial Narrow"/>
      </rPr>
      <t>Deac Cristian (ULBS)</t>
    </r>
    <r>
      <rPr>
        <sz val="10"/>
        <color theme="1"/>
        <rFont val="Arial Narrow"/>
      </rPr>
      <t>, Fleaca Radu (ULBS), Bologa Octavian (ULBS), Racz Gabriel (ULBS)</t>
    </r>
  </si>
  <si>
    <t xml:space="preserve">Liao J., Zhou S.C.,Xue X., Twist springback and microstructure analysis of PEEK sheets in ultrasonic-assisted thermal incremental forming, INTERNATIONAL JOURNAL OF ADVANCED MANUFACTURING TECHNOLOGY, vol. 121, issue 7-8, p. 5269-5282 </t>
  </si>
  <si>
    <t>https://1510g0de8-y-https-link-springer-com.z.e-nformation.ro/article/10.1007/s00170-022-09674-3</t>
  </si>
  <si>
    <r>
      <rPr>
        <sz val="10"/>
        <color theme="1"/>
        <rFont val="Arial Narrow"/>
      </rPr>
      <t xml:space="preserve">Oleksik Valentin (ULBS), Pascu Adrian (ULBS), </t>
    </r>
    <r>
      <rPr>
        <b/>
        <sz val="10"/>
        <color theme="1"/>
        <rFont val="Arial Narrow"/>
      </rPr>
      <t>Deac Cristian (ULBS)</t>
    </r>
    <r>
      <rPr>
        <sz val="10"/>
        <color theme="1"/>
        <rFont val="Arial Narrow"/>
      </rPr>
      <t>, Fleaca Radu (ULBS), Bologa Octavian (ULBS), Racz Gabriel (ULBS)</t>
    </r>
  </si>
  <si>
    <t xml:space="preserve">Trzepiecinski T., Szpunar M., Dzierwa A., Zaba K., Investigation of Surface Roughness in Incremental Sheet Forming of Conical Drawpieces from Pure Titanium Sheets, MATERIALS, vol. 15, issue 12, art. no. 4278, 2022 </t>
  </si>
  <si>
    <t>https://www.mdpi.com/1996-1944/15/12/4278</t>
  </si>
  <si>
    <r>
      <rPr>
        <sz val="10"/>
        <color theme="1"/>
        <rFont val="Arial Narrow"/>
      </rPr>
      <t xml:space="preserve">Oleksik Valentin (ULBS), Pascu Adrian (ULBS), </t>
    </r>
    <r>
      <rPr>
        <b/>
        <sz val="10"/>
        <color theme="1"/>
        <rFont val="Arial Narrow"/>
      </rPr>
      <t>Deac Cristian (ULBS)</t>
    </r>
    <r>
      <rPr>
        <sz val="10"/>
        <color theme="1"/>
        <rFont val="Arial Narrow"/>
      </rPr>
      <t>, Fleaca Radu (ULBS), Bologa Octavian (ULBS), Racz Gabriel (ULBS)</t>
    </r>
  </si>
  <si>
    <t>Sy L.V., Viet M.V.,Influence of lubricants and lubricating methods on surface roughness in the two-point incremental sheet forming process, INTERNATIONAL JOURNAL OF ADVANCED MANUFACTURING TECHNOLOGY, vol. 121, issue 1-2, p. 1365-1372, 2022</t>
  </si>
  <si>
    <t>https://1510g0de8-y-https-link-springer-com.z.e-nformation.ro/article/10.1007/s00170-022-09435-2</t>
  </si>
  <si>
    <r>
      <rPr>
        <sz val="10"/>
        <color theme="1"/>
        <rFont val="Arial Narrow"/>
      </rPr>
      <t xml:space="preserve">Oleksik Valentin (ULBS), Pascu Adrian (ULBS), </t>
    </r>
    <r>
      <rPr>
        <b/>
        <sz val="10"/>
        <color theme="1"/>
        <rFont val="Arial Narrow"/>
      </rPr>
      <t>Deac Cristian (ULBS)</t>
    </r>
    <r>
      <rPr>
        <sz val="10"/>
        <color theme="1"/>
        <rFont val="Arial Narrow"/>
      </rPr>
      <t>, Fleaca Radu (ULBS), Bologa Octavian (ULBS), Racz Gabriel (ULBS)</t>
    </r>
  </si>
  <si>
    <t>Sen N., Sirin S., Kivak T., Civek T., Secgin O., A new lubrication approach in the SPIF process: Evaluation of the applicability and tribological performance of MQL, TRIBOLOGY INTERNATIONAL, vol. 171, art. no. 107546</t>
  </si>
  <si>
    <t>https://1510a0det-y-https-www-sciencedirect-com.z.e-nformation.ro/science/article/abs/pii/S0301679X22001190?via%3Dihub</t>
  </si>
  <si>
    <r>
      <rPr>
        <sz val="10"/>
        <color theme="1"/>
        <rFont val="Arial Narrow"/>
      </rPr>
      <t xml:space="preserve">Oleksik Valentin (ULBS), Pascu Adrian (ULBS), </t>
    </r>
    <r>
      <rPr>
        <b/>
        <sz val="10"/>
        <color theme="1"/>
        <rFont val="Arial Narrow"/>
      </rPr>
      <t>Deac Cristian (ULBS)</t>
    </r>
    <r>
      <rPr>
        <sz val="10"/>
        <color theme="1"/>
        <rFont val="Arial Narrow"/>
      </rPr>
      <t>, Fleaca Radu (ULBS), Bologa Octavian (ULBS), Racz Gabriel (ULBS)</t>
    </r>
  </si>
  <si>
    <t xml:space="preserve">Murugesan M., Yu J.H., Jung K.S., Cho S.M., Bhandari K.S., Lee C.W., Optimization of Forming Parameters in Incremental Sheet Forming of AA3003-H18 Sheets Using Taguchi Method, MATERIALS, vol. 15, issue 4, art. no. 1458, 2022  </t>
  </si>
  <si>
    <t>https://www.mdpi.com/1996-1944/15/4/1458</t>
  </si>
  <si>
    <r>
      <rPr>
        <sz val="10"/>
        <color theme="1"/>
        <rFont val="Arial Narrow"/>
      </rPr>
      <t xml:space="preserve">Tarnu Lucian (ULBS), </t>
    </r>
    <r>
      <rPr>
        <b/>
        <sz val="10"/>
        <color theme="1"/>
        <rFont val="Arial Narrow"/>
      </rPr>
      <t>Deac Cristian (ULBS)</t>
    </r>
    <r>
      <rPr>
        <sz val="10"/>
        <color theme="1"/>
        <rFont val="Arial Narrow"/>
      </rPr>
      <t>.</t>
    </r>
  </si>
  <si>
    <t>Considerations on the Right of Way as Cause of Road Accidents in Romania</t>
  </si>
  <si>
    <t xml:space="preserve">Modoi O.C., Mihai F.C., E-Waste and End-of-Life Vehicles Management and Circular Economy Initiatives in Romania, Energies, vol. 15, issue 3, February 2022 </t>
  </si>
  <si>
    <t>https://www.mdpi.com/1996-1073/15/3/1120</t>
  </si>
  <si>
    <t>Grecu V (ULBS) si Denes C (ULBS)</t>
  </si>
  <si>
    <t>Benefits of entrepreneurship education and training for engineering students</t>
  </si>
  <si>
    <r>
      <rPr>
        <sz val="11"/>
        <color theme="1"/>
        <rFont val="Calibri"/>
      </rPr>
      <t xml:space="preserve">Kalogiannidis, S., Loizou, E., Melfou, K., &amp; Papaevangelou, O. (2022). Assessing Relationship Between Entrepreneurship Education and Business Growth. In P. Sklias, P. Polychronidou, A. Karasavvoglou, V. Pistikou, &amp; N. Apostolopoulos (Eds.), </t>
    </r>
    <r>
      <rPr>
        <i/>
        <sz val="11"/>
        <color theme="1"/>
        <rFont val="Calibri"/>
      </rPr>
      <t>BUSINESS DEVELOPMENT AND ECONOMIC GOVERNANCE IN SOUTHEASTERN EUROPE</t>
    </r>
    <r>
      <rPr>
        <sz val="11"/>
        <color theme="1"/>
        <rFont val="Calibri"/>
      </rPr>
      <t xml:space="preserve"> (pp. 183–194). SPRINGER INTERNATIONAL PUBLISHING AG. https://doi.org/10.1007/978-3-031-05351-1_10</t>
    </r>
  </si>
  <si>
    <t>https://1510q6ck8-y-https-www-webofscience-com.z.e-nformation.ro/wos/woscc/full-record/WOS:000865799400010</t>
  </si>
  <si>
    <t>Wos</t>
  </si>
  <si>
    <t>Denes Calin</t>
  </si>
  <si>
    <r>
      <rPr>
        <sz val="11"/>
        <color theme="1"/>
        <rFont val="Calibri"/>
      </rPr>
      <t xml:space="preserve">Lubbe, I., &amp; Svensson, G. (2022). Work Integrated Learning (WIL) model—A win-win process between university, postgraduate business students and industry. In </t>
    </r>
    <r>
      <rPr>
        <i/>
        <sz val="11"/>
        <color theme="1"/>
        <rFont val="Calibri"/>
      </rPr>
      <t>INDEPENDENT JOURNAL OF TEACHING AND LEARNING</t>
    </r>
    <r>
      <rPr>
        <sz val="11"/>
        <color theme="1"/>
        <rFont val="Calibri"/>
      </rPr>
      <t xml:space="preserve"> (Vol. 17, Issue 1, pp. 39–59). INDEPENDENT INST EDUCATION-IIE.</t>
    </r>
  </si>
  <si>
    <t>https://1510q6ck8-y-https-www-webofscience-com.z.e-nformation.ro/wos/woscc/full-record/WOS:000833526800004</t>
  </si>
  <si>
    <r>
      <rPr>
        <sz val="11"/>
        <color theme="1"/>
        <rFont val="Calibri"/>
      </rPr>
      <t>Nate, S., Grecu, V., Stavytskyy, A., &amp; Kharlamova, G. (2022). Fostering Entrepreneurial Ecosystems through the Stimulation and Mentorship of New Entrepreneurs. </t>
    </r>
    <r>
      <rPr>
        <i/>
        <sz val="8"/>
        <color rgb="FF222222"/>
        <rFont val="Arial"/>
      </rPr>
      <t>Sustainability</t>
    </r>
    <r>
      <rPr>
        <sz val="8"/>
        <color rgb="FF222222"/>
        <rFont val="Arial"/>
      </rPr>
      <t>, </t>
    </r>
    <r>
      <rPr>
        <i/>
        <sz val="8"/>
        <color rgb="FF222222"/>
        <rFont val="Arial"/>
      </rPr>
      <t>14</t>
    </r>
    <r>
      <rPr>
        <sz val="8"/>
        <color rgb="FF222222"/>
        <rFont val="Arial"/>
      </rPr>
      <t>(13), 7985.</t>
    </r>
  </si>
  <si>
    <t>https://1510q6hux-y-https-www-webofscience-com.z.e-nformation.ro/wos/woscc/full-record/WOS:000824110300001</t>
  </si>
  <si>
    <t>Dobrotă Dan (ULBS), Dobrotă Gabriela (Univ C. Brâncuși Tărgu Jiu)</t>
  </si>
  <si>
    <t>An innovative method in the regeneration of waste rubber and the sustainable development</t>
  </si>
  <si>
    <t>Dimitrios Meimaroglou, Daniela Florez, Guo-HuaHu, A kinetic modeling framework for the peroxide-initiated radical polymerization of styrene in the presence of rubber particles from recycled tires, Chemical Engineering Science
Volume 248, Part B, 2 February 2022, 117137</t>
  </si>
  <si>
    <t>https://www.sciencedirect.com/science/article/pii/S0009250921007028</t>
  </si>
  <si>
    <t>wos</t>
  </si>
  <si>
    <t>Dobrotă Dan (ULBS), Dobrotă Gabriela (Univ C. Brâncuși Tărgu Jiu) Dobrescu, T. (UPB)</t>
  </si>
  <si>
    <t xml:space="preserve"> Improvement of waste tyre recycling technology based on a new tyre markings</t>
  </si>
  <si>
    <t>Chengyue Yang, Chuanzh iJiang, YongFu Feng Chen, Jianshe Hu, Fast and effective uptake of mercury(II) from aqueous solution using waste carbon black-supported CuS composites and reutilization of spent adsorbent for photodegradation of rhodamine B, Journal of Molecular Liquids, Volume 345, 1 January 2022, 118251</t>
  </si>
  <si>
    <t>https://www.sciencedirect.com/science/article/pii/S0167732221029767</t>
  </si>
  <si>
    <t>Ceren Ince, Bassel Mahmoud Hassan Shehata, Shahram Derogar, Richard James Ball, Towards the development of sustainable concrete incorporating waste tyre rubbers: A long-term study of physical, mechanical &amp; durability properties and environmental impact Journal of Cleaner Production, Volume 3341 February 2022 Article number 130223</t>
  </si>
  <si>
    <t>https://www.sciencedirect.com/science/article/pii/S0959652621043882?via%3Dihub</t>
  </si>
  <si>
    <t xml:space="preserve">
Tien-Dung Nguyen &amp;Thanh Quang Ngo, The role of technological advancement, supply chain, environmental, social, and governance responsibilities on the sustainable development goals of SMEs in Vietnam, Economic Research-Ekonomska Istraživanja 
</t>
  </si>
  <si>
    <t>https://www.tandfonline.com/doi/full/10.1080/1331677X.2021.2015611</t>
  </si>
  <si>
    <t>Dobrotă Dan (ULBS), Dobrotă Gabriela (Univ C. Brâncuși Tărgu Jiu) Dobrescu, T. (UPB), Mohora C. (UPB)</t>
  </si>
  <si>
    <t>The redesigning of tires and the recycling process to maintain an efficient circular economy</t>
  </si>
  <si>
    <t>Bruna Rijo, Ana Paula Soares Dias, Łukasz Wojnicki, Catalyzed pyrolysis of scrap tires rubber, Journal of Environmental Chemical Engineering, Volume 10, Issue 1, February 2022, 107037</t>
  </si>
  <si>
    <t>https://www.sciencedirect.com/science/article/pii/S2213343721020145?via%3Dihub</t>
  </si>
  <si>
    <t>Zefeng Wang, Chao Pan, Yi Hu, Dongping Zeng, Man Huang,  Yutao Jiang, High-quality ground tire rubber production from scrap tires by using supercritical carbon dioxide jet pulverization assisted with diphenyl disulfide, Powder Technology</t>
  </si>
  <si>
    <t>https://www.sciencedirect.com/science/article/pii/S0032591021010792?via%3Dihub</t>
  </si>
  <si>
    <t xml:space="preserve">Onkar Singh, Chapter 19 - Forecasting trends in the generation and management of hazardous waste, Hazardous Waste Management
An Overview of Advanced and Cost-Effective Solutions
2022, Pages 465-489, </t>
  </si>
  <si>
    <t>https://www.sciencedirect.com/science/article/pii/B978012824344200015X?via%3Dihub</t>
  </si>
  <si>
    <t>Sumit H. Dhawane, Eslam G. Al-Sakkari, Deepak Yadav, Chapter 15 - Cost-effective viable solutions for existing technologies, Hazardous Waste Management, An Overview of Advanced and Cost-Effective Solutions, 2022, Pages 381-395</t>
  </si>
  <si>
    <t>https://www.sciencedirect.com/science/article/pii/B9780128243442000331?via%3Dihub</t>
  </si>
  <si>
    <t>Hazardous Waste Management, An Overview of Advanced and Cost-Effective Solutions, Chapter 17 - Electronic waste: Environmental risks and opportunities
2022, Pages 421-458</t>
  </si>
  <si>
    <t>https://www.sciencedirect.com/science/article/pii/B9780128243442000021?via%3Dihub</t>
  </si>
  <si>
    <t>Elsevier</t>
  </si>
  <si>
    <t>Modrogan, C. (UPB); Pandele, A.M.  (UPB); Bobirică, C.  (UPB); Dobrotǎ, D. (ULBS); Dăncilă, A.M.  (UPB); Gârleanu, G.  (UPB); Orbuleţ, O.D.  (UPB); Borda, C.  (UPB); Gârleanu, D.  (UPB); Orbeci, C  (UPB)</t>
  </si>
  <si>
    <t>Synthesis, Characterization and Sorption Capacity Examination for a Novel Hydrogel Composite Based on Gellan Gum and Graphene Oxide (GG/GO)</t>
  </si>
  <si>
    <t>Mostovoy, A.; Shcherbakov, A.; Yakovlev, A.; Arzamastsev, S.; Lopukhova, M. Reinforced Epoxy Composites Modified with Functionalized Graphene Oxide. Polymers 2022, 14, 338. https://doi.org/10.3390/polym14020338</t>
  </si>
  <si>
    <t>https://www.mdpi.com/2073-4360/14/2/338</t>
  </si>
  <si>
    <t>Xu, X.; Chu, Y.; Luo, Y.; Wu, Q.; Chen, X.; Shu, S. Value-Added Use of Waste PET in Rubberized Asphalt Materials for Sustainable Pavement. Appl. Sci. 2022, 12, 871. https://doi.org/10.3390/app12020871</t>
  </si>
  <si>
    <t>https://www.mdpi.com/2076-3417/12/2/871</t>
  </si>
  <si>
    <t xml:space="preserve">- 'IC04'!A111:C111+'IC04'!A116:D116 Periodicals Directory
*- DataBase systems and Logic Programming (DBLP)  
*- ReserachGate
*- Scimago
*- Google &amp; Google Scholar Journals
*- The Index of Information Systems Journals
*- Information Technology Resources Collection
*- ZDNet Australia 
*- NLM Catalog (Medi-Informaitcs)
*- Computing Research and Education Association of Australasia
</t>
  </si>
  <si>
    <t>Siddiqui, M.I.H.S. (US); Alshehri, H. (US); Jamel, O. (US); Masood, A.A. (US); Dan, Dobrota (ULBS)</t>
  </si>
  <si>
    <t xml:space="preserve"> Computational Fluid Dynamics (CFD) Simulation of Inclusion Motion under Interfacial Tension in a Flash Welding Process</t>
  </si>
  <si>
    <t>Ju, J.; Zhu, Z.; Gu, Y.; Yang, K.; Zhang, Q. Evolution of Inclusions in Incoloy825 during Electroslag Remelting. Metals 2022, 12, 208. https://doi.org/10.3390/met12020208</t>
  </si>
  <si>
    <t>https://www.mdpi.com/2075-4701/12/2/208/htm</t>
  </si>
  <si>
    <t>Bendic, V. (UPB); Dobrotă, D. (ULBS)</t>
  </si>
  <si>
    <t xml:space="preserve"> Theoretical and experimental contributions on the use of smart composite materials in the construction of civil buildings with low energy consumption.</t>
  </si>
  <si>
    <t>Wang, L.; Liu, Z.; Guo, Q.; Wang, H.; Wang, X.; Dong, X.; Tian, X.; Guo, X. Preparation and Thermal Characterization of Hollow Graphite Fibers/Paraffin Composite Phase Change Material. Coatings 2022, 12, 160. https://doi.org/10.3390/coatings12020160</t>
  </si>
  <si>
    <t>https://www.mdpi.com/2079-6412/12/2/160</t>
  </si>
  <si>
    <t xml:space="preserve"> Bendic, V. (UPB); Dobrotă, D. (ULBS); Simion, I. (UPB); Bălan, E. (UPB); Pascu, N.‐E.(UPB); Tilina, D.I(UPB)</t>
  </si>
  <si>
    <t>Methods for determining the thermal transfer in
phase‐changing materials (PCMs)</t>
  </si>
  <si>
    <t>Bendic, V. (UPB); Dobrotă, D. (ULBS); Dobrescu, T. (UPB); Enciu, G. (UPB); Pascu, N. (UPB)</t>
  </si>
  <si>
    <t>Rheological issues of phase change materials obtained by the complex coacervation of butyl stearate in poly methyl methacrylate membranes</t>
  </si>
  <si>
    <t xml:space="preserve">Dobrota, D. (ULBS); Lazar, S.V.(S.C. CONTINENTAL), </t>
  </si>
  <si>
    <t>Ultrasonic welding of PBT-GF30 (70% polybutylene terephthalate + 30% fiber glass) and expanded polytetrafluoroethylene (e-PTFE).</t>
  </si>
  <si>
    <t>Lin, S.-J.; Wu, G. Thermal Degradation Kinetics Analysis of Polymer Composite Electrolyte Membranes of PEVOH and PBT Nano Fiber. Polymers 2022, 14, 537. https://doi.org/10.3390/polym14030537</t>
  </si>
  <si>
    <t>https://www.mdpi.com/2073-4360/14/3/537</t>
  </si>
  <si>
    <t xml:space="preserve"> Redesign of the Geometry of Parts Produced from PBT Composite to Improve Their Operational Behavior</t>
  </si>
  <si>
    <t>C.Loyer, P.Ferreira, J-B.Marijon, V.Michel, G.Régnier, J.Vera, V.Duval, E.Richaud, Embrittlement of polybutylene terephthalate induced by injection molding, Polymer Degradation and Stability
Available online 29 January 2022, 109843</t>
  </si>
  <si>
    <t>https://www.sciencedirect.com/science/article/pii/S0141391022000295?via%3Dihub</t>
  </si>
  <si>
    <t>Dobrota D (ULBS), Petrescu V (ULBS)</t>
  </si>
  <si>
    <t xml:space="preserve">Use of ultrasound in reconditioning by welding of tools used in the process of regenerating rubber. </t>
  </si>
  <si>
    <t>Li, H., Chen, C., Yi, R. et al. Ultrasonic welding of fiber-reinforced thermoplastic composites: a review. Int J Adv Manuf Technol (2022). https://doi.org/10.1007/s00170-022-08753-9</t>
  </si>
  <si>
    <t>https://link.springer.com/article/10.1007%2Fs00170-022-08753-9</t>
  </si>
  <si>
    <t>Dumitrascu, O. (ULBS); Dumitrascu, M. (ULBS); Dobrotǎ, D. (ULBS)</t>
  </si>
  <si>
    <t>Performance evaluation for a sustainable supply chain management system in the automotive industry using artificial intelligence</t>
  </si>
  <si>
    <t>Yu, Z.; Zhao, W.; Guo, X.; Hu, H.; Fu, C.; Liu, Y. Multi-indicators Decision for Product Design Solutions: A TOPSIS-MOGA Integrated Model. Processes 2022, 10, 303. https://doi.org/10.3390/pr10020303</t>
  </si>
  <si>
    <t>https://www.mdpi.com/2227-9717/10/2/303</t>
  </si>
  <si>
    <t>Halil İbrahim Sönmez, Fatih Okumuş,  Aykut Safa, Zafer Aydin, Cenk Kaya, Görkem Kökkülünk, Renewable energy resources: Combustion and environmental impact of diesel with pyrolytic and biodiesel blends, Energy &amp; Environment</t>
  </si>
  <si>
    <t>https://journals.sagepub.com/doi/10.1177/0958305X221078262</t>
  </si>
  <si>
    <t>Zefeng Wang, Chao Pana Yi Hu, Dongping Zeng, Man Huang de Yutao Jiang, High-quality ground tire rubber production from scrap tires by using supercritical carbon dioxide jet pulverization assisted with diphenyl disulfide, Powder Technology, Volume 398, January 2022, 117061</t>
  </si>
  <si>
    <t>https://www.sciencedirect.com/science/article/abs/pii/S0032591021010792</t>
  </si>
  <si>
    <t>Islam, M.R., Ruponti, S.A., Rakib, M.A. et al. Current scenario and challenges of plastic pollution in Bangladesh: a focus on farmlands and terrestrial ecosystems. Front. Environ. Sci. Eng. 17, 66 (2023). https://doi.org/10.1007/s11783-023-1666-4</t>
  </si>
  <si>
    <t>https://link.springer.com/article/10.1007/s11783-023-1666-4</t>
  </si>
  <si>
    <t xml:space="preserve">Dobrotă Dan (ULBS), Dobrotă Gabriela (Univ C. Brâncuși Tărgu Jiu) </t>
  </si>
  <si>
    <t>Xiao-Xue Zheng, Ching-Ter Chang, Deng-Feng Li, Zhi Liu, Benjamin Lev, Designing an incentive scheme for producer responsibility organization of waste tires: A MCGP cooperative game approach, Computers &amp; Industrial Engineering, Available online 11 February 2022, 108009</t>
  </si>
  <si>
    <t>https://www.sciencedirect.com/science/article/pii/S0360835222000791?casa_token=Lvo6_N1JSXUAAAAA:JLYThzyZyJdKmQBk4FBmkSWPfIs1NuL9QTPwbF4uBe206iq7yOD8bETwo8UYfBTpYsQ1ewSmhQ</t>
  </si>
  <si>
    <t>Zulkipli, N.A., Khalik, W.M.A.W.M., Ariffin, M.M. et al. Multiwalled Carbon Nanotubes-Encapsulated Gellan Gum Membrane for Micro-Solid Phase Extraction of Selected Polycyclic Aromatic Hydrocarbons in Environmental Water and Beverages. Chromatographia 85, 23–33 (2022). https://doi.org/10.1007/s10337-021-04102-2</t>
  </si>
  <si>
    <t>https://link.springer.com/article/10.1007/s10337-021-04102-2</t>
  </si>
  <si>
    <t>Kasra Ghasemi, SyedaTasnim, Shohel Mahmud, PCM, nano/microencapsulation and slurries: A review of fundamentals, categories, fabrication, numerical models and applications, Sustainable Energy Technologies and Assessments, Volume 52, Part B, August 2022, 102084</t>
  </si>
  <si>
    <t>https://www.sciencedirect.com/science/article/pii/S2213138822001369?via%3Dihub</t>
  </si>
  <si>
    <t>Xia Qin, Sakdirat Kaewunruen, Environment-friendly recycled steel fibre reinforced concrete, Construction and Building Materials
Volume 327, 11 April 2022, 126967</t>
  </si>
  <si>
    <t>https://www.sciencedirect.com/science/article/pii/S0950061822006523?via%3Dihub</t>
  </si>
  <si>
    <t>Gonçalves, B.d.S.M.; Carvalho, F.L.d.; Fiorini, P.d.C. Circular Economy and Financial Aspects: A Systematic Review of the Literature. Sustainability 2022, 14, 3023. https://doi.org/10.3390/su14053023</t>
  </si>
  <si>
    <t>https://www.mdpi.com/2071-1050/14/5/3023/htm</t>
  </si>
  <si>
    <t>Formela, K.; Kurańska, M.; Barczewski, M. Recent Advances in Development of Waste-Based Polymer Materials: A Review. Polymers 2022, 14, 1050. https://doi.org/10.3390/polym14051050</t>
  </si>
  <si>
    <t>https://www.mdpi.com/2073-4360/14/5/1050/htm</t>
  </si>
  <si>
    <t>Alyaa A. Al-Attar, Hussein M. Hamada, Bassam A. Tayeh, Paul O. Awoyera, Exploring engineering properties of waste tire rubber for construction applications - a review of recent advances,
Materials Today: Proceedings, Volume 53, Part 2, 2022,</t>
  </si>
  <si>
    <t>https://www.sciencedirect.com/science/article/pii/S2214785322015620</t>
  </si>
  <si>
    <t>Dăncilă, A.M. (UPB); Căprărescu, S.(UPB); Bobiricǎ, C.(UPB); Purcar, V.(UPB); Gârleanu, G.(UPB); Vasile, E.(UPB); Modrogan, C.(UPB); Borda, C.(UPB); Dobrotǎ, D (ULBS)</t>
  </si>
  <si>
    <t>Optimization of the Technological Parameters for Obtaining Zn-Ti Based Composites to Increase the Performance of H2S Removal from Syngas</t>
  </si>
  <si>
    <t>Falguni Pattnaik, Biswa R. Patra, Jude A. Okolie, Sonil Nanda, Ajay K. Dalai, Satyanarayan Naik, A review of thermocatalytic conversion of biogenic wastes into crude biofuels and biochemical precursors, Fuel, Volume 320, 2022,</t>
  </si>
  <si>
    <t>https://www.sciencedirect.com/science/article/pii/S0016236122007165?via%3Dihub</t>
  </si>
  <si>
    <t>Dobrota D (ULBS), Paraschiv G. (UPB)</t>
  </si>
  <si>
    <t xml:space="preserve"> Regarding the influence of the particle size of crumb rubber from waste rubber on the physical and mechanical characteristics of reclaimed rubber</t>
  </si>
  <si>
    <t>J.R. Innes, B. Shriky, S. Allan, X. Wang, M. Hebda, P. Coates, B. Whiteside, H. Benkreira, P. Caton-Rose, C.H. Lu, Q. Wang, A. Kelly, Effect of solid-state shear milled natural rubber particle size on the processing and dynamic vulcanization of recycled waste into thermoplastic vulcanizates, Sustainable Materials and Technologies, Volume 32, 2022, https://doi.org/10.1016/j.susmat.2022.e00424</t>
  </si>
  <si>
    <t>https://www.sciencedirect.com/science/article/pii/S2214993722000380</t>
  </si>
  <si>
    <t>Voda, A. D. (ULBS), Dobrotă, G. (U. C Brancuși Târgu Jiu), Țîrcă, D. M.  (U. C Brancuși Târgu Jiu), Dumitrașcu, D. D. (ULBS), &amp; Dobrotă, D. (ULBS)</t>
  </si>
  <si>
    <t>Corporate bankruptcy and insolvency prediction model</t>
  </si>
  <si>
    <t>Michal Kubenka &amp; Renata Myskova (2022) Implementation of standards into predictors of financial stability, Economic Research-Ekonomska Istraživanja, DOI: 10.1080/1331677X.2022.2053785</t>
  </si>
  <si>
    <t>https://www.tandfonline.com/doi/full/10.1080/1331677X.2022.2053785</t>
  </si>
  <si>
    <t>Jaroslav Pokorný, Jiří Šál, Radek Ševčík, Waste tires and their material recycling, AIP Conference Proceedings 2425, 150006 (2022); https://doi.org/10.1063/5.0081401</t>
  </si>
  <si>
    <t>https://aip.scitation.org/doi/abs/10.1063/5.0081401</t>
  </si>
  <si>
    <t>Ćetković, J.; Lakić, S.; Žarković, M.; Vujadinović, R.; Knežević, M.; Živković, A.; Cvijović, J. Environmental Benefits of Air Emission Reduction in the Waste Tire Management Practice. Processes 2022, 10, 787. https://doi.org/10.3390/pr10040787</t>
  </si>
  <si>
    <t>https://www.mdpi.com/2227-9717/10/4/787/htm</t>
  </si>
  <si>
    <t>Younis, H., Sundarakani, B. and Alsharairi, M. (2022), "Applications of artificial intelligence and machine learning within supply chains:systematic review and future research directions", Journal of Modelling in Management, Vol. 17 No. 3, pp. 916-940. https://doi.org/10.1108/JM2-12-2020-0322</t>
  </si>
  <si>
    <t>https://www.emerald.com/insight/content/doi/10.1108/JM2-12-2020-0322/full/html</t>
  </si>
  <si>
    <t>Aguiar, M.F., Mesa, J.A., Jugend, D., Pinheiro, M.A.P. and Fiorini, P.D.C. (2022), "Circular product design: strategies, challenges and relationships with new product development", Management of Environmental Quality, Vol. 33 No. 2, pp. 300-329. https://doi.org/10.1108/MEQ-06-2021-0125</t>
  </si>
  <si>
    <t>https://www.emerald.com/insight/content/doi/10.1108/MEQ-06-2021-0125/full/html</t>
  </si>
  <si>
    <t>Jeevan Gaidhane, Inayat Ullah, Abhay Khalatkar, Tyre remanufacturing: A brief review, Materials Today: Proceedings, Available online 21 April 2022</t>
  </si>
  <si>
    <t>Dobrotă, D. (ULBS); Rotaru, I. (ULBS); Bondrea, I. (ULBS)</t>
  </si>
  <si>
    <t>Welded Construction Design of Transition Fittings from Metal Pipes to Plastic Pipes</t>
  </si>
  <si>
    <t>Domański, T.; Piekarska, W.; Saternus, Z.; Kubiak, M.; Stano, S. Numerical Prediction of Strength of Socket Welded Pipes Taking into Account Computer Simulated Welding Stresses and Deformations. Materials 2022, 15, 3243. https://doi.org/10.3390/ma15093243</t>
  </si>
  <si>
    <t>https://www.mdpi.com/1996-1944/15/9/3243</t>
  </si>
  <si>
    <t>A. Deiva Ganesh, P. Kalpana,
Future of artificial intelligence and its influence on supply chain risk management – A systematic review,
Computers &amp; Industrial Engineering,
2022,
108206</t>
  </si>
  <si>
    <t>https://www.sciencedirect.com/science/article/pii/S0360835222002765?via%3Dihub</t>
  </si>
  <si>
    <t>Dimulescu, S. (S.C. DEDEMAN), Dobrotă, D (ULBS)</t>
  </si>
  <si>
    <t>Risk analysis regarding health and safety at work.</t>
  </si>
  <si>
    <t>Gisela Silva da COSTAE, laine PINTO, Carlos Renato Cortes AQUINO, Larissa Dias CAMPOS, Yoly Gerpe RODRIGUES, Sergio THODE FILHO, A preliminary study of environmental risks: application of an enteral diet manipulation center,  Food Sci. Technol 42 • 2022 • https://doi.org/10.1590/fst.21322.</t>
  </si>
  <si>
    <t>https://www.scielo.br/j/cta/a/BTH5cRFGvhLMHCXYH38Vh3m/?lang=en</t>
  </si>
  <si>
    <t>V. Bendic (UPB), D. Dobrotă (ULBS)</t>
  </si>
  <si>
    <t>Theoretical and experimental contribution   on   and   of   smart composite materials in the construction of civil buildings  with  low  energy  consumption</t>
  </si>
  <si>
    <t>Atif Ali Hasan,Nabil jamil Yasin,Omer Adil Zainal Al-Bayati, Riyadh Husni Aljawad, Cooling Load Reduction by Ambient Wetting Technique.(Experimental study), Pak. J. Engg. Appl. Sci. Vol. 30 January, 2022 (p.52–61)</t>
  </si>
  <si>
    <t>https://journal.uet.edu.pk/ojs_old/index.php/pjeas/article/view/2576/432</t>
  </si>
  <si>
    <t>scopus</t>
  </si>
  <si>
    <t>Potkány, Marek, Krajčírová, Lucia and Osvaldová, Mária. "Business Plan Concept for the Production of Rubber-Based Noise Reduction Walls in Slovakia for the Potential of Worn Tires Material Recovery" Management Systems in Production Engineering, vol.30, no.2, 2022, pp.140-145. https://doi.org/10.2478/mspe-2022-0017</t>
  </si>
  <si>
    <t>https://www.sciendo.com/article/10.2478/mspe-2022-0017</t>
  </si>
  <si>
    <t>Soltanzadeh, F.; Behbahani, A.E.; Hosseinmostofi, K.; Teixeira, C.A. Assessment of the Sustainability of Fibre-Reinforced Concrete by Considering Both Environmental and Mechanical Properties. Sustainability 2022, 14, 6347. https://doi.org/10.3390/su14106347</t>
  </si>
  <si>
    <t>https://www.mdpi.com/2071-1050/14/10/6347</t>
  </si>
  <si>
    <t>Neamțu, G.V. (UPB), Mohora, C. (UPB), Anania, D.F. (UPB), Dobrotă, D. (ULBS)</t>
  </si>
  <si>
    <t>Research regarding the increase of durability of flexible die made from 50CrMo4 used in the typographic industry</t>
  </si>
  <si>
    <t>Pop, A.B., Pop, G.I., Oprean, C., Titu, A.M. (2022). Research on Modeling the Technological Processing of Typographic Film. In: Karabegović, I., Kovačević, A., Mandžuka, S. (eds) New Technologies, Development and Application V. NT 2022. Lecture Notes in Networks and Systems, vol 472. Springer, Cham. https://doi.org/10.1007/978-3-031-05230-9_38</t>
  </si>
  <si>
    <t>https://link.springer.com/chapter/10.1007/978-3-031-05230-9_38</t>
  </si>
  <si>
    <t>Dobrota, D. (ULBS); Lazar, S.V.(S.C. CONTINENTAL)</t>
  </si>
  <si>
    <t>Ultrasonic welding of PBT-GF30 (70% polybutylene terephthalate + 30% fiber glass) and expanded polytetrafluoroethylene (e-PTFE)</t>
  </si>
  <si>
    <t>Kuo, C.-C.; Tsai, Q.-Z.; Li, D.-Y.; Lin, Y.-X.; Chen, W.-X. Optimization of Ultrasonic Welding Process Parameters to Enhance Weld Strength of 3C Power Cases Using a Design of Experiments Approach. Polymers 2022, 14, 2388. https://doi.org/10.3390/polym14122388</t>
  </si>
  <si>
    <t>https://www.mdpi.com/2073-4360/14/12/2388</t>
  </si>
  <si>
    <t>Kazancoglu, I., Ozbiltekin-Pala, M., Mangla, S.K. et al. Using emerging technologies to improve the sustainability and resilience of supply chains in a fuzzy environment in the context of COVID-19. Ann Oper Res (2022). https://doi.org/10.1007/s10479-022-04775-4</t>
  </si>
  <si>
    <t>https://link.springer.com/article/10.1007/s10479-022-04775-4</t>
  </si>
  <si>
    <t>Zainol, N.A., Gunny, A.A.N., Aziz, H.A., Hung, YT. (2022). Rubber Tire Recycling and Disposal. In: Wang, L.K., Wang, MH.S., Hung, YT. (eds) Solid Waste Engineering and Management. Handbook of Environmental Engineering, vol 25. Springer, Cham. https://doi.org/10.1007/978-3-030-96989-9_2</t>
  </si>
  <si>
    <t>https://link.springer.com/chapter/10.1007/978-3-030-96989-9_2</t>
  </si>
  <si>
    <t>springer</t>
  </si>
  <si>
    <t>Voda, A. D. (ULBS), Dobrotă, G. ( U. C. Brancusi Targu Jiu), Dobrotă, D. (ULBS), &amp; Dumitrașcu, D.D. (ULBS)</t>
  </si>
  <si>
    <t>Stawska, J.; Miszczyńska, K. 2022. The impact of monetary and fiscal policy variables on the EU economic growth. Panel data analysis, Entrepreneurship and Sustainability Issues 9(4): 380-395. https://doi.org/10.9770/jesi2022.9.4(20)</t>
  </si>
  <si>
    <t>http://jssidoi.org/jesi/uploads/articles/36/Stawska_The_impact_of_monetary_and_fiscal_policy_variables_on_the_EU_economic_growth_Panel_data_analysis.pdf</t>
  </si>
  <si>
    <t xml:space="preserve">Imadeddine Oubrahim; Naoufal Sefiani; Ari Happonen, SUPPLY CHAIN PERFORMANCE EVALUATION MODELS: A LITERATURE REVIEW, Acta logistica, Volume: 9, 2022, Issue: 2, Pages: 207-221 ISSN 1339-5629 </t>
  </si>
  <si>
    <t>https://www.actalogistica.eu/issues/2022/II_2022_09_Oubrahim_Sefiani_Happonen.pdf</t>
  </si>
  <si>
    <t>Rontescu, C.; Amza, C.-G.; Bogatu, A.-M.; Cicic, D.-T.; Anania, F.D.; Burlacu, A. Reconditioning by Welding of Prosthesis Obtained through Additive Manufacturing. Metals 2022, 12, 1177. https://doi.org/10.3390/met12071177</t>
  </si>
  <si>
    <t>https://www.mdpi.com/2075-4701/12/7/1177</t>
  </si>
  <si>
    <t xml:space="preserve">
Heller, B., Simon-Stőger, L., Makó, É. et al. A practical manner to GTR recycling in waste-HDPE/ABS. J Polym Res 29, 329 (2022). https://doi.org/10.1007/s10965-022-03167-3</t>
  </si>
  <si>
    <t>https://link.springer.com/article/10.1007/s10965-022-03167-3</t>
  </si>
  <si>
    <t>Dobrota D (ULBS), Petrescu V (ULBS), Dimulescu CS (SC DEDEMAN), Oleksik M (ULBS)</t>
  </si>
  <si>
    <t>Preparation and Characterization of Composites Materials with Rubber Matrix and with Polyvinyl Chloride Addition (PVC)</t>
  </si>
  <si>
    <t xml:space="preserve">M. Al-Shablle, M. Al-Waily, E.K. Njim, Analytical evaluation of the influence of adding rubber layers on free vibration of sandwich structure with presence of nano-reinforced composite skins, Archives of Materials Science and Engineering 2022; 116 (2): 57-70 </t>
  </si>
  <si>
    <t>https://archivesmse.org/resources/html/article/details?id=233490</t>
  </si>
  <si>
    <t>Li, X.; Fang, Z.; Shen, X.; Yin, Q.; Chen, Z.; Tu, Q.; Pan, M. Study on Increasing the Binding Amount of Rubber and Reinforcing Filler by Adding Aromatic Solvent Oil. Polymers 2022, 14, 2745. https://doi.org/10.3390/polym14132745</t>
  </si>
  <si>
    <t>https://www.mdpi.com/2073-4360/14/13/2745/htm</t>
  </si>
  <si>
    <t>Krzysztof Formela, Analysis of volatile organic compounds emission in the rubber recycling products quality assessment, Advanced Industrial and Engineering Polymer Research, Iulie 2022</t>
  </si>
  <si>
    <t>https://www.sciencedirect.com/science/article/pii/S254250482200032X</t>
  </si>
  <si>
    <t>Belferrag, A., Kriker, A., Youcef, F. et al. Thermal Conductivity of Dune Sand Concrete Reinforced with Pneumatic Waste Metal Fibers. Int J Thermophys 43, 140 (2022). https://doi.org/10.1007/s10765-022-03065-2</t>
  </si>
  <si>
    <t>https://link.springer.com/article/10.1007/s10765-022-03065-2#citeas</t>
  </si>
  <si>
    <t>Lewandowski, K.; Skórczewska, K. A Brief Review of Poly(Vinyl Chloride) (PVC) Recycling. Polymers 2022, 14, 3035. https://doi.org/10.3390/polym14153035</t>
  </si>
  <si>
    <t>https://www.mdpi.com/2073-4360/14/15/3035</t>
  </si>
  <si>
    <t>Redesign of the Geometry of Parts Produced from PBT Composite to Improve Their Operational Behavior</t>
  </si>
  <si>
    <t>Wang, R.-T.; Wang, J.-C.; Chen, S.-L. Investigations on Temperatures of the Flat Insert Mold Cavity Using VCRHCS with CFD Simulation. Polymers 2022, 14, 3181. https://doi.org/10.3390/polym14153181</t>
  </si>
  <si>
    <t>https://www.mdpi.com/2073-4360/14/15/3181/htm</t>
  </si>
  <si>
    <t>Koblanov Zholaman Taubaevich , Tortkulbaeva Tursynay Abdigaziyevna , PhD of philological sciences , Kuttymuratova Yrysty Abdirakhmanovna , Kadirov Kuvondik Ayitbayevich , Otarova Akmaral Nurkodjaevna , Kametova Raushan Maratovna, The Role Of William Shakespeare's Work In The Development Of European Literature, Journal of Positive School Psychology, Vol. 6 No. 8 (2022),</t>
  </si>
  <si>
    <t>https://journalppw.com/index.php/jpsp/article/view/9719</t>
  </si>
  <si>
    <t>Ab Wahid (US), A. K., Salim (US), M. A., Masripan, (US) N. A., Saad, (US) A. M., Dobrota, D. (ULBS), Omar, G. (US), Sudin, M.N (US)
&amp; Naroh</t>
  </si>
  <si>
    <t>DRIVING MONITORING SYSTEM APPLICATION WITH STRETCHABLE CONDUCTIVE INKS: A REVIEW</t>
  </si>
  <si>
    <t>Ameeruz Kamal Ab Wahid, Mohd Azli Salim, Nor Azmmi Masripan, Adzni bin Md. Saad, Mohd Zaid Akop, Chonlatee Photong, Optimal Prediction on Stretchability Thickness of Graphene
Conductive Ink by Numerical Approach, International Journal of Nanoelectronics and Materials, Volume 15 (Special Issue) March 2022 [483-494]</t>
  </si>
  <si>
    <t>https://ijneam.unimap.edu.my/images/PDF/ISSTE2022/Vol_15_SI_March_2022_483-494.pdf</t>
  </si>
  <si>
    <t>https://www.sciencedirect.com/science/article/pii/S254250482200032X?via%3Dihub</t>
  </si>
  <si>
    <t>Jiangnan Mei, Guiying  Xu, Waqas Ahmad, Kaffayatullah Khan, Muhammad Nasir Amin, Fahid Aslam, Abdulaziz Alaskar, Promoting sustainable materials using recycled rubber in concrete: A review, Journal of Cleaner Production, Available online 1 September 2022, 133927</t>
  </si>
  <si>
    <t xml:space="preserve">
Jinchang Guo, Jianxiao Bian, Jianrui Zhang, Xiao Lian &amp;Qian Jing, Laser gas oxidising of Ti–6Al–4V surface: experimental and numerical investigation, Surface Engineering, Published online: 01 Sep 2022
</t>
  </si>
  <si>
    <t>https://www.tandfonline.com/doi/ref/10.1080/02670844.2022.2111133?scroll=top</t>
  </si>
  <si>
    <t>Peng Zhang, Kui Zou, Li Yuan, JingLiuc, BingzhiLiu, Tai-Ping Qing, Bo Feng, A biomass resource strategy for alginate-polyvinyl alcohol double network hydrogels and their adsorption to heavy metals, Separation and Purification Technology, Volume 301, 15 November 2022, 122050</t>
  </si>
  <si>
    <t>https://www.sciencedirect.com/science/article/pii/S1383586622016057?via%3Dihub</t>
  </si>
  <si>
    <t>Qureshi, M.R.N.M. Evaluating and Prioritizing the Enablers of Supply Chain Performance Management System (SCPMS) for Sustainability. Sustainability 2022, 14, 11296. https://doi.org/10.3390/su141811296</t>
  </si>
  <si>
    <t>https://www.mdpi.com/2071-1050/14/18/11296</t>
  </si>
  <si>
    <t>Dey, B.K.; Yilmaz, I.; Seok, H. A Sustainable Supply Chain Integrated with Autonomated Inspection, Flexible Eco-Production, and Smart Transportation. Processes 2022, 10, 1775. https://doi.org/10.3390/pr10091775</t>
  </si>
  <si>
    <t>https://www.mdpi.com/2227-9717/10/9/1775</t>
  </si>
  <si>
    <t>Hau Trung Nguyen, Fahanwi Asabuwa Ngwabebhoh, Nabanita Saha,Tomas Saha, Petr Sah, Gellan gum/bacterial cellulose hydrogel crosslinked with citric acid as an eco-friendly green adsorbent for safranin and crystal violet dye removal, International Journal of Biological Macromolecules Available online 9 September 2022</t>
  </si>
  <si>
    <t>https://www.sciencedirect.com/science/article/abs/pii/S0141813022019626?via%3Dihub#!</t>
  </si>
  <si>
    <t>Buchholz, P., Schumacher, A. &amp; Al Barazi, S. Big data analyses for real-time tracking of risks in the mineral raw material markets: implications for improved supply chain risk management. Miner Econ (2022). https://doi.org/10.1007/s13563-022-00337-z</t>
  </si>
  <si>
    <t>https://link.springer.com/article/10.1007/s13563-022-00337-z#citeas</t>
  </si>
  <si>
    <t xml:space="preserve">Rudy Arijanto, The Role of Supply Chain Management on Competitive Advantage and SMEs Operational Performance During Post Pandemic and Digital Era, Journal of Industrial Engineering &amp; Management Research
Vol.3 No.6, 2022 DOI: https://doi.org/10.7777/jiemar
</t>
  </si>
  <si>
    <t>file:///C:/Users/ASUS%20VivoBook/Downloads/410-Article%20Text-946-1-10-20220909.pdf</t>
  </si>
  <si>
    <t>Buchholz, P., Schumacher, A. &amp; Al Barazi, S. Big data analyses for real-time tracking of risks in the mineral raw material markets: implications for improved supply chain risk management. Miner Econ 35, 701–744 (2022). https://doi.org/10.1007/s13563-022-00337-z</t>
  </si>
  <si>
    <t>https://link.springer.com/article/10.1007/s13563-022-00337-z</t>
  </si>
  <si>
    <t>Ionescu, R.-V.; Zlati, M.-L.; Antohi, V.-M.; Dincă, M.-S. Automotive Sector Financial Performance Dynamic Model: Europe vs. Asia Case Study. Mathematics 2022, 10, 3627. https://doi.org/10.3390/math10193627</t>
  </si>
  <si>
    <t>Mueller, C., Mezhuyev, V. (2022). AI Models and Methods in Automotive Manufacturing: A Systematic Literature Review. In: Al-Emran, M., Shaalan, K. (eds) Recent Innovations in Artificial Intelligence and Smart Applications. Studies in Computational Intelligence, vol 1061. Springer, Cham. https://doi.org/10.1007/978-3-031-14748-7_1</t>
  </si>
  <si>
    <t>https://link.springer.com/chapter/10.1007/978-3-031-14748-7_1</t>
  </si>
  <si>
    <t>Yuqian Wei, A Machine Learning Algorithm for Supplier Credit Risk Assessment Based on Supply Chain Management, International Transactions on Electrical Energy Systems, Volume 2022 | Article ID 4766597 | https://doi.org/10.1155/2022/4766597</t>
  </si>
  <si>
    <t>https://www.hindawi.com/journals/itees/2022/4766597/#related-articles</t>
  </si>
  <si>
    <t>Yun-Xiang Lan,Minsi Yan,Hsin-Kai Yu,Min-Xue Li,Jui-Ming Yeh, Beads-milling of waste Si sawdust into micro-flakes and applied in UV-curable polystyrene composites for anticorrosion coatings, Journal of Applied Polymer Science, 2022, https://doi.org/10.1002/app.53220</t>
  </si>
  <si>
    <t>https://onlinelibrary.wiley.com/doi/abs/10.1002/app.53179</t>
  </si>
  <si>
    <t>Cheng, Y., Wang, Q., Polym. Eng. Sci. 2022, 1. https://doi.org/10.1002/pen.26171</t>
  </si>
  <si>
    <t>Xiong Xu, Yaming Chu, Ruiqi Chen, Qiaoyun Wu, Xuyong Chen, Fuliao Zou, Chao Peng, Thermo-mechanochemical recycling of waste polypropylene into degradation products as modifiers for cleaner production and properties enhancement of bitumen, Journal of Cleaner Production, 2022,
134792</t>
  </si>
  <si>
    <t>Karmveer; (US) Kumar Gupta, N. (US); Siddiqui, M.I.H. (US); Dobrotă, D. (ULBS); Alam, T. (US); Ali, M.A. (US); Orfi, J. (US)</t>
  </si>
  <si>
    <t>The Effect of Roughness in Absorbing Materials on Solar Air Heater Performance</t>
  </si>
  <si>
    <t>Punit Singh, Saurav Chakraborty, Prabal Talukdar, A novel non-intrusive imaging technique to quantify shrinkage of Elephant Foot Yam during convective drying, J. Thermal Sci. Eng. Appl. 1-24 (24 pages)
Paper No: TSEA-22-1213 https://doi.org/10.1115/1.4056052</t>
  </si>
  <si>
    <t>https://asmedigitalcollection.asme.org/thermalscienceapplication/article-abstract/doi/10.1115/1.4056052/1148449/A-novel-non-intrusive-imaging-technique-to</t>
  </si>
  <si>
    <t>Shengzhi Duan, Jian Feng, Wenhe Yu, Jiaqi Huang, Xiaowen Wu, Keqing Zeng, Zhi Lei, Lu Qiu, Lianyi Wang, Ruiying Luo, The influences of ball milling processing on the morphology and thermal properties of natural graphite-based porous graphite and their phase change composites, Journal of Energy Storage, Volume 55, Part D, 2022, 105800,</t>
  </si>
  <si>
    <t>https://www.sciencedirect.com/science/article/pii/S2352152X22017881</t>
  </si>
  <si>
    <t>Christoph Mueller, Vitaliy Mezhuyev, Book cover
Recent Innovations in Artificial Intelligence and Smart Applications pp 1–25Cite as
AI Models and Methods in Automotive Manufacturing: A Systematic Literature Review, Recent Innovations in Artificial Intelligence and Smart Applications pp 1–25, 2022</t>
  </si>
  <si>
    <t>Springer</t>
  </si>
  <si>
    <t>Elgamal, A. M., Abd El-Ghany, N. A., Saad, G. R., J. Appl. Polym. Sci. 2022, e53179. https://doi.org/10.1002/app.53179</t>
  </si>
  <si>
    <t>https://onlinelibrary.wiley.com/doi/10.1002/app.53179</t>
  </si>
  <si>
    <t>Zefeng Wang, Jinwen Zhong, Chao Pan, Yutao Jiang, Application of supercritical carbon dioxide jet to recycle waste tire rubber: an experimental and optimization study, The Journal of Supercritical Fluids,
2022, 105790, ISSN 0896-8446, https://doi.org/10.1016/j.supflu.2022.105790.</t>
  </si>
  <si>
    <t>https://www.sciencedirect.com/science/article/pii/S089684462200273X?via%3Dihub</t>
  </si>
  <si>
    <t>Abdulrhman Mohamad Moasas, Muhammad Nasir Amin, Kaffayatullah Khan, Waqas Ahmad, Mohammed Najeeb Ahmad Al-Hashem, Ahmed Farouk Deifalla, Ayaz Ahmad, A worldwide development in the accumulation of waste tires and its utilization in concrete as a sustainable construction material: A review, Case Studies in Construction Materials, 2022, https://doi.org/10.1016/j.cscm.2022.e01677.</t>
  </si>
  <si>
    <t>https://www.sciencedirect.com/science/article/pii/S2214509522008099?via%3Dihub</t>
  </si>
  <si>
    <t>Dobrotă Dan, Dobrotă Gabriela</t>
  </si>
  <si>
    <t>Kuen-Song Lin, Ndumiso Vukile Mdlovu, Hong-Paul Wang, Abrar Hussain, Liquefaction of waste tire rubber chips used for the absorptive recycling of spilled oils,
Journal of Environmental Chemical Engineering, Volume 10, Issue 6, 2022,</t>
  </si>
  <si>
    <t>https://www.sciencedirect.com/science/article/pii/S2213343722015536?casa_token=kxgoW6crXa0AAAAA:wzct_xZVOX7AymGDm9_Jnk0zCPdJb4bsxeNAJy5wVmAh6-_a02eJqbzUG-Iqtg58ABO24U-tTg</t>
  </si>
  <si>
    <t>Jitha S. Jayan, A.S. Sethulekshmi, Gopika Venu, B.D.S. Deeraj, Appukuttan Saritha, Kuruvilla Joseph, 14 - Recycling of elastomer blends and composites, Editor(s): Sanjay Mavinkere Rangappa, Jyotishkumar Parameswaranpillai, Suchart Siengchin, Togay Ozbakkaloglu, Elastomer Blends and Composites, Elsevier, 2022,</t>
  </si>
  <si>
    <t>https://www.sciencedirect.com/science/article/pii/B9780323858328000018</t>
  </si>
  <si>
    <t>Thives, L.P.; Pais, J.C.; Pereira, P.A.A.; Palha, C.A.O.F.; Trichês, G. Contribution of Asphalt Rubber Mixtures to Sustainable Pavements by Reducing Pavement Thickness. Materials 2022, 15, 8592. https://doi.org/10.3390/ma15238592</t>
  </si>
  <si>
    <t>https://www.mdpi.com/1996-1944/15/23/8592</t>
  </si>
  <si>
    <t>Cheng, Y., Wang, Q., Polym. Eng. Sci. 2022, 62( 12), 4115. https://doi.org/10.1002/pen.26171</t>
  </si>
  <si>
    <t>https://4spepublications.onlinelibrary.wiley.com/doi/abs/10.1002/pen.26171</t>
  </si>
  <si>
    <t>MARIA SÖNMEZ, MIHAELA NITUICA (VILSAN), MIHAI GEORGESCU, MARIA DANIELA STELESCU, LAURENTIA ALEXANDRESCU, DENIS-ANDREI DRUSAN, ANA-MARIA CIOBANU, DANA GURAU, CIPRIAN CHELARU, THE INFLUENCE OF NBR WASTE MODIFIED WITH SiO2/NOT MODIFIED ON PROCESSABILITY, PHYSICAL-MECHANICAL AND STRUCTURAL, PROPERTIES OF PVC, ICAMS 2022 – 9th International Conference on Advanced Materials and Systems</t>
  </si>
  <si>
    <t>https://icams.ro/icamsresurse/2022/files/lucrari/I_advanced_materials_nanomaterials_10.pdf</t>
  </si>
  <si>
    <t>Pardeshi, B. (2022). Logistic Regression Analysis for Prediction of Financial Failure: Evidence from Central Public Sector Enterprises in India. Vision, 0(0). https://doi.org/10.1177/09722629221135241</t>
  </si>
  <si>
    <t>https://journals.sagepub.com/doi/10.1177/09722629221135241</t>
  </si>
  <si>
    <t>Yudi Nur Supriadi, Renny Husniati, Zackharia Rialmi, Alfatih  S.Manggabarani, The Role of Dimensions of Supply Chain Management on Operational Performance of Indonesian SMEs During Digital Era, Journal of Positive School Psychology, 2022, Vol. 6, No. 7, 546–557</t>
  </si>
  <si>
    <t>https://www.journalppw.com/index.php/jpsp/article/view/10300/6673</t>
  </si>
  <si>
    <t xml:space="preserve">A. Deiva Ganesh, P. Kalpana, Future of artificial intelligence and its influence on supply chain risk management – A systematic review, Computers and Industrial EngineeringVolume 169Issue CJul 2022 https://doi.org/10.1016/j.cie.2022.108206
 </t>
  </si>
  <si>
    <t>https://dl.acm.org/doi/abs/10.1016/j.cie.2022.108206</t>
  </si>
  <si>
    <t>Dash, A.P.; Alam, T.; Siddiqui, M.I.H.; Blecich, P.; Kumar, M.; Gupta, N.K.; Ali, M.A.; Yadav, A.S. Impact on Heat Transfer Rate Due to an Extended Surface on the Passage of Microchannel Using Cylindrical Ribs with Varying Sector Angle. Energies 2022, 15, 8191. https://doi.org/10.3390/en15218191</t>
  </si>
  <si>
    <t>https://www.mdpi.com/1996-1073/15/21/8191</t>
  </si>
  <si>
    <t>Naeim Farouk, Azher M. Abed, Pradeep Kumar Singh, H. Elhosiny Ali, Bader Alshuraiaan, Van Giao Nguyen, Makatar Wae-hayee, Dinh Tuyen Nguyen, M.A. El Bouz, Thermal performance analysis of artificially roughened solar air heater under turbulent pulsating flow with various wave shapes, Case Studies in Thermal Engineering, 2022, 102664, https://doi.org/10.1016/j.csite.2022.102664.</t>
  </si>
  <si>
    <t>https://www.sciencedirect.com/science/article/pii/S2214157X22009017?via%3Dihub</t>
  </si>
  <si>
    <t>Inga Uvarova and Dzintra Atstaja, Collaborative circular business models in the tyre recycling, International Journal of Green Economics, Vol. 16, No. 1, 2022</t>
  </si>
  <si>
    <t>https://www.inderscienceonline.com/doi/abs/10.1504/IJGE.2022.125556</t>
  </si>
  <si>
    <t xml:space="preserve">NISRINE ZOUGAGH, ABDELKABIR CHARKAOUI, YASSINE ZOUITA, APPLICATIONS OF ARTIFICIAL INTELLIGENCE METHODS FOR ENHANCING INFORMATION SHARING IN SUPPLY CHAINS: SYSTEMATIC REVIEW, Journal of Theoretical and Applied Information Technology 15th December 2022. Vol.100. No 23 
</t>
  </si>
  <si>
    <t>http://www.jatit.org/volumes/Vol100No23/1Vol100No23.pdf</t>
  </si>
  <si>
    <t>I. Oubrahim, N. Sefiani, A. Happonen and M. Savastano, "Sustainable supply chain performance evaluation: An empirical study using Best Worst Method," 2022 International Interdisciplinary Humanitarian Conference for Sustainability (IIHC), Bengaluru, India, 2022, pp. 1184-1190, doi: 10.1109/IIHC55949.2022.10059815.</t>
  </si>
  <si>
    <t>https://ieeexplore.ieee.org/abstract/document/10059815</t>
  </si>
  <si>
    <t xml:space="preserve"> Smart Cutting Tools Used in the Processing of Aluminum Alloys. Sensors, 22(1), 28, 2021, https://doi.org/10.3390/s22010028 </t>
  </si>
  <si>
    <t xml:space="preserve">Stoyan SLAVOV, Oleksandr MARKOV, A TOOL FOR BALL BURNISHING WITH ABILITY FOR WIRE AND
WIRELESS MONITORING OF THE DEFORMING FORCE VALUES, ACTA TECHNICA NAPOCENSIS
 Series: Applied Mathematics, Mechanics, and Engineering
 Vol. 65, Issue Special IV, December, 2022 </t>
  </si>
  <si>
    <t>https://atna-mam.utcluj.ro/index.php/Acta/article/viewFile/2066/1646</t>
  </si>
  <si>
    <t>Halime Paksoy, Nurten Şahan, Yeliz Konuklu, Encapsulation of Phase Change Materials, Encyclopedia of Energy Storage
Volume 1, 2022, Pages 498-525</t>
  </si>
  <si>
    <t>https://www.sciencedirect.com/science/article/abs/pii/B978012819723300069X?via%3Dihub</t>
  </si>
  <si>
    <t>Dumitraşcu, Iulia (ULBS), Dumitraşcu, Dănuţ, Dumitru (ULBS)</t>
  </si>
  <si>
    <t>Intercultural Communication and its challenges within the international virtual project team</t>
  </si>
  <si>
    <t xml:space="preserve">Alzhanova, A. &amp; Chaklikova, A. (2022). Multilingual Education: Development of Professional Foreign Language Communicative Competence of Students in a Digital Environment. International Journal of Web-Based Learning and Teaching Technologies (IJWLTT), 17(1), 1-13. </t>
  </si>
  <si>
    <t>http://doi.org/10.4018/IJWLTT.294572</t>
  </si>
  <si>
    <t>Dumitrascu Baldau Iulia</t>
  </si>
  <si>
    <t>Gërvalla, M., Hajrizi, E. (2022). 
IT Governance vs Information Governance. In: Alaali, M. (eds) COVID-19 Challenges to University Information Technology Governance. Springer, Cham.</t>
  </si>
  <si>
    <t xml:space="preserve"> https://link.springer.com/chapter/10.1007/978-3-031-13351-0_15</t>
  </si>
  <si>
    <t>WOS / SCOPUS</t>
  </si>
  <si>
    <r>
      <rPr>
        <sz val="10"/>
        <color rgb="FF222222"/>
        <rFont val="Arial Narrow"/>
      </rPr>
      <t>Susanto, S., Ismoyo, T., Yana, S. C., Rapiadi, R., &amp; Seneru, W. (2022). 
Communication Research Trends in Virtual Project Team: Bibliometric Analysis. </t>
    </r>
    <r>
      <rPr>
        <i/>
        <sz val="10"/>
        <color rgb="FF222222"/>
        <rFont val="Arial Narrow"/>
      </rPr>
      <t>Budapest International Research and Critics Institute-Journal (BIRCI-Journal)</t>
    </r>
    <r>
      <rPr>
        <sz val="10"/>
        <color rgb="FF222222"/>
        <rFont val="Arial Narrow"/>
      </rPr>
      <t>, </t>
    </r>
    <r>
      <rPr>
        <i/>
        <sz val="10"/>
        <color rgb="FF222222"/>
        <rFont val="Arial Narrow"/>
      </rPr>
      <t>5</t>
    </r>
    <r>
      <rPr>
        <sz val="10"/>
        <color rgb="FF222222"/>
        <rFont val="Arial Narrow"/>
      </rPr>
      <t>(3).</t>
    </r>
  </si>
  <si>
    <t xml:space="preserve">
DOI: https://doi.org/10.33258/birci.v5i3.6601</t>
  </si>
  <si>
    <t xml:space="preserve">Gündüz, M. (2022). INTERNATIONAL STUDENTS’ PERCEPTIONS ON COLLABORATION AND INTERCULTURAL COMMUNICATIVE COMPETENCE . Nevşehir Hacı Bektaş Veli Üniversitesi SBE Dergisi , 12 (3) , 1493-1505 . </t>
  </si>
  <si>
    <t>https://dergipark.org.tr/en/pub/nevsosbilen/issue/72869/1151664</t>
  </si>
  <si>
    <t xml:space="preserve">Occupational emerging risks affecting international virtual project Team Results
</t>
  </si>
  <si>
    <t>Fritz, M., &amp; Städter, T. (2022). Erkenntnisse aus COVID-19–Was bedeuten diese für die Rolle der Telearbeit in internationalen, mittelständischen Unternehmen?. In Erkenntnisse aus COVID-19 für zukünftiges Pandemiemangement: Multiperspektivische Analyse mit Fokus auf eHealth und Society (pp. 61-88). Wiesbaden: Springer Fachmedien Wiesbaden.</t>
  </si>
  <si>
    <t>https://link.springer.com/chapter/10.1007/978-3-658-38667-2_4</t>
  </si>
  <si>
    <t xml:space="preserve">Dumitraşcu, Iulia (ULBS), Dumitraşcu, Dănuţ, Dumitru (ULBS)
</t>
  </si>
  <si>
    <t xml:space="preserve">Skills and competences international project managers need to be successful in a virtual work environment.
</t>
  </si>
  <si>
    <t>Cripe, K. M., &amp; Burleigh, C. (2022). Examining leadership skills, behaviors, and effective communication for virtual IT project managers. Team Performance Management: An International Journal, 28(3/4), 223-237.</t>
  </si>
  <si>
    <t>https://www.emerald.com/insight/content/doi/10.1108/TPM-11-2021-0085/full/html?utm_campaign=Emerald_HR_PPV_November22_RoN</t>
  </si>
  <si>
    <t>Skills and competences international project managers need to be successful in a virtual work environment.</t>
  </si>
  <si>
    <t>Wittrich, A. (2022). Ethical decision-making in the work of project leaders-why ethics gains in importance in future project management. In Business and Management’2022, The 12th International Scientific Conference" Business and Management", 12–13 May 2022 Vilnius, Lithuania (pp. 1-10). Vilnius: Vilnius Gediminas Technical University.</t>
  </si>
  <si>
    <t>http://bm.vgtu.lt/index.php/verslas/2022/paper/view/820</t>
  </si>
  <si>
    <t>WOS</t>
  </si>
  <si>
    <t>Creating Effective International Virtual Project Team</t>
  </si>
  <si>
    <t>Ybañez, R. S., Bautista, L. A., &amp; Arvin, R. (2022). Virtual Project Management (VPM) in Project Execution. American Journal of Industrial and Business Management, 12(12), 1867-1912.</t>
  </si>
  <si>
    <t>https://www.scirp.org/journal/paperinformation.aspx?paperid=122195</t>
  </si>
  <si>
    <r>
      <rPr>
        <sz val="10"/>
        <color rgb="FF222222"/>
        <rFont val="Arial Narrow"/>
      </rPr>
      <t>Ybañez, R. S., &amp; Arvin, R. (2022). 
Multi Structures-Scales (MSS) in Project Execution Management (PEM). </t>
    </r>
    <r>
      <rPr>
        <i/>
        <sz val="10"/>
        <color rgb="FF222222"/>
        <rFont val="Arial Narrow"/>
      </rPr>
      <t>Open Journal of Business and Management</t>
    </r>
    <r>
      <rPr>
        <sz val="10"/>
        <color rgb="FF222222"/>
        <rFont val="Arial Narrow"/>
      </rPr>
      <t>, </t>
    </r>
    <r>
      <rPr>
        <i/>
        <sz val="10"/>
        <color rgb="FF222222"/>
        <rFont val="Arial Narrow"/>
      </rPr>
      <t>10</t>
    </r>
    <r>
      <rPr>
        <sz val="10"/>
        <color rgb="FF222222"/>
        <rFont val="Arial Narrow"/>
      </rPr>
      <t>(6), 2959-2973.</t>
    </r>
  </si>
  <si>
    <t>https://scirp.org/journal/paperinformation.aspx?paperid=120961</t>
  </si>
  <si>
    <t xml:space="preserve">Iulia Dumitrașcu-Băldău (ULBS), Dănuț-Dumitru Dumitrașcu (ULBS), Gabriela Dobrotă (ULBS)
</t>
  </si>
  <si>
    <t>Predictive Model for the Factors Influencing International Project Success: A Data Mining Approach</t>
  </si>
  <si>
    <r>
      <rPr>
        <sz val="10"/>
        <color rgb="FF222222"/>
        <rFont val="Arial Narrow"/>
      </rPr>
      <t>Li, X., He, J., Huang, Y., Li, J., Liu, X., &amp; Dai, J. (2022). 
Predicting the factors influencing construction enterprises’ adoption of green development behaviors using artificial neural network. </t>
    </r>
    <r>
      <rPr>
        <i/>
        <sz val="10"/>
        <color rgb="FF222222"/>
        <rFont val="Arial Narrow"/>
      </rPr>
      <t>Humanities and Social Sciences Communications</t>
    </r>
    <r>
      <rPr>
        <sz val="10"/>
        <color rgb="FF222222"/>
        <rFont val="Arial Narrow"/>
      </rPr>
      <t>, </t>
    </r>
    <r>
      <rPr>
        <i/>
        <sz val="10"/>
        <color rgb="FF222222"/>
        <rFont val="Arial Narrow"/>
      </rPr>
      <t>9</t>
    </r>
    <r>
      <rPr>
        <sz val="10"/>
        <color rgb="FF222222"/>
        <rFont val="Arial Narrow"/>
      </rPr>
      <t>(1), 1-12.</t>
    </r>
  </si>
  <si>
    <t>https://www.nature.com/articles/s41599-022-01253-x</t>
  </si>
  <si>
    <t>Liu, H. (2022). Resource Mining Algorithm and IoT Applications for Career Literacy Oriented Civics Courses. Wireless Communications &amp; Mobile Computing (Online), 2022.</t>
  </si>
  <si>
    <t>https://downloads.hindawi.com/journals/wcmc/2022/2957193.pdf</t>
  </si>
  <si>
    <t>WOS/SCOPUS</t>
  </si>
  <si>
    <r>
      <rPr>
        <sz val="10"/>
        <color rgb="FF222222"/>
        <rFont val="Arial Narrow"/>
      </rPr>
      <t>Li, Y. (2022). Application of Combination forecasting model in aircraft failure rate forcasting. </t>
    </r>
    <r>
      <rPr>
        <i/>
        <sz val="10"/>
        <color rgb="FF222222"/>
        <rFont val="Arial Narrow"/>
      </rPr>
      <t>Computational Intelligence and Neuroscience</t>
    </r>
    <r>
      <rPr>
        <sz val="10"/>
        <color rgb="FF222222"/>
        <rFont val="Arial Narrow"/>
      </rPr>
      <t>, </t>
    </r>
    <r>
      <rPr>
        <i/>
        <sz val="10"/>
        <color rgb="FF222222"/>
        <rFont val="Arial Narrow"/>
      </rPr>
      <t>2</t>
    </r>
    <r>
      <rPr>
        <sz val="10"/>
        <color rgb="FF222222"/>
        <rFont val="Arial Narrow"/>
      </rPr>
      <t>, 3.</t>
    </r>
  </si>
  <si>
    <t>https://www.hindawi.com/journals/cin/2022/6729608/</t>
  </si>
  <si>
    <t>How Culture And Motivation Interact In An International Virtual Project Team</t>
  </si>
  <si>
    <r>
      <rPr>
        <sz val="10"/>
        <color rgb="FF222222"/>
        <rFont val="Arial Narrow"/>
      </rPr>
      <t>Tretjakova, J. (2022). 
KEEPING UP INTERNATIONAL COOPERATION UNDER THE PANDEMIC CIRCUMSTANCES: A CASE STUDY OF AN IMPLEMENTATION OF A NORDPLUS PROJECT “EN MODERN RESA GENOM SVERIGE”. In </t>
    </r>
    <r>
      <rPr>
        <i/>
        <sz val="10"/>
        <color rgb="FF222222"/>
        <rFont val="Arial Narrow"/>
      </rPr>
      <t>INTED2022 Proceedings</t>
    </r>
    <r>
      <rPr>
        <sz val="10"/>
        <color rgb="FF222222"/>
        <rFont val="Arial Narrow"/>
      </rPr>
      <t> (pp. 8554-8558). IATED.</t>
    </r>
  </si>
  <si>
    <t>https://
library.iated.org/view/TRETJAKOVA2022KEE</t>
  </si>
  <si>
    <r>
      <rPr>
        <sz val="10"/>
        <color rgb="FF222222"/>
        <rFont val="Arial Narrow"/>
      </rPr>
      <t>Gu, M., Li Tan, J. H., Amin, M., Mostafiz, M. I., &amp; Yeoh, K. K. (2022). 
Revisiting the moderating role of culture between job characteristics and job satisfaction: a multilevel analysis of 33 countries. </t>
    </r>
    <r>
      <rPr>
        <i/>
        <sz val="10"/>
        <color rgb="FF222222"/>
        <rFont val="Arial Narrow"/>
      </rPr>
      <t>Employee Relations: The International Journal</t>
    </r>
    <r>
      <rPr>
        <sz val="10"/>
        <color rgb="FF222222"/>
        <rFont val="Arial Narrow"/>
      </rPr>
      <t>, </t>
    </r>
    <r>
      <rPr>
        <i/>
        <sz val="10"/>
        <color rgb="FF222222"/>
        <rFont val="Arial Narrow"/>
      </rPr>
      <t>44</t>
    </r>
    <r>
      <rPr>
        <sz val="10"/>
        <color rgb="FF222222"/>
        <rFont val="Arial Narrow"/>
      </rPr>
      <t>(1), 70-93.</t>
    </r>
  </si>
  <si>
    <t>https://www.emerald.com/insight/content/doi/10.1108/ER-03-2020-0099/full/html</t>
  </si>
  <si>
    <t>Levente-Attila Bakos (ULBS), Danut Dunitru Dumitrascu</t>
  </si>
  <si>
    <t>Decentralized Enterprise Risk Management Issues under Rapidly Changing Environments</t>
  </si>
  <si>
    <t>Svenya Korder, Dominik Breuherr, Gunther Reinhart, Towards a Work-Related Turnover Risk Management in Manufacturing SMEs</t>
  </si>
  <si>
    <t>https://openaccess.cms-conferences.org/publications/book/978-1-958651-44-5/article/978-1-958651-44-5_91</t>
  </si>
  <si>
    <t>J.Martino Neto, Valerio Antonio Pamplona Salomon, Multi-criteria Analysis of Disruption Risks for Supply Chains Due to Pandemics, Part of the Understanding Complex Systems book series (UCS)</t>
  </si>
  <si>
    <t>https://link.springer.com/chapter/10.1007/978-3-031-07333-5_7</t>
  </si>
  <si>
    <t xml:space="preserve">Justyna Fijakowska, Dominika Hadro, Risk Information in Non-Financial Disclosure, Journals  Risks  Volume 10  Issue 1  10.3390/risks10010011 </t>
  </si>
  <si>
    <t>https://www.mdpi.com/2227-9091/10/1/11</t>
  </si>
  <si>
    <t>Dobrota, G (Dobrota, Gabriela) [Constantin Brancusi Univ Targu Jiu, Fac Econ, Targu Jiu, Romania] ; Voda, AD (Voda, Alina Daniela) [Lucian Blaga Univ Sibiu, Fac Econ, Sibiu, Romania] ; Dumitrascu, DD (Dumitrascu, Danut Dumitru) [Lucian Blaga Univ Sibiu, Fac Engn, Sibiu, Romania]</t>
  </si>
  <si>
    <t>THE EFFECTS OF FISCAL POLICY SHOCKS ON THE BUSINESS ENVIRONMENT,</t>
  </si>
  <si>
    <t>Juruss, M; Smite-Roke, B and Zeila, A., THE METHOD FOR EVALUATION OF CONSUMPTION TAX REGRESSIVITY,  12th International Scientific Conference on Business and Management, 2022, 12TH INTERNATIONAL SCIENTIFIC CONFERENCE BUSINESS AND MANAGEMENT 2022 , pp.140-146</t>
  </si>
  <si>
    <t>http://bm.vgtu.lt/index.php/verslas/2022/paper/view/842</t>
  </si>
  <si>
    <t>Gabriela Dobrota, Alina Daniela Voda, Danut Dumitru Dumitrascu</t>
  </si>
  <si>
    <t>The effects of fiscal policy shocks on the business environment</t>
  </si>
  <si>
    <t>Neringa Slavinskaite, Giendre Lapunskiene, Roman Hlawiczka, Laszlo Vasa, Financial Innovation Management: Impact of Fiscal Decentralization on Economic Growth of the Baltic Countries</t>
  </si>
  <si>
    <t>https://armgpublishing.com/journals/mmi/volume-13-issue-1/article-19/</t>
  </si>
  <si>
    <t>Alina Daniela Voda, Gabriela Dobrota, Diana-Mihaela Țîrcă, Danut Dumitru Dumitrascu, Dan Dobrota</t>
  </si>
  <si>
    <t>Bhushan Dattusingh Pardeshi, Logistic Regression Analysis for Prediction of Financial Failure: Evidence from Central Public Sector Enterprises in India, Sage Journals</t>
  </si>
  <si>
    <t>Michal Kubenka, Renata Myskova, Implementation of standards into predictors of financial stability, Economic Research- Ekonomska Istrazivanja</t>
  </si>
  <si>
    <t>https://www.tandfonline.com/doi/full/10.1080/1331677X.2022.2053785#metrics-content</t>
  </si>
  <si>
    <t>Susanto, S., Ismoyo, T., Yana, S. C., Rapiadi, R., &amp; Seneru, W. (2022). 
Communication Research Trends in Virtual Project Team: Bibliometric Analysis. Budapest International Research and Critics Institute-Journal (BIRCI-Journal), 5(3).</t>
  </si>
  <si>
    <t>Ybañez, R. S., &amp; Arvin, R. (2022). 
Multi Structures-Scales (MSS) in Project Execution Management (PEM). Open Journal of Business and Management, 10(6), 2959-2973.</t>
  </si>
  <si>
    <t>Li, X., He, J., Huang, Y., Li, J., Liu, X., &amp; Dai, J. (2022). 
Predicting the factors influencing construction enterprises’ adoption of green development behaviors using artificial neural network. Humanities and Social Sciences Communications, 9(1), 1-12.</t>
  </si>
  <si>
    <t>Li, Y. (2022). Application of Combination forecasting model in aircraft failure rate forcasting. Computational Intelligence and Neuroscience, 2, 3.</t>
  </si>
  <si>
    <t>Gu, M., Li Tan, J. H., Amin, M., Mostafiz, M. I., &amp; Yeoh, K. K. (2022). 
Revisiting the moderating role of culture between job characteristics and job satisfaction: a multilevel analysis of 33 countries. Employee Relations: The International Journal, 44(1), 70-93.</t>
  </si>
  <si>
    <t>Tretjakova, J. (2022). 
KEEPING UP INTERNATIONAL COOPERATION UNDER THE PANDEMIC CIRCUMSTANCES: A CASE STUDY OF AN IMPLEMENTATION OF A NORDPLUS PROJECT “EN MODERN RESA GENOM SVERIGE”. In INTED2022 Proceedings (pp. 8554-8558). IATED.</t>
  </si>
  <si>
    <t>Catalina Costache (ULBS), Danut Dumitru Dumitrascu(ULBS), Maniu Ionela (ULBS)</t>
  </si>
  <si>
    <t>Facilitators of and Barriers to Sustainable Development in Small and Medium-Sized Enterprises: A Descriptive Exploratory Study in Romania</t>
  </si>
  <si>
    <t>Darwina Arshad, Said Yousef Dwikat, Mohd Noor Mohd Shariff, The Influence of Systematic Strategic Planning and Strategic Business Innovation on the Sustainable Performance of Manufacturing SMEs: The Case of Palestine, Sustainability 14(20):13388
DOI: 10.3390/su142013388</t>
  </si>
  <si>
    <t>https://www.mdpi.com/2071-1050/14/20/13388</t>
  </si>
  <si>
    <t>Arien Arianti Gunawan, Jose Bloemer, Allard C. R. van Riel, Caroline Essers, Institutional Barriers and Facilitators of Sustainability for Indonesian Batik SMEs: A Policy Agenda, Sustainability 14(14):8772
DOI: 10.3390/su14148772</t>
  </si>
  <si>
    <t>https://www.mdpi.com/2071-1050/14/14/8772</t>
  </si>
  <si>
    <t>Lucian Ionel Cioca, Circular Economy and Efficient Use of Resources, Published: January 2022 Pages: 126, ISBN 978-3-0365-2994-3 (hardback); ISBN 978-3-0365-2995-0 (PDF), https://doi.org/10.3390/books978-3-0365-2995-0, Processes, mdpi books</t>
  </si>
  <si>
    <t>https://www.mdpi.com/books/book/4858</t>
  </si>
  <si>
    <t>Costache, C (Costache, Catalina) [1] ; Dumitrascu, DD (Dumitrascu, Danut-Dumitru) [2] ; Maniu, I (Maniu, Ionela) [3]</t>
  </si>
  <si>
    <t>Facilitators of and Barriers to Sustainable Development in Small and Medium-Sized Enterprises: A Descriptive, Exploratory Study in Romania</t>
  </si>
  <si>
    <t xml:space="preserve">Martinez, CIP and Poveda, AC. Strategies to improve sustainability: an analysis of 120 microenterprises in an emerging economy, Feb 28 2022, GLOBAL SUSTAINABILITY </t>
  </si>
  <si>
    <t>https://www.cambridge.org/core/journals/global-sustainability/article/strategies-to-improve-sustainability-an-analysis-of-120-microenterprises-in-an-emerging-economy/8271778F3CDF695F13B2D5B2AD1895E2</t>
  </si>
  <si>
    <t>Maniu, I (Maniu, Ionela) [Lucian Blaga Univ Sibiu, Fac Sci, Res Ctr Informat &amp; Informat Technol, Dept Math &amp; Informat, Sibiu 550010, Romania] ; Costache, C (Costache, Catalina) [Lucian Blaga Univ Sibiu, Fac Econ Sci, Sibiu 550010, Romania] ; Dumitrascu, DD (Dumitrascu, Danut-Dumitru) [Lucian Blaga Univ Sibiu, Fac Engn, Res Ctr Sustainable Prod &amp; Proc, Sibiu 550025, Romania]</t>
  </si>
  <si>
    <t>Adoption of Green Environmental Practices in Small and Medium-Sized Enterprises: Entrepreneur and Business Policies Patterns in Romania</t>
  </si>
  <si>
    <t>Ziolo, M; Brodka, P; (...); Jankowski, J., Modeling the impact of external influence on green behaviour spreading in multilayer financial networks, 9th IEEE International Conference on Data Science and Advanced Analytics (DSAA) 2022 IEEE 9TH INTERNATIONAL CONFERENCE ON DATA SCIENCE AND ADVANCED ANALYTICS (DSAA) , pp.721-730</t>
  </si>
  <si>
    <t>https://doi.org/10.48550/arXiv.2210.10420; https://151136a1d-y-https-ieeexplore-ieee-org.z.e-nformation.ro/document/10032397/</t>
  </si>
  <si>
    <t>Vrinceanu, N (Vrinceanu, Narcisa) [Lucian Blaga Univ Sibiu, Fac Engn, Sibiu, Romania] ; Guignard, MI (Guignard, Mirela Iorgoaiea) [Gheorghe Asachi Tech Univ Iasi, Iasi, Romania] ; Campagne, C (Campagne, Christine) [Univ Lille Nord France, Roubaix, France] , [Ensait, Gemtex, Roubaix, France] ; Giraud, S (Giraud, Stephane) [ENSAIT, Lab Genie Mat Text GEMTEX, Roubaix, France] ; Prepelita, RI (Prepelita, Raluca Ioana) [Univ Med &amp; Pharm Iasi, Fac Med, Iasi, Romania] ; Coman, D (Coman, Diana) [Lucian Blaga Univ Sibiu, Fac Engn, Sibiu, Romania] ; Petrescu, VD (Petrescu, Valentin Dan) [Lucian Blaga Univ Sibiu, Fac Engn, Sibiu, Romania] ; Dumitrascu, DD (Dumitrascu, Dan Dumitru) [Lucian Blaga Univ Sibiu, Fac Engn, Sibiu, Romania] ; Ouerfelli, N (Ouerfelli, Noureddine) [Imam Abdulrahman Alfaisal Univ, Coll Sci, Dammam, Saudi Arabia
8 Univ Tunis El Manar, Inst Super Technol Med Tunis, Zouhaier Essafi Tunis, Tunisia] ; Suchea, MP (Suchea, Mirela Petruta) [Ctr Mat Technol &amp; Laser, Sch Elect Engn, Iraklion, Greece
10 Natl Inst Res &amp; Dev Microtechnol IMT Bucharest, Bucharest, Romania]</t>
  </si>
  <si>
    <t>Correlation Between Surface Engineering and Deformation Response of Some Natural Polymer Fibrous Systems</t>
  </si>
  <si>
    <t xml:space="preserve">Elaissi, A; Ghith, A; (...); Legrand, XStudy of the mechanical, chemical, and surface behaviors of non-woven abrasive made from waste chemically modified tow fibers, JOURNAL OF INDUSTRIAL TEXTILES 52 Jul-dec 2022 </t>
  </si>
  <si>
    <t>https://1510p6a25-y-https-journals-sagepub-com.z.e-nformation.ro/doi/10.1177/15280837221126191</t>
  </si>
  <si>
    <t>Postolache, P (Postolache, Paraschiva) [Univ Med &amp; Pharm, Grigore T Popa Med Dept, Iasi, Romania] ; Petrescu, V (Petrescu, Valentin) [L Blaga Univ Sibiu, Dept Ind Machines &amp; Equipments, Fac Engn, 2-4 Emil Cioran St, Sibiu 550024, Romania] ; Dumitrascu, DD (Dumitrascu, Dan Dumitru) [L Blaga Univ Sibiu, Dept Ind Machines &amp; Equipments, Fac Engn, 2-4 Emil Cioran St, Sibiu 550024, Romania] ; Rimbu, C (Rimbu, Cristina) [on Ionescu Brad Univ Agr Sci &amp; Vet Med Iasi, Dept Publ Hlth, Fac Vet Med, Iasi, Romania] ; Vrinceanu, N (Vrinceanu, Narcisa) [L Blaga Univ Sibiu, Dept Ind Machines &amp; Equipments, Fac Engn, 2-4 Emil Cioran St, Sibiu 550024, Romania]; Cipaian, CR (Cipaian, Calin Remus) [L Blaga Univ Sibiu]</t>
  </si>
  <si>
    <t xml:space="preserve">Research Regarding a Correlation Core-Shell Morphology-Thermal Stability of Silica-Silver Nanoparticles, </t>
  </si>
  <si>
    <t>Gemenetzi, A; Moularas, C; (...); Louloudi, M., Reversible Plasmonic Switch in a Molecular Oxidation Catalysis Process, Aug 19 2022, ACS CATALYSIS 12 (16) , pp.9908-9921</t>
  </si>
  <si>
    <t>https://pubs.acs.org/doi/10.1021/acscatal.2c02287</t>
  </si>
  <si>
    <t>Fleischer Wiegand Helmut (ULBS)</t>
  </si>
  <si>
    <t>The Impact of COVID-19 Pandemic on the Romanian Economy in the Year 2020</t>
  </si>
  <si>
    <t>Rusu R., The Impact of the COVID-19 Pandemic on Tourism in Romania in 2020 with Special Regard on Marginal Rural Areas, COVID-19 and Marginalisation of People and Places. Perspectives on Geographical Marginality, vol 7., Springer</t>
  </si>
  <si>
    <t>https://link.springer.com/chapter/10.1007/978-3-031-11139-6_12</t>
  </si>
  <si>
    <t>Fleischer Wiegand</t>
  </si>
  <si>
    <t>Grecu, V (ULBS); Ciobotea, RIG (ULBS) and Florea, A (ULBS)</t>
  </si>
  <si>
    <t>Software Application for Organizational Sustainability Performance Assessment</t>
  </si>
  <si>
    <r>
      <rPr>
        <sz val="11"/>
        <color theme="1"/>
        <rFont val="Calibri"/>
      </rPr>
      <t xml:space="preserve">Bartkowiak, G., Krugielka, A., Kostrzewa-Demczuk, P., Dachowski, R., &amp; Galek-Bracha, K. (2022). Experiencing Stress among Different Professional Groups in the Context of Their Age. In </t>
    </r>
    <r>
      <rPr>
        <i/>
        <sz val="11"/>
        <color theme="1"/>
        <rFont val="Calibri"/>
      </rPr>
      <t>INTERNATIONAL JOURNAL OF ENVIRONMENTAL RESEARCH AND PUBLIC HEALTH</t>
    </r>
    <r>
      <rPr>
        <sz val="11"/>
        <color theme="1"/>
        <rFont val="Calibri"/>
      </rPr>
      <t xml:space="preserve"> (Vol. 19, Issue 2). MDPI. https://doi.org/10.3390/ijerph19020622</t>
    </r>
  </si>
  <si>
    <t xml:space="preserve">https://1510q6ck8-y-https-www-webofscience-com.z.e-nformation.ro/wos/woscc/full-record/WOS:000749905300001 </t>
  </si>
  <si>
    <t xml:space="preserve">Dvarioniene Jolanta, GRECU Valentin (ULBS), Lai Sabrina, Scorza Francesco </t>
  </si>
  <si>
    <t>Four Perspectives of Applied Sustainability: Research Implications and Possible Integrations</t>
  </si>
  <si>
    <r>
      <rPr>
        <sz val="11"/>
        <color theme="1"/>
        <rFont val="Calibri"/>
      </rPr>
      <t xml:space="preserve">Gatto, R., Santopietro, L., &amp; Scorza, F. (2022). Tourism and Abandoned Inland Areas Development Demand: A Critical Appraisal. In O. Gervasi, B. Murgante, S. Misra, A. Rocha, &amp; C. Garau (Eds.), </t>
    </r>
    <r>
      <rPr>
        <i/>
        <sz val="11"/>
        <color theme="1"/>
        <rFont val="Calibri"/>
      </rPr>
      <t>COMPUTATIONAL SCIENCE AND ITS APPLICATIONS, ICCSA 2022 WORKSHOPS, PT VI</t>
    </r>
    <r>
      <rPr>
        <sz val="11"/>
        <color theme="1"/>
        <rFont val="Calibri"/>
      </rPr>
      <t xml:space="preserve"> (Vol. 13382, pp. 40–47). SPRINGER INTERNATIONAL PUBLISHING AG. https://doi.org/10.1007/978-3-031-10592-0_4</t>
    </r>
  </si>
  <si>
    <t>https://1510q6ck8-y-https-www-webofscience-com.z.e-nformation.ro/wos/woscc/full-record/WOS:000916142000004</t>
  </si>
  <si>
    <r>
      <rPr>
        <sz val="11"/>
        <color theme="1"/>
        <rFont val="Calibri"/>
      </rPr>
      <t xml:space="preserve">Huy, P. Q., &amp; Phuc, V. K. (2022). Insight into the Critical Success Factors of Performance-Based Budgeting Implementation in the Public Sector for Sustainable Development in the COVID-19 Pandemic. In </t>
    </r>
    <r>
      <rPr>
        <i/>
        <sz val="11"/>
        <color theme="1"/>
        <rFont val="Calibri"/>
      </rPr>
      <t>SUSTAINABILITY</t>
    </r>
    <r>
      <rPr>
        <sz val="11"/>
        <color theme="1"/>
        <rFont val="Calibri"/>
      </rPr>
      <t xml:space="preserve"> (Vol. 14, Issue 20). MDPI. https://doi.org/10.3390/su142013198</t>
    </r>
  </si>
  <si>
    <t>https://1510q6ck8-y-https-www-webofscience-com.z.e-nformation.ro/wos/woscc/full-record/WOS:000873468800001</t>
  </si>
  <si>
    <r>
      <rPr>
        <sz val="11"/>
        <color theme="1"/>
        <rFont val="Calibri"/>
      </rPr>
      <t xml:space="preserve">Kalogiannidis, S., Loizou, E., Melfou, K., &amp; Papaevangelou, O. (2022). Assessing Relationship Between Entrepreneurship Education and Business Growth. In P. Sklias, P. Polychronidou, A. Karasavvoglou, V. Pistikou, &amp; N. Apostolopoulos (Eds.), </t>
    </r>
    <r>
      <rPr>
        <i/>
        <sz val="11"/>
        <color theme="1"/>
        <rFont val="Calibri"/>
      </rPr>
      <t>BUSINESS DEVELOPMENT AND ECONOMIC GOVERNANCE IN SOUTHEASTERN EUROPE</t>
    </r>
    <r>
      <rPr>
        <sz val="11"/>
        <color theme="1"/>
        <rFont val="Calibri"/>
      </rPr>
      <t xml:space="preserve"> (pp. 183–194). SPRINGER INTERNATIONAL PUBLISHING AG. https://doi.org/10.1007/978-3-031-05351-1_10</t>
    </r>
  </si>
  <si>
    <r>
      <rPr>
        <sz val="11"/>
        <color theme="1"/>
        <rFont val="Calibri"/>
      </rPr>
      <t xml:space="preserve">Lubbe, I., &amp; Svensson, G. (2022). Work Integrated Learning (WIL) model—A win-win process between university, postgraduate business students and industry. In </t>
    </r>
    <r>
      <rPr>
        <i/>
        <sz val="11"/>
        <color theme="1"/>
        <rFont val="Calibri"/>
      </rPr>
      <t>INDEPENDENT JOURNAL OF TEACHING AND LEARNING</t>
    </r>
    <r>
      <rPr>
        <sz val="11"/>
        <color theme="1"/>
        <rFont val="Calibri"/>
      </rPr>
      <t xml:space="preserve"> (Vol. 17, Issue 1, pp. 39–59). INDEPENDENT INST EDUCATION-IIE.</t>
    </r>
  </si>
  <si>
    <r>
      <rPr>
        <sz val="11"/>
        <color theme="1"/>
        <rFont val="Calibri"/>
      </rPr>
      <t xml:space="preserve">Mengistu, A. T., &amp; Panizzolo, R. (2023). Analysis of indicators used for measuring industrial sustainability: A systematic review. In </t>
    </r>
    <r>
      <rPr>
        <i/>
        <sz val="11"/>
        <color theme="1"/>
        <rFont val="Calibri"/>
      </rPr>
      <t>ENVIRONMENT DEVELOPMENT AND SUSTAINABILITY</t>
    </r>
    <r>
      <rPr>
        <sz val="11"/>
        <color theme="1"/>
        <rFont val="Calibri"/>
      </rPr>
      <t xml:space="preserve"> (Vol. 25, Issue 3, pp. 1979–2005). SPRINGER. https://doi.org/10.1007/s10668-021-02053-0</t>
    </r>
  </si>
  <si>
    <t>https://1510q6ck8-y-https-www-webofscience-com.z.e-nformation.ro/wos/woscc/full-record/WOS:000746780200001</t>
  </si>
  <si>
    <r>
      <rPr>
        <sz val="11"/>
        <color theme="1"/>
        <rFont val="Calibri"/>
      </rPr>
      <t xml:space="preserve">Stefanachi, B., Grecu, S.-P., &amp; Chiriac, H. C. (2022). Mapping Sustainability across the World: Signs, Challenges and Opportunities for Democratic Countries. In </t>
    </r>
    <r>
      <rPr>
        <i/>
        <sz val="11"/>
        <color theme="1"/>
        <rFont val="Calibri"/>
      </rPr>
      <t>SUSTAINABILITY</t>
    </r>
    <r>
      <rPr>
        <sz val="11"/>
        <color theme="1"/>
        <rFont val="Calibri"/>
      </rPr>
      <t xml:space="preserve"> (Vol. 14, Issue 9). MDPI. https://doi.org/10.3390/su14095659</t>
    </r>
  </si>
  <si>
    <t>https://1510q6ck8-y-https-www-webofscience-com.z.e-nformation.ro/wos/woscc/full-record/WOS:000795438500001</t>
  </si>
  <si>
    <t>Avrigean, E. (ULBS), Grecu, V. (ULBS)</t>
  </si>
  <si>
    <t>Market research regarding problems in using polyethylene pipe and fittings</t>
  </si>
  <si>
    <r>
      <rPr>
        <sz val="11"/>
        <color theme="1"/>
        <rFont val="Calibri"/>
      </rPr>
      <t>Zhang, Y., Kentish, S., &amp; Scholes, C. A. (2022). Compatibility of High-Density Polyethylene Piping and Associated Elastomers with the Renewable Fuels Ammonia and Dimethyl Ether. </t>
    </r>
    <r>
      <rPr>
        <i/>
        <sz val="8"/>
        <color rgb="FF222222"/>
        <rFont val="Arial"/>
      </rPr>
      <t>Energy &amp; Fuels</t>
    </r>
    <r>
      <rPr>
        <sz val="8"/>
        <color rgb="FF222222"/>
        <rFont val="Arial"/>
      </rPr>
      <t>, </t>
    </r>
    <r>
      <rPr>
        <i/>
        <sz val="8"/>
        <color rgb="FF222222"/>
        <rFont val="Arial"/>
      </rPr>
      <t>36</t>
    </r>
    <r>
      <rPr>
        <sz val="8"/>
        <color rgb="FF222222"/>
        <rFont val="Arial"/>
      </rPr>
      <t>(23), 14500-14511.</t>
    </r>
  </si>
  <si>
    <t>https://151096iy2-y-https-www-scopus-com.z.e-nformation.ro/record/display.uri?eid=2-s2.0-85142480669&amp;origin=resultslist&amp;sort=plf-f&amp;src=s&amp;citedAuthorId=57213110009&amp;imp=t&amp;sid=3062c12352c7a198fe4d52c65c661a1d&amp;sot=cite&amp;sdt=cite&amp;cluster=scopubyr%2c%222022%22%2ct&amp;sl=0&amp;relpos=0&amp;citeCnt=0&amp;searchTerm=#top</t>
  </si>
  <si>
    <t>Ahmad, R., Hussain, A., &amp; Baharom, F. (2022, November). A new approach in developing a software sustainability assessment model. In AIP Conference Proceedings (Vol. 2644, No. 1, p. 030035). AIP Publishing LLC.</t>
  </si>
  <si>
    <t>https://aip.scitation.org/doi/abs/10.1063/5.0104474</t>
  </si>
  <si>
    <r>
      <rPr>
        <sz val="8"/>
        <color rgb="FF222222"/>
        <rFont val="Arial"/>
      </rPr>
      <t>Zhang, Y., Abdellah, M. H., Kentish, S., &amp; Scholes, C. A. (2022). The compatibility of high‐density polyethylene piping and elastomers with the future fuel methanol. </t>
    </r>
    <r>
      <rPr>
        <i/>
        <sz val="8"/>
        <color rgb="FF222222"/>
        <rFont val="Arial"/>
      </rPr>
      <t>International Journal of Energy Research</t>
    </r>
    <r>
      <rPr>
        <sz val="8"/>
        <color rgb="FF222222"/>
        <rFont val="Arial"/>
      </rPr>
      <t>, </t>
    </r>
    <r>
      <rPr>
        <i/>
        <sz val="8"/>
        <color rgb="FF222222"/>
        <rFont val="Arial"/>
      </rPr>
      <t>46</t>
    </r>
    <r>
      <rPr>
        <sz val="8"/>
        <color rgb="FF222222"/>
        <rFont val="Arial"/>
      </rPr>
      <t>(6), 8376-8388.</t>
    </r>
  </si>
  <si>
    <t>https://onlinelibrary.wiley.com/doi/abs/10.1002/er.7739</t>
  </si>
  <si>
    <r>
      <rPr>
        <sz val="8"/>
        <color rgb="FF222222"/>
        <rFont val="Arial"/>
      </rPr>
      <t>Garzón, N. R., &amp; Lozano, M. R. (2022). Organizational Sustainability: An Index From Macroeconomic Variables. In </t>
    </r>
    <r>
      <rPr>
        <i/>
        <sz val="8"/>
        <color rgb="FF222222"/>
        <rFont val="Arial"/>
      </rPr>
      <t>Handbook of Research on Organizational Sustainability in Turbulent Economies</t>
    </r>
    <r>
      <rPr>
        <sz val="8"/>
        <color rgb="FF222222"/>
        <rFont val="Arial"/>
      </rPr>
      <t> (pp. 94-110). IGI Global.</t>
    </r>
  </si>
  <si>
    <t>https://www.igi-global.com/chapter/organizational-sustainability/301030</t>
  </si>
  <si>
    <r>
      <rPr>
        <sz val="8"/>
        <color rgb="FF222222"/>
        <rFont val="Arial"/>
      </rPr>
      <t>Ahmad, R. (2022, November). Software Sustainability Practices and Awareness Amongst Software Practitioners in Malaysia: An Exploratory Study. In </t>
    </r>
    <r>
      <rPr>
        <i/>
        <sz val="8"/>
        <color rgb="FF222222"/>
        <rFont val="Arial"/>
      </rPr>
      <t>2022 2nd International Conference on Electronic and Electrical Engineering and Intelligent System (ICE3IS)</t>
    </r>
    <r>
      <rPr>
        <sz val="8"/>
        <color rgb="FF222222"/>
        <rFont val="Arial"/>
      </rPr>
      <t> (pp. 192-197). IEEE.</t>
    </r>
  </si>
  <si>
    <t>https://ieeexplore.ieee.org/abstract/document/10010195/</t>
  </si>
  <si>
    <t>Murgante, B., Scorza, F., Fortunato, G., &amp; Dastoli, P. (2022). A place syntax approach to fifteen minutes cities. Paper presented at the Proceedings 13th International Space Syntax Symposium, SSS 2022, Retrieved from www.scopus.com</t>
  </si>
  <si>
    <t>https://www.hvl.no/globalassets/hvl-internett/arrangement/2022/13sss/550murgante.pdf</t>
  </si>
  <si>
    <t>Scorza, F., Grecu, V. (ULBS)</t>
  </si>
  <si>
    <t>Assessing sustainability: Research directions and relevant issues</t>
  </si>
  <si>
    <t>Grecu, V. (ULBS), Deneş, C. (ULBS), Ipiña, N.</t>
  </si>
  <si>
    <t>Creative teaching methods for educating engineers</t>
  </si>
  <si>
    <t>Velasco, N., Karen, C., Morales, M., &amp; Mendoza, D. (2022, September). Interactive mockup to calculate arc length using integrals. In Journal of Physics: Conference Series (Vol. 2346, No. 1, p. 012005). IOP Publishing.</t>
  </si>
  <si>
    <t>https://iopscience.iop.org/article/10.1088/1742-6596/2346/1/012005/meta</t>
  </si>
  <si>
    <r>
      <rPr>
        <sz val="11"/>
        <color theme="1"/>
        <rFont val="Calibri"/>
      </rPr>
      <t xml:space="preserve">Kalogiannidis, S., Loizou, E., Melfou, K., &amp; Papaevangelou, O. (2022). Assessing Relationship Between Entrepreneurship Education and Business Growth. In P. Sklias, P. Polychronidou, A. Karasavvoglou, V. Pistikou, &amp; N. Apostolopoulos (Eds.), </t>
    </r>
    <r>
      <rPr>
        <i/>
        <sz val="11"/>
        <color theme="1"/>
        <rFont val="Calibri"/>
      </rPr>
      <t>BUSINESS DEVELOPMENT AND ECONOMIC GOVERNANCE IN SOUTHEASTERN EUROPE</t>
    </r>
    <r>
      <rPr>
        <sz val="11"/>
        <color theme="1"/>
        <rFont val="Calibri"/>
      </rPr>
      <t xml:space="preserve"> (pp. 183–194). SPRINGER INTERNATIONAL PUBLISHING AG. https://doi.org/10.1007/978-3-031-05351-1_10</t>
    </r>
  </si>
  <si>
    <r>
      <rPr>
        <sz val="11"/>
        <color theme="1"/>
        <rFont val="Calibri"/>
      </rPr>
      <t xml:space="preserve">Huy, P. Q., &amp; Phuc, V. K. (2022). Insight into the Critical Success Factors of Performance-Based Budgeting Implementation in the Public Sector for Sustainable Development in the COVID-19 Pandemic. In </t>
    </r>
    <r>
      <rPr>
        <i/>
        <sz val="11"/>
        <color theme="1"/>
        <rFont val="Calibri"/>
      </rPr>
      <t>SUSTAINABILITY</t>
    </r>
    <r>
      <rPr>
        <sz val="11"/>
        <color theme="1"/>
        <rFont val="Calibri"/>
      </rPr>
      <t xml:space="preserve"> (Vol. 14, Issue 20). MDPI. https://doi.org/10.3390/su142013198</t>
    </r>
  </si>
  <si>
    <t>Scorza, F., Santopietro, L., Corrado, S., Dastoli, P. S., Santarsiero, V., Gatto, R., &amp; Murgante, B. (2022). Training for territorial sustainable development design in basilicata remote areas: GEODESIGN workshop doi:10.1007/978-3-031-10545-6_17 Retrieved from www.scopus.com</t>
  </si>
  <si>
    <t>https://151096iy2-y-https-www-scopus-com.z.e-nformation.ro/record/display.uri?eid=2-s2.0-85135922424&amp;origin=resultslist&amp;sort=plf-f&amp;src=s&amp;citedAuthorId=57213110009&amp;imp=t&amp;sid=3062c12352c7a198fe4d52c65c661a1d&amp;sot=cite&amp;sdt=cite&amp;cluster=scopubyr%2c%222022%22%2ct&amp;sl=0&amp;relpos=11&amp;citeCnt=0&amp;searchTerm=</t>
  </si>
  <si>
    <r>
      <rPr>
        <sz val="11"/>
        <color theme="1"/>
        <rFont val="Calibri"/>
      </rPr>
      <t xml:space="preserve">Gatto, R., Santopietro, L., &amp; Scorza, F. (2022). Tourism and Abandoned Inland Areas Development Demand: A Critical Appraisal. In O. Gervasi, B. Murgante, S. Misra, A. Rocha, &amp; C. Garau (Eds.), </t>
    </r>
    <r>
      <rPr>
        <i/>
        <sz val="11"/>
        <color theme="1"/>
        <rFont val="Calibri"/>
      </rPr>
      <t>COMPUTATIONAL SCIENCE AND ITS APPLICATIONS, ICCSA 2022 WORKSHOPS, PT VI</t>
    </r>
    <r>
      <rPr>
        <sz val="11"/>
        <color theme="1"/>
        <rFont val="Calibri"/>
      </rPr>
      <t xml:space="preserve"> (Vol. 13382, pp. 40–47). SPRINGER INTERNATIONAL PUBLISHING AG. https://doi.org/10.1007/978-3-031-10592-0_4</t>
    </r>
  </si>
  <si>
    <t>Petruse, R.E., Grecu, V., Chiliban, B.M.</t>
  </si>
  <si>
    <t xml:space="preserve">Augmented reality applications in the transition towards the sustainable organization </t>
  </si>
  <si>
    <r>
      <rPr>
        <sz val="8"/>
        <color rgb="FF222222"/>
        <rFont val="Arial"/>
      </rPr>
      <t>Bulková, Z., Dedík, M., Gašparík, J., Kurenkov, P. V., &amp; Pečený, L. (2022). Augmented Reality as a Tool in a Train Set Processing Technology. </t>
    </r>
    <r>
      <rPr>
        <i/>
        <sz val="8"/>
        <color rgb="FF222222"/>
        <rFont val="Arial"/>
      </rPr>
      <t>LOGI–Scientific Journal on Transport and Logistics</t>
    </r>
    <r>
      <rPr>
        <sz val="8"/>
        <color rgb="FF222222"/>
        <rFont val="Arial"/>
      </rPr>
      <t>, </t>
    </r>
    <r>
      <rPr>
        <i/>
        <sz val="8"/>
        <color rgb="FF222222"/>
        <rFont val="Arial"/>
      </rPr>
      <t>13</t>
    </r>
    <r>
      <rPr>
        <sz val="8"/>
        <color rgb="FF222222"/>
        <rFont val="Arial"/>
      </rPr>
      <t>(1), 108-118.</t>
    </r>
  </si>
  <si>
    <t>https://sciendo.com/article/10.2478/logi-2022-0010</t>
  </si>
  <si>
    <r>
      <rPr>
        <sz val="8"/>
        <color rgb="FF222222"/>
        <rFont val="Arial"/>
      </rPr>
      <t>Szczekala, Ł., &amp; Stadnicka, D. (2022). Knowledge management as a sustainable development supporting method in manufacturing organizations–a systematic literature review. In </t>
    </r>
    <r>
      <rPr>
        <i/>
        <sz val="8"/>
        <color rgb="FF222222"/>
        <rFont val="Arial"/>
      </rPr>
      <t>Global Congress on Manufacturing and Management</t>
    </r>
    <r>
      <rPr>
        <sz val="8"/>
        <color rgb="FF222222"/>
        <rFont val="Arial"/>
      </rPr>
      <t> (pp. 431-459). Springer, Cham.</t>
    </r>
  </si>
  <si>
    <t>https://link.springer.com/chapter/10.1007/978-3-030-90532-3_34</t>
  </si>
  <si>
    <r>
      <rPr>
        <sz val="11"/>
        <color theme="1"/>
        <rFont val="Calibri"/>
      </rPr>
      <t xml:space="preserve">Bartkowiak, G., Krugielka, A., Kostrzewa-Demczuk, P., Dachowski, R., &amp; Galek-Bracha, K. (2022). Experiencing Stress among Different Professional Groups in the Context of Their Age. In </t>
    </r>
    <r>
      <rPr>
        <i/>
        <sz val="11"/>
        <color theme="1"/>
        <rFont val="Calibri"/>
      </rPr>
      <t>INTERNATIONAL JOURNAL OF ENVIRONMENTAL RESEARCH AND PUBLIC HEALTH</t>
    </r>
    <r>
      <rPr>
        <sz val="11"/>
        <color theme="1"/>
        <rFont val="Calibri"/>
      </rPr>
      <t xml:space="preserve"> (Vol. 19, Issue 2). MDPI. https://doi.org/10.3390/ijerph19020622</t>
    </r>
  </si>
  <si>
    <t>Borza S., Inta M., Serbu R., Marza B</t>
  </si>
  <si>
    <t xml:space="preserve">Multi-criteria analysis of pollution caused by auto traffic in a geographical area limited to applicability for an eco-economy environment
</t>
  </si>
  <si>
    <t xml:space="preserve">Kiseľáková, D., Šofranková, B., Širá, E., Fedorčíková, R. ASSESSMENT OF THE DIGITAL ECONOMY'S LEVEL AMONG THE EU COUNTRIES – AN EMPIRICAL STUDY | [OCENA POZIOMU GOSPODARKI CYFROWEJ W KRAJACH UE – BADANIE EMPIRYCZNE] </t>
  </si>
  <si>
    <t>https://www.webofscience.com/wos/woscc/full-record/WOS:000965662400007         Polish Journal of Management Studies 2022; 26 (1): 107-124</t>
  </si>
  <si>
    <t>Inta Marinela</t>
  </si>
  <si>
    <t>Bhat, M.A., Gaga, E.O., Özkan, A.. A New Approach Within AHP Framework for Prioritization of Air Quality Management in Kashmir  (  Book Chapter)</t>
  </si>
  <si>
    <t>https://www.scopus.com/results/citedbyresults.uri?sort=plf-f&amp;cite=2-s2.0-85056704502&amp;src=s&amp;imp=t&amp;sid=af52bd8dd086aa3701fe2f78d1e0379d&amp;sot=cite&amp;sdt=a&amp;sl=0&amp;origin=resultslist&amp;editSaveSearch=&amp;txGid=83d14c67f8e9112725c845f713c0b92e</t>
  </si>
  <si>
    <t>Muntean, A. Inta, M. (ULBS</t>
  </si>
  <si>
    <t>Researches regarding introducing temperature as a factor in cutting tool wear monitoring</t>
  </si>
  <si>
    <t>B. D. Deebak, Fadi Al-Turjman. Digital-twin assisted: Fault diagnosis using deep transfer learning for machining tool condition</t>
  </si>
  <si>
    <t>https://www.webofscience.com/wos/woscc/full-record/WOS:000655194000001</t>
  </si>
  <si>
    <t>The Post-COVID-19 Era, Fourth Industrial Revolution, and New Globalization: Restructured Labor Relations and Organizational Adaptation (Koutroukis, T; Chatzinikolaou, D; Vlados, C; Pistikou, V), SOCIETIES</t>
  </si>
  <si>
    <t xml:space="preserve">https://1510q2wtr-y-https-www-webofscience-com.z.e-nformation.ro/wos/woscc/full-record/WOS:000902525300001 </t>
  </si>
  <si>
    <t>Kifor, CV (ULBS); Teodorescu, D (Clark Atlanta Univ) ; Andrei, T (ASE); Savescu, R (ULBS)</t>
  </si>
  <si>
    <t>Research Production and International Visibility in Higher Education: The Evolution of Romanian Universities from 2011 to 2019</t>
  </si>
  <si>
    <t>Anatomy of Research Performance from a Bottom-Up Approach: Examination of Researchers' Perspectiv (Manasia, L; Popa, D and Ianos, G), SUSTAINABILITY</t>
  </si>
  <si>
    <t>https://1510q2wtr-y-https-www-webofscience-com.z.e-nformation.ro/wos/woscc/full-record/WOS:000771018900001</t>
  </si>
  <si>
    <t>Kifor, CV (ULBS); Nicolaescu, SS (ULBS); Florea, A (ULBS); Savescu, RF (ULBS); Receu, I (ULBS); Tirlea, AV (ULBS); Danut, RE (ULBS).</t>
  </si>
  <si>
    <t>Workforce Analytics in Teleworking</t>
  </si>
  <si>
    <t>A Broadband 10-43-GHz High-Gain LNA MMIC Using Coupled-Line Feedback in 0.15-mu m GaAs pHEMT Technology (Yan, X (Yan, Xu) [1] ; Yu, PY (Yu, Pengyu) [1] ; Zhang, JY (Zhang, Jingyuan) [1] , [2] ; Gao, SP (Gao, Si-Ping) [1] ; Guo, YX (Guo, Yongxin) [1] , [2]), IEEE MICROWAVE AND WIRELESS COMPONENTS LETTERS</t>
  </si>
  <si>
    <t>https://1510q2wtr-y-https-www-webofscience-com.z.e-nformation.ro/wos/woscc/full-record/WOS:000833048200001</t>
  </si>
  <si>
    <t>Nicolaescu, S. (ULBS) ; Florea, A (ULBS) ; Kifor, CV; Fiore, U (Parthenope Univ, Dept Management &amp; Quantitat Studies, I-80132 Naples, Italy); Cocan, N (ULBS) ; Receu, I (ULBS) ; Zanetti, P (Parthenope Univ, Dept Management &amp; Quantitat Studies, I-80132 Naples, Italy))</t>
  </si>
  <si>
    <t>Human capital evaluation in knowledge-based organizations based on big data analytics</t>
  </si>
  <si>
    <t xml:space="preserve">  Development and Validation of ESI iDART Instrument Measuring Organizational Values: An Empirical Study in Malaysia, Hitam, M; (...); Mohd Sanusi, Z
</t>
  </si>
  <si>
    <t>https://1510q6cj3-y-https-www-webofscience-com.z.e-nformation.ro/wos/woscc/summary/fe30fcf8-fc0a-437f-bdda-fc155eb6ed5f-92a50ab1/date-descending/1</t>
  </si>
  <si>
    <t xml:space="preserve">Performance measurement and evaluation: applying return on investment (ROI) to human capital investments
Dadd, D and Hinton, M
Jun 2022  
</t>
  </si>
  <si>
    <t xml:space="preserve">The use of spatial data mining methods for modeling HR challenges of generation Z in greater Poland Region, Graczyk-Kucharska, M; Olszewski, R and Weber, GW, Jun 2022 </t>
  </si>
  <si>
    <t xml:space="preserve">
Human resources analytics: A systematization of research topics and directions for future research, Margherita, A
Jun 2022 
</t>
  </si>
  <si>
    <t>HUMAN RESOURCES OPTIMIZATION WITH MARS AND ANN: INNOVATION GEOLOCATION MODEL FOR GENERATION Z
Open Access
Graczyk-Kucharska, M., Olszewski, R., Golinski, M., (...), Weber, G.W., Miadowicz, M.	2022	Journal of Industrial and Management Optimization
18(6), pp. 4093-4110</t>
  </si>
  <si>
    <t>https://151096clp-y-https-www-scopus-com.z.e-nformation.ro/results/citedbyresults.uri?sort=plf-f&amp;refeid=2-s2.0-85073054173&amp;src=s&amp;imp=t&amp;sid=70c42bd19fcab7a28ddab2b5b6cb3c45&amp;sot=ctocbw&amp;sdt=a&amp;sl=15&amp;s=PUBYEAR+IS+2022&amp;origin=cto&amp;citeCnt=3_DELIM_3_DELIM_CTODS_1655447282_DELIM_1&amp;txGid=bf1f989e57fa6cbe742db990ef3ce920</t>
  </si>
  <si>
    <t>Transition from Office to Home Office: Lessons from Romania during COVID-19 Pandemic, Savescu, R; Kifor, S; (...); Rusu, R., Sustainability</t>
  </si>
  <si>
    <t>https://1510q6cj3-y-https-www-webofscience-com.z.e-nformation.ro/wos/woscc/summary/3b24070c-f45e-46f7-a999-25bdc9c114ea-92a437c4/date-descending/1</t>
  </si>
  <si>
    <t>Huzu, A (ULBS); Kifor, CV (ULBS); Savescu, RF (ULBS); Lup, G (Lup, Gianina) (ULBS)</t>
  </si>
  <si>
    <t>LEAN, SIX SIGMA IN HEALTHCARE: A LITERATURE REVIEW</t>
  </si>
  <si>
    <t>Externalities of Lean Implementation in Medical Laboratories. Process Optimization vs. Adaptation and Flexibility for the Future, Apostu, SA (Apostu, Simona Andreea) [1] , [2] ; Vasile, V (Vasile, Valentina) [2] ; Veres, C (Veres, Cristina) [3], INTERNATIONAL JOURNAL OF ENVIRONMENTAL RESEARCH AND PUBLIC HEALTH</t>
  </si>
  <si>
    <t>https://1510q2wtr-y-https-www-webofscience-com.z.e-nformation.ro/wos/woscc/full-record/WOS:000734967600001</t>
  </si>
  <si>
    <t>Fiore, U. (Parthenope Univ, Dept Management &amp; Quantitat Studies, I-80132 Naples, Italy) ; Florea, A (ULBS) ; Kifor, CV. ; Zanetti, P (Parthenope Univ, Dept Management &amp; Quantitat Studies, I-80132 Naples, Italy)</t>
  </si>
  <si>
    <t>Digitization, Epistemic Proximity, and the Education System: Insights from a Bibliometric Analysis</t>
  </si>
  <si>
    <t>To trust or not to trust? An assessment of trust in AI-based systems: Concerns, ethics and contexts, Omrani, N; Rivieccio, G; (...); Agreda, SG, TECHNOLOGICAL FORECASTING AND SOCIAL CHANGE</t>
  </si>
  <si>
    <t>https://1510q6cj3-y-https-www-webofscience-com.z.e-nformation.ro/wos/woscc/summary/a0d79dff-d681-439d-94ff-4d33d026b770-92a3cfe9/date-descending/1</t>
  </si>
  <si>
    <t>Dumitrascu, M (ULBS); Kifor, CV and Lobont, L (ULBS)</t>
  </si>
  <si>
    <t>INNOVATIVE MANAGEMENT EVALUATION METHOD BASED ON KEY PERFORMANCE INDICATORS</t>
  </si>
  <si>
    <t xml:space="preserve"> Introducing MOWSCER Method for Multiple Criteria Group Decision-Making: A New Method of Weighting in the Structure of Cause and Effect Relationships, Davoudabadi, R; Mousavi, SM; (...); Dorfeshan, Y
Sep 2022  </t>
  </si>
  <si>
    <t>https://1510q6cj3-y-https-www-webofscience-com.z.e-nformation.ro/wos/woscc/summary/0d60ebf2-fe31-406b-b3d9-6f5af8ad77d4-92a5a519/date-descending/1</t>
  </si>
  <si>
    <t>Bucur, A (ULBS); Kifor, CV and Marginean, SC (ULBS)</t>
  </si>
  <si>
    <t>Evaluation of the quality and quantity of research results in higher education</t>
  </si>
  <si>
    <t xml:space="preserve">SMART-QUAL: a dashboard for quality measurement in higher education institutions, Adot, E; Akhmedova, A; (...); Xambre, AR
May 23 2023 </t>
  </si>
  <si>
    <t>https://1510q6cj3-y-https-www-webofscience-com.z.e-nformation.ro/wos/woscc/summary/b1964fd3-c0cc-46dd-b41d-a8a89f067e4e-92a68be0/date-descending/1</t>
  </si>
  <si>
    <t>Study on university research performance based on systems theory: systematic literature review
Open Access
Hermanu, A.I., Sondari, M.C., Dimyati, M., Sari, D.	2022	International Journal of Productivity and Quality Management
35(4), pp. 447-472</t>
  </si>
  <si>
    <t>https://151096clp-y-https-www-scopus-com.z.e-nformation.ro/results/citedbyresults.uri?sort=plf-f&amp;refeid=2-s2.0-84994417678&amp;src=s&amp;imp=t&amp;sid=7575b2bd6c0446a898eccba5c0c477ad&amp;sot=ctocbw&amp;sdt=a&amp;sl=15&amp;s=PUBYEAR+IS+2022&amp;origin=cto&amp;citeCnt=2_DELIM_2_DELIM_CTODS_1655447282_DELIM_1&amp;txGid=049f9dcddac99d094d51c37adcbc5a32</t>
  </si>
  <si>
    <t>Attitudes, beliefs and knowledge of mathematics teachers regarding peer tutoring	Moliner, L., Alegre, F.	2022	European Journal of Teacher Education
45(1), pp. 93-112</t>
  </si>
  <si>
    <t xml:space="preserve">
Rehman, Z (COMSATS University Islamabad ) and Kifor, CV
</t>
  </si>
  <si>
    <t>An Ontology to Support Semantic Management of FMEA Knowledge</t>
  </si>
  <si>
    <t xml:space="preserve">Knowledge Graph Supported Machine Parameterization for the Injection Moulding Industry, Bachhofner, S; Kurniawan, K; (...); Bayomie, D
4th Iberoamerican Conference and 3rd Indo-American Conference Knowledge Graphs and Semantic Web Conference (KGSWC)
2022 </t>
  </si>
  <si>
    <t>https://1510q6cj3-y-https-www-webofscience-com.z.e-nformation.ro/wos/woscc/summary/cffc65d2-5ced-41c8-9bb8-421d1411cf8e-92a6dd37/date-descending/1</t>
  </si>
  <si>
    <t>Towards Learning Causal Representations of Technical Word Embeddings for Smart Troubleshooting, Trilla, A; Mijatovic, N and Vilasis-Cardona, X
2022</t>
  </si>
  <si>
    <t>An ontological modelling of multi-attribute criticality analysis to guide Prognostics and Health Management program development
Open Access
Polenghi, A., Roda, I., Macchi, M., Pozzetti, A.	2022	Autonomous Intelligent Systems
2(1),2</t>
  </si>
  <si>
    <t>https://151096clp-y-https-www-scopus-com.z.e-nformation.ro/results/citedbyresults.uri?sort=plf-f&amp;refeid=2-s2.0-84981289567&amp;src=s&amp;imp=t&amp;sid=537b5212d00a8bf61fb00f250697f6ce&amp;sot=ctocbw&amp;sdt=a&amp;sl=15&amp;s=PUBYEAR+IS+2022&amp;origin=cto&amp;citeCnt=5_DELIM_5_DELIM_CTODS_1655447282_DELIM_1&amp;txGid=cca1f809dc44c41c85f4ba771f7bc874</t>
  </si>
  <si>
    <t>Risk and Engineering Knowledge Integration in Cyber-physical Production Systems Engineering	Rinker, F., Meixner, K., Kropatschek, S., Kiesling, E., Biffl, S.	2022	Proceedings - 48th Euromicro Conference on Software Engineering and Advanced Applications, SEAA 2022
pp. 338-345</t>
  </si>
  <si>
    <t>Model-based safety engineering for autonomous train map	Chouchani, N., Debbech, S., Perin, M.	2022	Journal of Systems and Software
183,111082</t>
  </si>
  <si>
    <t>Rehman Z. (COMSATS University Islamabad, Islamabad, Pakistan), Kifor C.V., Jabeen F. (COMSATS University Islamabad, Islamabad, Pakistan), Naz S. (COMSATS University Islamabad, Islamabad, Pakistan), Waqar M. (COMSATS University Islamabad, Islamabad, Pakistan)</t>
  </si>
  <si>
    <t xml:space="preserve">Automatic acquisition of failure mode and effect analysis ontology for sustainable risk management
</t>
  </si>
  <si>
    <t xml:space="preserve">Enhancing Interoperability of Digital Twin in the Maintenance phase of Lifecycle	Ariansyah, D., Pardamean, B.	2022	Proceeding - 6th International Conference on Information Technology, Information Systems and Electrical Engineering: Applying Data Sciences and Artificial Intelligence Technologies for Environmental Sustainability, ICITISEE 2022
</t>
  </si>
  <si>
    <t>https://151096clp-y-https-www-scopus-com.z.e-nformation.ro/results/citedbyresults.uri?sort=plf-f&amp;refeid=2-s2.0-85097434749&amp;src=s&amp;imp=t&amp;sid=e6757804bb8ba01ac20aa1692de34416&amp;sot=ctocbw&amp;sdt=a&amp;sl=15&amp;s=PUBYEAR+IS+2022&amp;origin=cto&amp;citeCnt=3_DELIM_3_DELIM_CTODS_1655447282_DELIM_1&amp;txGid=b2f189192cab9517371a1e8937a9b0cd</t>
  </si>
  <si>
    <t xml:space="preserve">What Went Wrong: A Survey of Wildfire UAS Mishaps through Named Entity Recognition	Andrade, S.R., Walsh, H.S.	2022	AIAA/IEEE Digital Avionics Systems Conference - Proceedings
2022-September
</t>
  </si>
  <si>
    <t>The Effect of Comprehensive Use of PDCA and FMEA Management Tools on the Work Efficiency, Teamwork, and Self-Identity of Medical Staff: A Cohort Study with Zhongda Hospital in China as an Example
Open Access
Chen, H., Tao, Z., Zhou, C., (...), Xing, Y., Lu, M.	2022	Contrast Media and Molecular Imaging
2022,5286062</t>
  </si>
  <si>
    <t>Iuga M.V. (ULBS), Kifor C.V., Rosca L.I. (ULBS)</t>
  </si>
  <si>
    <t xml:space="preserve">Shop floor key performance indicators in automotive organizations
</t>
  </si>
  <si>
    <t>Integration of financial performance measure with overall equipment effectiveness for assessing operational performance: a structured literature review	Liew, C.F., Prakash, J., Ong, K.S.	2022	International Journal of Productivity and Quality Management
37(1), pp. 119-142</t>
  </si>
  <si>
    <t>https://151096clp-y-https-www-scopus-com.z.e-nformation.ro/results/citedbyresults.uri?sort=plf-f&amp;refeid=2-s2.0-84941800315&amp;src=s&amp;imp=t&amp;sid=2f58b0a1e7889b4f5ff419c527899cca&amp;sot=ctocbw&amp;sdt=a&amp;sl=15&amp;s=PUBYEAR+IS+2022&amp;origin=cto&amp;citeCnt=1_DELIM_1_DELIM_CTODS_1655489458_DELIM_1&amp;txGid=1a2a9fd0cd509a2d3861c094cf84a99b</t>
  </si>
  <si>
    <t>Grigore, N.A. *ULBSS) and Kifor, C.V.</t>
  </si>
  <si>
    <t xml:space="preserve">Are electric vehicles eco-friendly products? A review from life cycle and sustainability perspective
</t>
  </si>
  <si>
    <t xml:space="preserve">Enhancing firms' green innovation and sustainable performance through the mediating role of green product innovation and moderating role of employees' green behavior
Li, H; Li, YY; (...); Ozturk, I
Oct 2022 ( </t>
  </si>
  <si>
    <t>https://1510q6cqw-y-https-www-webofscience-com.z.e-nformation.ro/wos/woscc/full-record/WOS:000882909300001</t>
  </si>
  <si>
    <t>MV Iuga (ULBS), CV Kifor</t>
  </si>
  <si>
    <t>Human resources as risk factors for lean manufacturing implementation, International Conference Knowledge-Based Organization 21 (1), 223-228</t>
  </si>
  <si>
    <t>Exploring risks in lean production implementation: systematic literature review and classification framework da Silva, TMF; Santos, LC and Gohr, CF
Feb 18 2022 | Jul 2021 (Early Access) | 
 13 (2) , pp.474-501</t>
  </si>
  <si>
    <t>https://1510q6d2m-y-https-www-webofscience-com.z.e-nformation.ro/wos/woscc/summary/859a816a-55fd-4a34-a30c-22bcf42f699f-92b98cff/relevance/1</t>
  </si>
  <si>
    <t>LM Baral (Ayasanulah Univ, Bangladesh), R Muhammad (Ayasanulah Univ, Bangladesh), CV Kifor, I Bondrea (ULBS)</t>
  </si>
  <si>
    <t>Evaluating the effectiveness of Problem-Based Learning (PBL) implemented in the textile engineering course-a case study on Ahsanullah University of Science and Technology …
Balkan Region Conference on Engineering and Business Education 1 (1), 111-114</t>
  </si>
  <si>
    <t>Jamison, CSE; Fuher, J; (...); Huang-Saad, A
Nov 2 2022 | Feb 2022 (Early Access) | 
 47 (6) , pp.1356-1379</t>
  </si>
  <si>
    <t>https://1510q6d2m-y-https-www-webofscience-com.z.e-nformation.ro/wos/woscc/summary/e2dd1c3d-eb4d-4093-bbfa-f21c59d4bb80-92c29707/relevance/1</t>
  </si>
  <si>
    <t>Lean manufacturing: The when, the where, the who,
Revista Academiei Fortelor Terestre 18 (4), 404-410</t>
  </si>
  <si>
    <t>The key success factors to adopting lean practices: the case of South American manufacturing firms, Ferrer, M; Calvo, E and Santa, R
Nov 2022 (Early Access) | 
TQM JOURNAL</t>
  </si>
  <si>
    <t>https://1510q6d2m-y-https-www-webofscience-com.z.e-nformation.ro/wos/woscc/summary/7bf858b6-b930-4df9-922c-77be8e725343-92c30385/relevance/1</t>
  </si>
  <si>
    <t>Managing Logistics Systems: Planning and Analysis for a Successful Supply Chain
De John M. Longshore, Angela L. Cheatham</t>
  </si>
  <si>
    <t>https://books.google.ro/books?hl=ro&amp;lr=&amp;id=YWZsEAAAQBAJ&amp;oi=fnd&amp;pg=PT10&amp;ots=SNh7V3K9lT&amp;sig=cmNFD6lnOUS2dqC3IFTgJV9-CQg&amp;redir_esc=y#v=onepage&amp;q&amp;f=false</t>
  </si>
  <si>
    <t>Routledge / wos</t>
  </si>
  <si>
    <t>CV Kifor, C Oprean (ULBS), DDM Banciu (ICI Bucuresti)</t>
  </si>
  <si>
    <t>Intelligent system for assisting decisions in advanced product and process planning and design
CV Kifor, C Oprean, DDM Banciu
Studies in informatics and control 18 (3), 247</t>
  </si>
  <si>
    <t>Big Data Analytics in Industry 4.0 Ecosystems, Wiley,  Julius Sechang Mboli, Dhavalkumar Thakker, Jyoti L. Mishra
March 2022</t>
  </si>
  <si>
    <t>https://onlinelibrary.wiley.com/doi/abs/10.1002/spe.2825</t>
  </si>
  <si>
    <t>Wiley</t>
  </si>
  <si>
    <t>Kifor C., Oprean C. (ULBS)</t>
  </si>
  <si>
    <t>Quality Management, editura Callidus</t>
  </si>
  <si>
    <t>QUALITY AND QUALITY MANAGEMENT IN ECOLOGICAL AUTOMOTIVE TRANSPORT–OPPORTUNITIES AND PERSPECTIVES
G NEAMȚU, M DRAGOMIR, MA ȚÎȚU… - ACTA TECHNICA …, 2022 - atna-mam.utcluj.ro</t>
  </si>
  <si>
    <t>https://1510q6d2m-y-https-www-webofscience-com.z.e-nformation.ro/wos/woscc/summary/7430bf81-462d-4304-adde-f99966cca3a3-92c6eb17/relevance/1</t>
  </si>
  <si>
    <t xml:space="preserve">Oprean C, Lobonț L.,Kifor C.V., Negulescu S.C. (ULBS) </t>
  </si>
  <si>
    <t>How to integrate knowledge and quality in higher education systems</t>
  </si>
  <si>
    <t>Ivana, D., Drăgan, M., Maftei, M., Gӧtze, U., &amp; Metz, D. (2022). Study of Knowledge Management Impact on Sustainable Higher Education Institutions: A Business Process Modelling Approach. In Navigating Through the Crisis: Business, Technological and Ethical Considerations: The 2020 Annual Griffiths School of Management and IT Conference (GSMAC) Vol 2 11 (pp. 85-101). Springer International Publishing.</t>
  </si>
  <si>
    <t>https://link.springer.com/chapter/10.1007/978-3-030-82751-9_6</t>
  </si>
  <si>
    <t>SpringerLink</t>
  </si>
  <si>
    <t>Lobont Lucian</t>
  </si>
  <si>
    <t>Lucian Lobont, Adrian Cosmin Filichi, Liliana Georgeta Popescu (ULBS)</t>
  </si>
  <si>
    <t>Improving Traffic Safety Using Modern Methods For Accident Data Collection</t>
  </si>
  <si>
    <t>Rabbani, M. B. A., Musarat, M. A., Alaloul, W. S., Ayub, S., Bukhari, H., &amp; Altaf, M. (2022). Road Accident Data Collection Systems in Developing and Developed Countries: A Review. International Journal of Integrated Engineering, 14(1), 336-352.</t>
  </si>
  <si>
    <t>https://publisher.uthm.edu.my/ojs/index.php/ijie/article/view/8363</t>
  </si>
  <si>
    <t>Manuel DUMITRAȘCU, Claudiu-Vasile KIFOR, Lucian LOBONȚ (ULBS)</t>
  </si>
  <si>
    <t>Innovative management evaluation method based on key performance indicators</t>
  </si>
  <si>
    <t>Davoudabadi, R., Mousavi, S. M., Zavadskas, E. K., &amp; Dorfeshan, Y. (2022). Introducing MOWSCER Method for Multiple Criteria Group Decision-Making: A New Method of Weighting in the Structure of Cause and Effect Relationships. International Journal of Information Technology &amp; Decision Making, 1-37.</t>
  </si>
  <si>
    <t>https://www.worldscientific.com/doi/abs/10.1142/S0219622022500663</t>
  </si>
  <si>
    <r>
      <rPr>
        <sz val="10"/>
        <color theme="1"/>
        <rFont val="Arial"/>
      </rPr>
      <t>Heinisch M.(MHI Ingenieurgesellschaft mbH, B+H Solutions GmbH, Germania), Jacome J.(B+H Solutions GmbH, Germania), </t>
    </r>
    <r>
      <rPr>
        <b/>
        <sz val="10"/>
        <color theme="1"/>
        <rFont val="Arial"/>
      </rPr>
      <t>Miricescu D. (ULBS)</t>
    </r>
  </si>
  <si>
    <t>Current Experience with Application of Metal-based Nanofertilizers</t>
  </si>
  <si>
    <r>
      <rPr>
        <sz val="10"/>
        <color theme="1"/>
        <rFont val="Arial"/>
      </rPr>
      <t xml:space="preserve">Golla Nagaraju Gari Saritha, Thattantavide Anju, Ajay Kumar -
</t>
    </r>
    <r>
      <rPr>
        <i/>
        <sz val="10"/>
        <color theme="1"/>
        <rFont val="Arial"/>
      </rPr>
      <t xml:space="preserve">Nanotechnology- Big impact: How nanotechnology is changing the future of agriculture?
</t>
    </r>
    <r>
      <rPr>
        <sz val="10"/>
        <color theme="1"/>
        <rFont val="Arial"/>
      </rPr>
      <t>în</t>
    </r>
    <r>
      <rPr>
        <i/>
        <sz val="10"/>
        <color theme="1"/>
        <rFont val="Arial"/>
      </rPr>
      <t xml:space="preserve"> </t>
    </r>
    <r>
      <rPr>
        <sz val="10"/>
        <color theme="1"/>
        <rFont val="Arial"/>
      </rPr>
      <t>Journal of Agriculture and Food Research
Volume 10, December 2022, 100457</t>
    </r>
  </si>
  <si>
    <t xml:space="preserve">https://www.sciencedirect.com/science/article/pii/S2666154322001909?pes=vor </t>
  </si>
  <si>
    <t>WoS
SCOPUS</t>
  </si>
  <si>
    <t>Miricescu Dan</t>
  </si>
  <si>
    <r>
      <rPr>
        <sz val="10"/>
        <color theme="1"/>
        <rFont val="Arial"/>
      </rPr>
      <t>Heinisch M.(MHI Ingenieurgesellschaft mbH, B+H Solutions GmbH, Germania), Jacome J.(B+H Solutions GmbH, Germania), </t>
    </r>
    <r>
      <rPr>
        <b/>
        <sz val="10"/>
        <color theme="1"/>
        <rFont val="Arial"/>
      </rPr>
      <t>Miricescu D. (ULBS)</t>
    </r>
  </si>
  <si>
    <r>
      <rPr>
        <sz val="10"/>
        <color theme="1"/>
        <rFont val="Arial"/>
      </rPr>
      <t xml:space="preserve">Sandeep Kaur, Kajal Sharma, Rajat Singh,  Naveen Kumar -
</t>
    </r>
    <r>
      <rPr>
        <i/>
        <sz val="10"/>
        <color theme="1"/>
        <rFont val="Arial"/>
      </rPr>
      <t>Advancement in Crops and Agriculture by Nanomaterials</t>
    </r>
    <r>
      <rPr>
        <sz val="10"/>
        <color theme="1"/>
        <rFont val="Arial"/>
      </rPr>
      <t xml:space="preserve">
în Synthesis and Applications of Nanoparticles, Pages 319 - 335, 1 January 2022</t>
    </r>
  </si>
  <si>
    <t xml:space="preserve">https://151096e8e-y-https-www-scopus-com.z.e-nformation.ro/record/display.uri?eid=2-s2.0-85161245029&amp;origin=resultslist&amp;sort=plf-f&amp;cite=2-s2.0-85109054537&amp;src=s&amp;imp=t&amp;sid=c62149d598fa37a2f968d6ac411362bf&amp;sot=cite&amp;sdt=a&amp;sl=0&amp;relpos=2&amp;citeCnt=2&amp;searchTerm= </t>
  </si>
  <si>
    <r>
      <rPr>
        <sz val="10"/>
        <color theme="1"/>
        <rFont val="Arial Narrow"/>
      </rPr>
      <t>Heinisch M. (MHI Ingenieurgesellschaft mbH, B+H Solutions GmbH Germania)., </t>
    </r>
    <r>
      <rPr>
        <b/>
        <sz val="10"/>
        <color theme="1"/>
        <rFont val="Arial Narrow"/>
      </rPr>
      <t>Miricescu D.(ULBS)</t>
    </r>
  </si>
  <si>
    <t>Innovative Industrial Technologies for Preventive Anti-Graffiti Coating</t>
  </si>
  <si>
    <r>
      <rPr>
        <sz val="10"/>
        <color theme="1"/>
        <rFont val="Arial"/>
      </rPr>
      <t xml:space="preserve">Shweta Amrutkar, Aarti More, Siddhesh Mestry, S. T. Mhaske -
</t>
    </r>
    <r>
      <rPr>
        <i/>
        <sz val="10"/>
        <color theme="1"/>
        <rFont val="Arial"/>
      </rPr>
      <t>Recent developments in the anti-graffiti coatings: an attentive review</t>
    </r>
    <r>
      <rPr>
        <sz val="10"/>
        <color theme="1"/>
        <rFont val="Arial"/>
      </rPr>
      <t xml:space="preserve">
Journal of Coatings Technology and Research volume 19, pages 717–739 (2022)</t>
    </r>
  </si>
  <si>
    <t xml:space="preserve">https://1510g6e9j-y-https-link-springer-com.z.e-nformation.ro/article/10.1007/s11998-021-00580-z </t>
  </si>
  <si>
    <r>
      <rPr>
        <sz val="10"/>
        <color theme="1"/>
        <rFont val="Arial Narrow"/>
      </rPr>
      <t>Heinisch M. (MHI Ingenieurgesellschaft mbH, B+H Solutions GmbH Germania)., </t>
    </r>
    <r>
      <rPr>
        <b/>
        <sz val="10"/>
        <color theme="1"/>
        <rFont val="Arial Narrow"/>
      </rPr>
      <t>Miricescu D.(ULBS)</t>
    </r>
  </si>
  <si>
    <r>
      <rPr>
        <sz val="10"/>
        <color theme="1"/>
        <rFont val="Arial"/>
      </rPr>
      <t xml:space="preserve">Patrick Weiser, Robin Kietz, Marc Schneider, Matthias Worgull, Hendrik Hölscher -
</t>
    </r>
    <r>
      <rPr>
        <i/>
        <sz val="10"/>
        <color theme="1"/>
        <rFont val="Arial"/>
      </rPr>
      <t>Roll-to-roll fabrication of superhydrophobic pads covered with nanofur for the efficient clean-up of oil spills</t>
    </r>
    <r>
      <rPr>
        <sz val="10"/>
        <color theme="1"/>
        <rFont val="Arial"/>
      </rPr>
      <t xml:space="preserve">
Beilstein J. Nanotechnol. 2022, 13, 1228–1239.
https://doi.org/10.3762/bjnano.13.102</t>
    </r>
  </si>
  <si>
    <t xml:space="preserve">https://www.beilstein-journals.org/bjnano/content/pdf/2190-4286-13-102.pdf </t>
  </si>
  <si>
    <r>
      <rPr>
        <sz val="10"/>
        <color theme="1"/>
        <rFont val="Arial Narrow"/>
      </rPr>
      <t xml:space="preserve">Tăbuşcă, D. (Retrasib SA); </t>
    </r>
    <r>
      <rPr>
        <b/>
        <sz val="10"/>
        <color theme="1"/>
        <rFont val="Arial Narrow"/>
      </rPr>
      <t xml:space="preserve">Miricescu Dan </t>
    </r>
    <r>
      <rPr>
        <sz val="10"/>
        <color theme="1"/>
        <rFont val="Arial Narrow"/>
      </rPr>
      <t>(ULBS)</t>
    </r>
  </si>
  <si>
    <r>
      <rPr>
        <i/>
        <sz val="10"/>
        <color theme="1"/>
        <rFont val="Arial Narrow"/>
      </rPr>
      <t>From Classroom to Career in Sibiu Romania –EngineeringStudents’ Perception on Internships and School Practices</t>
    </r>
    <r>
      <rPr>
        <sz val="10"/>
        <color theme="1"/>
        <rFont val="Arial Narrow"/>
      </rPr>
      <t>. In Proceedings of the 12th International Conference on Engineering and Business Education (ICEBE 2019), Balkan, Sibiu, 19 October 2019.</t>
    </r>
  </si>
  <si>
    <r>
      <rPr>
        <sz val="10"/>
        <color theme="1"/>
        <rFont val="Arial Narrow"/>
      </rPr>
      <t xml:space="preserve">Kateřina Berková, Hana Březinová, Dagmar Frendlovská, Andrea Kubišová, Pavel Krpálek,
Katarína Krpálková Krelová, David Melas -
</t>
    </r>
    <r>
      <rPr>
        <i/>
        <sz val="10"/>
        <color theme="1"/>
        <rFont val="Arial Narrow"/>
      </rPr>
      <t>Aspects Influencing the Provision of Internships by Czech Firms to Future Economists during Their Studies</t>
    </r>
    <r>
      <rPr>
        <sz val="10"/>
        <color theme="1"/>
        <rFont val="Arial Narrow"/>
      </rPr>
      <t xml:space="preserve">
Education Scence. 2022, 12, 676. https://doi.org/10.3390/educsci12100676</t>
    </r>
  </si>
  <si>
    <t xml:space="preserve">https://1510q6e7r-y-https-www-webofscience-com.z.e-nformation.ro/wos/woscc/full-record/WOS:000874280900001 </t>
  </si>
  <si>
    <t>Moraru Gina-Maria (ULBS, FING3), Popescu Liliana-Georgeta (ULBS, FING3)</t>
  </si>
  <si>
    <t>Study on the improvement of the vehicle deceleration signalling system, IOP Conference Series. Materials Science and Engineering; Bristol, 898(1), 2020, doi 10.1088/1757-899X/898/1/012023</t>
  </si>
  <si>
    <t>Aleš Mareška, Tereza Kordová, Martin Havlík Míka, Glass Containing Eu2O3, Tb2O3, Sm2O3, ZnO as a Color Filter used in the Automotive Industry, Manufacturing Technology, November 2022, Vol. 22, No. 5, ISSN 1213–2489, DOI: 10.21062/mft.2022.071</t>
  </si>
  <si>
    <t>https://journalmt.com/pdfs/mft/2022/05/11.pdf</t>
  </si>
  <si>
    <t>SCOPUS și WOS</t>
  </si>
  <si>
    <t>Moraru Gina</t>
  </si>
  <si>
    <t>Moraru Gina-Maria (ULBS, FING3), Popa Daniela (ULBS, FING3)</t>
  </si>
  <si>
    <t>Potential Resistance of Employees to Change in the Transition to Industry 5.0. MATEC Web Conf. 343 07005, 2021</t>
  </si>
  <si>
    <t>Małgorzata Kosała, Magdalena Jelonek, Magdalena Gorzelany-Dziadkowiec, Developing Competencies for the Future, Chapter in Industrial Revolution 4.0. Economic Foundations and Practical Implications (Ed. Stanislaw Mazur), 1st Ed., 2022, eBook ISBN 9781003264170</t>
  </si>
  <si>
    <t>https://www.taylorfrancis.com/chapters/edit/10.4324/9781003264170-2/developing-competencies-future-ma%C5%82gorzata-kosa%C5%82a-magdalena-jelonek-magdalena-gorzelany-dziadkowiec</t>
  </si>
  <si>
    <t>Routledge, Taylor &amp; Francis Group</t>
  </si>
  <si>
    <r>
      <rPr>
        <sz val="10"/>
        <color rgb="FFFF0000"/>
        <rFont val="Arial Narrow"/>
      </rPr>
      <t xml:space="preserve">SCOPUS : </t>
    </r>
    <r>
      <rPr>
        <u/>
        <sz val="10"/>
        <color rgb="FF0066CC"/>
        <rFont val="Arial Narrow"/>
      </rPr>
      <t xml:space="preserve">https://www.scopus.com/record/display.uri?eid=2-s2.0-84940930011&amp;origin=inward&amp;txGid=32a81de4ed9db0e569591cd7669b6d40 </t>
    </r>
    <r>
      <rPr>
        <sz val="10"/>
        <color rgb="FFFF0000"/>
        <rFont val="Arial Narrow"/>
      </rPr>
      <t>WEB_of_SCIENCE :</t>
    </r>
    <r>
      <rPr>
        <u/>
        <sz val="10"/>
        <rFont val="Arial Narrow"/>
      </rPr>
      <t xml:space="preserve"> http://cel.webofknowledge.com/InboundService.do?customersID=SPRINGER&amp;smartRedirect=yes&amp;mode=FullRecord&amp;IsProductCode=Yes&amp;product=CEL&amp;Init=Yes&amp;Func=Frame&amp;action=retrieve&amp;SrcApp=PARTNER_APP&amp;SrcAuth=SPRINGER&amp;SID=C2VNIZtpca4IKqdILQL&amp;UT=WOS%3A000373156000057</t>
    </r>
  </si>
  <si>
    <t>Mutiu Calin</t>
  </si>
  <si>
    <r>
      <rPr>
        <sz val="10"/>
        <color rgb="FFFF0000"/>
        <rFont val="Arial Narrow"/>
      </rPr>
      <t xml:space="preserve">SCOPUS : </t>
    </r>
    <r>
      <rPr>
        <u/>
        <sz val="10"/>
        <color rgb="FF0066CC"/>
        <rFont val="Arial Narrow"/>
      </rPr>
      <t>https://www.scopus.com/record/display.uri?eid=2-s2.0-84940930011&amp;origin=inward&amp;txGid=32a81de4ed9db0e569591cd7669b6d40</t>
    </r>
    <r>
      <rPr>
        <sz val="10"/>
        <color rgb="FF0066CC"/>
        <rFont val="Arial Narrow"/>
      </rPr>
      <t xml:space="preserve"> </t>
    </r>
    <r>
      <rPr>
        <sz val="10"/>
        <color rgb="FFFF0000"/>
        <rFont val="Arial Narrow"/>
      </rPr>
      <t xml:space="preserve">WEB_of_SCIENCE : </t>
    </r>
    <r>
      <rPr>
        <u/>
        <sz val="10"/>
        <color theme="1"/>
        <rFont val="Arial Narrow"/>
      </rPr>
      <t>http://cel.webofknowledge.com/InboundService.do?customersID=SPRINGER&amp;smartRedirect=yes&amp;mode=FullRecord&amp;IsProductCode=Yes&amp;product=CEL&amp;Init=Yes&amp;Func=Frame&amp;action=retrieve&amp;SrcApp=PARTNER_APP&amp;SrcAuth=SPRINGER&amp;SID=C2VNIZtpca4IKqdILQL&amp;UT=WOS%3A000373156000057</t>
    </r>
  </si>
  <si>
    <r>
      <rPr>
        <sz val="10"/>
        <color rgb="FFFF0000"/>
        <rFont val="Arial Narrow"/>
      </rPr>
      <t xml:space="preserve">SCOPUS : </t>
    </r>
    <r>
      <rPr>
        <u/>
        <sz val="10"/>
        <color rgb="FF0066CC"/>
        <rFont val="Arial Narrow"/>
      </rPr>
      <t xml:space="preserve">https://www.scopus.com/record/display.uri?eid=2-s2.0-84940930011&amp;origin=inward&amp;txGid=32a81de4ed9db0e569591cd7669b6d40 </t>
    </r>
    <r>
      <rPr>
        <sz val="10"/>
        <color rgb="FFFF0000"/>
        <rFont val="Arial Narrow"/>
      </rPr>
      <t>WEB_of_SCIENCE :</t>
    </r>
    <r>
      <rPr>
        <u/>
        <sz val="10"/>
        <rFont val="Arial Narrow"/>
      </rPr>
      <t xml:space="preserve"> http://cel.webofknowledge.com/InboundService.do?customersID=SPRINGER&amp;smartRedirect=yes&amp;mode=FullRecord&amp;IsProductCode=Yes&amp;product=CEL&amp;Init=Yes&amp;Func=Frame&amp;action=retrieve&amp;SrcApp=PARTNER_APP&amp;SrcAuth=SPRINGER&amp;SID=C2VNIZtpca4IKqdILQL&amp;UT=WOS%3A000373156000057</t>
    </r>
  </si>
  <si>
    <t>DOBROTA, D. (ULBS), PETRESCU, V. (ULBS), DIMULESCU, C. S. (S.C. DEDEMAN S.R.L.), OLEKSIK, M. (ULBS)</t>
  </si>
  <si>
    <t>Preparation and Characterization of Composites Materials with Rubber Matrix and with Polyvinyl Chloride Addition (PVC), Polymers, 12(9), 2020, article 1978, https://doi.org/10.3390/polym12091978, WOS:000580867600001</t>
  </si>
  <si>
    <t>HELLER, B., SIMON-STOGER, L., MAKO, E., &amp; VARGA, C. (2022). A practical manner to GTR recycling in waste-HDPE/ABS [Article]. Journal of Polymer Research, 29(8), 15, Article 329. https://doi.org/10.1007/s10965-022-03167-3 WOS:000825421400002.</t>
  </si>
  <si>
    <t>Wos și Scopus</t>
  </si>
  <si>
    <t>LEWANDOWSKI, K., &amp; SKORCZEWSKA, K. (2022). A Brief Review of Poly(Vinyl Chloride) (PVC) Recycling [Review]. Polymers, 14(15), 14, Article 3035. https://doi.org/10.3390/polym14153035 WOS:000839053500001.</t>
  </si>
  <si>
    <t>AL-SHABLLE, M., AL-WAILY, M., &amp; NJIM, E. K. (2022). Analytical evaluation of the influence of adding rubber layers on free vibration of sandwich structure with presence of nano-reinforced composite skins [Article]. Archives of Materials Science and Engineering, 116(2), 57-70. https://doi.org/10.5604/01.3001.0016.1190</t>
  </si>
  <si>
    <t>https://www.researchgate.net/profile/Muhannad-Al-Waily/publication/365819324_Analytical_evaluation_of_the_influence_of_adding_rubber_layers_on_free_vibration_of_sandwich_structure_with_presence_of_nano-reinforced_composite_skins/links/6388c600ca2e4b239c7a9281/Analytical-evaluation-of-the-influence-of-adding-rubber-layers-on-free-vibration-of-sandwich-structure-with-presence-of-nano-reinforced-composite-skins.pdf</t>
  </si>
  <si>
    <t>SÖNMEZ M., NITUICA M., GEORGESCU M., STELESCU M.D., ALEXANDRESCU L., DRUSAN D.-A., CIOBANU A.-M., GURAU D., CHELARU C. (2022). The influence of NBR waste modified with SiO2/not modified on processability, physical-mechanical and structural properties of PVC, ICAMS Proceedings of the International Conference on Advanced Materials and Systems, pp. 71 - 76, Doi: 10.24264/icams-2022.I.10</t>
  </si>
  <si>
    <t>FLEACĂ, R., MIȚARIU, S.I.C., OLEKSIK, V., OLEKSIK, M., ROMAN, M. (toti ULBS)</t>
  </si>
  <si>
    <t>Mechanical Behaviour of Orthopaedic Cement Loaded with Antibiotics in the Operation Room, Materiale Plastice, Volume: 54  Issue: 2  Pages: 402-407, June 2017, Accession Number: WOS:000408702100045, ISSN: 0025-5289.</t>
  </si>
  <si>
    <t>ROMAN, M. D., RUSSU, O., MOHOR, C., NECULA, R., BOICEAN, A., TODOR, A., MOHOR, C., &amp; FLEACA, S. R. (2022). Outcomes in revision total knee arthroplasty (Review) [Review]. Experimental and Therapeutic Medicine, 23(1), 4, Article 29. https://doi.org/10.3892/etm.2021.10951 WOS:000722315800001.</t>
  </si>
  <si>
    <t>https://www.spandidos-publications.com/10.3892/etm.2021.10951</t>
  </si>
  <si>
    <t>SOPON, M. (Spitalul județean Sibiu), OLEKSIK, V. (ULBS), ROMAN, M. (ULBS), COFARU, N. (ULBS), OLEKSIK, M. (ULBS), MOHOR, C. (ULBS), BOICEAN, A. (ULBS), FLEACĂ, R. (ULBS)</t>
  </si>
  <si>
    <t>Biomechanical Study of the Osteoporotic Spine Fracture: Optical Approach, Journal of Personalized Medicine, 11(9), 2021, article 907, WOS:000700782700001</t>
  </si>
  <si>
    <t>GEORGEANU, V. A., ATASIEI, T., PREDESCU, V., GHEORGHIU, N., FEIER, A. M., &amp; RUSSU, O. M. (2022). Transfemoral Approach in Revision Hip Arthroplasty: A Prospective Analysis of 36 Cases: Radiological and Functional Results at a Minimum 2 Years Follow-up [Article]. Medicina-Lithuania, 58(2), 9, Article 237. https://doi.org/10.3390/medicina58020237 WOS:000761150600001.</t>
  </si>
  <si>
    <t>https://www.mdpi.com/1648-9144/58/2/237</t>
  </si>
  <si>
    <t>VLAD, D., OLEKSIK, M. (toți ULBS)</t>
  </si>
  <si>
    <t>Research Regarding Uniaxial Tensile Strength of Nylon Woven Fabrics, Coated and Uncoated with Silicone, 9th INTERNATIONAL CONFERENCE
ON MANUFACTURING SCIENCE AND EDUCATION
-MSE 2019- MATEC Web of Conferences 290, article number 09003, https://doi.org/10.1051/matecconf/201929009003</t>
  </si>
  <si>
    <t>MASLANKA, P., ALEKSIEIEV, A., KORYCKI, R., SZAFRANSKA, H., &amp; DABROWSKA, A. (2022). Experimental and Numerical Determination of Strength Characteristics Related to Paraglider Wing with Fourier Transform Infrared Spectroscopy of Applied Materials [Article]. Materials, 15(20), 19, Article 7291. https://doi.org/10.3390/ma15207291 WOS:000873333800001.</t>
  </si>
  <si>
    <t>https://www.mdpi.com/1996-1944/15/20/7291</t>
  </si>
  <si>
    <t>REVAIAH, R. G., KOTRESH, T. M., &amp; KANDASUBRMANIAN, B. (2022). Military customized fabric hyperbaric chamber - design and safety aspects [Article]. Journal of the Textile Institute, 113(5), 869-881. https://doi.org/10.1080/00405000.2021.1907988, WOS:000649615500001</t>
  </si>
  <si>
    <t>https://www.tandfonline.com/doi/abs/10.1080/00405000.2021.1907988</t>
  </si>
  <si>
    <t>DOBROTA, D., RACZ, G., OLEKSIK, M., ROTARU, I., TOMESCU, M, SIMION, C.M.</t>
  </si>
  <si>
    <t>Smart Cutting Tools Used in the Processing of Aluminum Alloys, Sensors, 22, Issue 1, Article 28, 2022, https://doi.org/10.3390/s22010028, WOS:000751266200001</t>
  </si>
  <si>
    <t>SLAVOV, S., MARKOV, O. (2022). A tool for ball burnishing with ability for wire and wireless monitoring of the deforming force values. Acta Technica Napocensis Series Applied Mathematics Mechanics and Engineering, 65(4), p. 1327-1334, 2022, WOS:000969679100047.</t>
  </si>
  <si>
    <t>https://atna-mam.utcluj.ro/index.php/Acta/article/view/2066</t>
  </si>
  <si>
    <t>Cukovic, S. (ETH Zurich), Petruse, R.E (ULBS)., Meixner, G. (Heilbronn), Buchweitz, L.  (Heilbronn)</t>
  </si>
  <si>
    <t>Supporting Diagnosis and Treatment of Scoliosis: Using Augmented Reality to Calculate 3D Spine Models in Real-Time - ARScoliosis</t>
  </si>
  <si>
    <t>Agreement between Azure Kinect and Marker-Based Motion Analysis during Functional Movements: A Feasibility Study , Jo, S., Song, S., Kim, J., Song, C. , Sensors
22(24),9819</t>
  </si>
  <si>
    <t>https://www.scopus.com/record/display.uri?eid=2-s2.0-85144540765&amp;origin=resultslist&amp;sort=plf-f&amp;src=s&amp;citedAuthorId=55572604000&amp;imp=t&amp;sid=9a4987f3b1ca72d6a356729701704127&amp;sot=cite&amp;sdt=cite&amp;cluster=scopubyr%2c%222022%22%2ct&amp;sl=0&amp;relpos=0&amp;citeCnt=0&amp;searchTerm=</t>
  </si>
  <si>
    <t>Reliability and agreement of Azure Kinect and Kinect v2 depth sensors in the shoulder joint range of motion estimation, Özsoy, U., Yıldırım, Y., Karaşin, S., Şekerci, R., Süzen, L.B. , Journal of Shoulder and Elbow Surgery
31(10), pp. 2049-2056</t>
  </si>
  <si>
    <t xml:space="preserve">https://www.jshoulderelbow.org/article/S1058-2746(22)00434-7/fulltext </t>
  </si>
  <si>
    <t>Diaconu, R., Petruse, R.(ULBS), Brindasu, P.D.</t>
  </si>
  <si>
    <t>Formwork application optimization by using augmented reality</t>
  </si>
  <si>
    <t>Enhancing users involvement in architectural design using mobile augmented reality , Shouman, B., Othman, A.A.E., Marzouk, M. , Engineering, Construction and Architectural Management
29(6), pp. 2514-2534</t>
  </si>
  <si>
    <t xml:space="preserve">https://www.scopus.com/record/display.uri?eid=2-s2.0-85107760130&amp;origin=resultslist&amp;sort=plf-f&amp;src=s&amp;citedAuthorId=55572604000&amp;imp=t&amp;sid=9a4987f3b1ca72d6a356729701704127&amp;sot=cite&amp;sdt=cite&amp;cluster=scopubyr%2c%222022%22%2ct&amp;sl=0&amp;relpos=2&amp;citeCnt=8&amp;searchTerm= </t>
  </si>
  <si>
    <t>FING6</t>
  </si>
  <si>
    <t>Petruse, R.E.(ULBS), Brîndaşu, P.D.</t>
  </si>
  <si>
    <t>Augmented reality applied in machining processes and cutting tools management</t>
  </si>
  <si>
    <t>FING7</t>
  </si>
  <si>
    <t>Cutting Tools Assignment and Control Using Neutrosophic Case-Based Reasoning and Best Worst Method , Kasie, F.M., Bright, G. , Advances in Operations Research
2022,4344686</t>
  </si>
  <si>
    <t xml:space="preserve">https://www.scopus.com/record/display.uri?eid=2-s2.0-85141665597&amp;origin=resultslist&amp;sort=plf-f&amp;src=s&amp;citedAuthorId=55572604000&amp;imp=t&amp;sid=9a4987f3b1ca72d6a356729701704127&amp;sot=cite&amp;sdt=cite&amp;cluster=scopubyr%2c%222022%22%2ct&amp;sl=0&amp;relpos=4&amp;citeCnt=0&amp;searchTerm= </t>
  </si>
  <si>
    <t>FING8</t>
  </si>
  <si>
    <t>Research of Scoliosis Detection Method Based on Kinect, Liu, X., Wu, X., Sheng, Z., (...), Zhou, Y., Liu, C., 2022 7th International Conference on Image, Vision and Computing, ICIVC 2022
pp. 244-247</t>
  </si>
  <si>
    <t>https://www.scopus.com/record/display.uri?eid=2-s2.0-85139460858&amp;origin=resultslist&amp;sort=plf-f&amp;src=s&amp;citedAuthorId=55572604000&amp;imp=t&amp;sid=9a4987f3b1ca72d6a356729701704127&amp;sot=cite&amp;sdt=cite&amp;cluster=scopubyr%2c%222022%22%2ct&amp;sl=0&amp;relpos=5&amp;citeCnt=0&amp;searchTerm=</t>
  </si>
  <si>
    <t>FING9</t>
  </si>
  <si>
    <t>Augmented Reality as a Tool in a Train Set Processing Technology, Bulková, Z., Dedík, M., Gašparík, J., Kurenkov, P.V., Pečený, L., LOGI - Scientific Journal on Transport and Logistics
13(1), pp. 108-118</t>
  </si>
  <si>
    <t>https://www.scopus.com/record/display.uri?eid=2-s2.0-85134474342&amp;origin=resultslist&amp;sort=plf-f&amp;src=s&amp;citedAuthorId=55572604000&amp;imp=t&amp;sid=9a4987f3b1ca72d6a356729701704127&amp;sot=cite&amp;sdt=cite&amp;cluster=scopubyr%2c%222022%22%2ct&amp;sl=0&amp;relpos=6&amp;citeCnt=1&amp;searchTerm=</t>
  </si>
  <si>
    <t>Petruse, R.E.(ULBS), Matei, A.()ULBS, Kayser, M., Maier, M., Cuković, S.</t>
  </si>
  <si>
    <t xml:space="preserve">Academia-industry Collaboration for Augmented Reality Application Development </t>
  </si>
  <si>
    <t>FING10</t>
  </si>
  <si>
    <t>Touch-based Augmented Reality Marking Techniques on Production Parts
Open Access, Schmetz, A., Bellgardt, M., Wehrwein, V., Kuhlen, T., Brecher, C. , Procedia CIRP
107, pp. 517-521</t>
  </si>
  <si>
    <t>https://www.scopus.com/record/display.uri?eid=2-s2.0-85132244979&amp;origin=resultslist&amp;sort=plf-f&amp;src=s&amp;citedAuthorId=55572604000&amp;imp=t&amp;sid=9a4987f3b1ca72d6a356729701704127&amp;sot=cite&amp;sdt=cite&amp;cluster=scopubyr%2c%222022%22%2ct&amp;sl=0&amp;relpos=7&amp;citeCnt=0&amp;searchTerm=</t>
  </si>
  <si>
    <t>FING11</t>
  </si>
  <si>
    <t>Development and Validation of a Novel Technology for Postural Analysis and Human Kinematics, Peco, R.L., Ruiz, R.M., Soto-Sánchez, C., Fernández, E. , Lecture Notes in Computer Science (including subseries Lecture Notes in Artificial Intelligence and Lecture Notes in Bioinformatics)
13259 LNCS, pp. 492-504</t>
  </si>
  <si>
    <t>https://www.scopus.com/record/display.uri?eid=2-s2.0-85132112749&amp;origin=resultslist&amp;sort=plf-f&amp;src=s&amp;citedAuthorId=55572604000&amp;imp=t&amp;sid=9a4987f3b1ca72d6a356729701704127&amp;sot=cite&amp;sdt=cite&amp;cluster=scopubyr%2c%222022%22%2ct&amp;sl=0&amp;relpos=8&amp;citeCnt=0&amp;searchTerm=</t>
  </si>
  <si>
    <t>FING12</t>
  </si>
  <si>
    <t>Knowledge Management as a Sustainable Development Supporting Method in Manufacturing Organizations – A Systematic Literature Review, Szczekala, Ł., Stadnicka, D., Lecture Notes in Networks and Systems
335 LNNS, pp. 431-459</t>
  </si>
  <si>
    <t>https://www.scopus.com/record/display.uri?eid=2-s2.0-85128974840&amp;origin=resultslist&amp;sort=plf-f&amp;src=s&amp;citedAuthorId=55572604000&amp;imp=t&amp;sid=9a4987f3b1ca72d6a356729701704127&amp;sot=cite&amp;sdt=cite&amp;cluster=scopubyr%2c%222022%22%2ct&amp;sl=0&amp;relpos=9&amp;citeCnt=1&amp;searchTerm=</t>
  </si>
  <si>
    <t>FING13</t>
  </si>
  <si>
    <t>FING14</t>
  </si>
  <si>
    <t>Augmented Reality for Managerial Tasks: Review and Implications for Engineering and Operations Management, Nelson, J., Keathley, H., EMJ - Engineering Management Journal
34(4), pp. 638-654</t>
  </si>
  <si>
    <t>https://www.scopus.com/record/display.uri?eid=2-s2.0-85120351794&amp;origin=resultslist&amp;sort=plf-f&amp;src=s&amp;citedAuthorId=55572604000&amp;imp=t&amp;sid=9a4987f3b1ca72d6a356729701704127&amp;sot=cite&amp;sdt=cite&amp;cluster=scopubyr%2c%222022%22%2ct&amp;sl=0&amp;relpos=11&amp;citeCnt=1&amp;searchTerm=</t>
  </si>
  <si>
    <t>FING15</t>
  </si>
  <si>
    <t xml:space="preserve">     
Integration of Virtual Reality and Augmented Reality in Physical Rehabilitation: A State-of-the-Art Review ,     Vaidehi Patil, Jyotindra Narayan, Kamalpreet Sandhu &amp; Santosha K. Dwivedy  , Revolutions in Product Design for Healthcare</t>
  </si>
  <si>
    <t>https://link.springer.com/chapter/10.1007/978-981-16-9455-4_10</t>
  </si>
  <si>
    <t>FING16</t>
  </si>
  <si>
    <t>Touch-based Augmented Reality Marking Techniques on Production Parts , Arno Schmetza,b,*, Martin Bellgardtd,*, Vincent Wehrwein, Torsten Kuhlend, Christian Brechera,c , Leading manufacturing systems transformation – Proceedings of the 55th CIRP Conference on Manufacturing Systems 2022</t>
  </si>
  <si>
    <t>https://www.sciencedirect.com/science/article/pii/S221282712200302X</t>
  </si>
  <si>
    <t>Loskyll M. (DFKI), Schlick J. (DFKI), Hodek S. (DFKI), Ollinger L. (DFKI), Gerber T. (DFKI), Pirvu B.C (ULBS)</t>
  </si>
  <si>
    <t>Semantic Service Discovery and Orchestration for Manufacturing Processes</t>
  </si>
  <si>
    <t>Requirements engineering and enterprise architecture-based software discovery and reuse
By:Belfadel, A (Belfadel, Abdelhadi) [1] ; Laval, J (Laval, Jannik) [1] ; Cherifi, CB (Cherifi, Chantal Bonner) [1] ; Moalla, N (Moalla, Nejib) [1]
 (provided by Clarivate) 
Volume18
Issue1
Page39-60
Special IssueSI
DOI10.1007/s11334-021-00423-5
LanguageEnglish
Accession NumberWOS:000740176400001
ISSN1614-5046
eISSN1614-5054
Other Information
IDS Number1K5EC
PublishedMAR 2022
Early AccessJAN 2022
Indexed2022-01-12
Document TypeArticle</t>
  </si>
  <si>
    <t>https://link.springer.com/article/10.1007/s11334-021-00423-5</t>
  </si>
  <si>
    <t>Pirvu B., Zamfirescu B.-C.</t>
  </si>
  <si>
    <t>Smart factory in the context of 4th industrial revolution: challenges and opportunities for Romania</t>
  </si>
  <si>
    <t xml:space="preserve">Althabhawi N.M., Zainol Z.A., Bagheri P.
AUTHOR FULL NAMES: Althabhawi, Nabeel Mahdi (55653352300); Zainol, Zinatul Ashiqin (35313154800); Bagheri, Parviz (55208660800)
55653352300; 35313154800; 55208660800
Society 5.0: A New Challenge to Legal Norms
(2022) Sriwijaya Law Review, 6 (1), pp. 41 - 54
DOI: 10.28946/slrev.Vol6.Iss1.1415.pp41-54
https://www.scopus.com/inward/record.uri?eid=2-s2.0-85125715147&amp;doi=10.28946%2fslrev.Vol6.Iss1.1415.pp41-54&amp;partnerID=40&amp;md5=bf5fa782528d4ea1bb756ee45145464e
DOCUMENT TYPE: Article
PUBLICATION STAGE: Final
OPEN ACCESS: All Open Access; Gold Open Access
SOURCE: Scopus
</t>
  </si>
  <si>
    <t>https://xjournals.com/collections/articles/Article?qt=EWFhyPlN0z/ZAdoz4wSKI3tEwKzbZUqjd1gl5dQPVrlS4Rxo6WR7GylaflEvJ21J</t>
  </si>
  <si>
    <t xml:space="preserve">Emara, M.S.I., The Fourth Industrial Revolution and its Contribution to Urban Growth, Scientific Journal of King Faisal University Basic and Applied Sciences, Volume 23, Issue 1, Pages 9 - 16, 2022, </t>
  </si>
  <si>
    <t>https://services.kfu.edu.sa/ScientificJournal/en/Home/ContentsDetails/25697</t>
  </si>
  <si>
    <t>Reconfiguration ramp-up cost analysis for a reconfigurable guillotine shear and bending press machine
By:Sibanda, V (Sibanda, Vennan) [1] ; Mpofu, K (Mpofu, Khumbulani) [1] ; Daniyan, I (Daniyan, Ilesanmi) [1] ; Ale, F (Ale, Felix) [2]
Volume9
Issue1
Article Number2085002
DOI10.1080/23311916.2022.2085002
PublishedDEC 31 2022
Indexed2022-06-22
Document TypeArticle
LanguageEnglish
Accession NumberWOS:000809659800001
ISSN2331-1916
Other Information
IDS Number2A7ED</t>
  </si>
  <si>
    <t>https://www.tandfonline.com/doi/full/10.1080/23311916.2022.2085002</t>
  </si>
  <si>
    <t>Arpad Gellert (ULBS),Radu Sorostinean (ULBS), Bogdan-Constantin Pirvu (ULBS)</t>
  </si>
  <si>
    <t>Robust assembly assistance using informed tree search with Markov chains</t>
  </si>
  <si>
    <t>Design of Cognitive Assistance Systems in Manual Assembly Based on Quality Function Deployment
By:Pokorni, B (Pokorni, Bastian) [1] ; Popescu, D (Popescu, Daniela) [2] ; Constantinescu, C (Constantinescu, Carmen) [1]
 (provided by Clarivate) 
Volume12
Issue8
Article Number3887
DOI10.3390/app12083887
PublishedAPR 2022
Indexed2022-04-28
Document TypeArticle
LanguageEnglish
Accession NumberWOS:000785093400001
eISSN2076-3417
Other Information
IDS Number0Q7KT</t>
  </si>
  <si>
    <t>https://www.mdpi.com/2076-3417/12/8/3887</t>
  </si>
  <si>
    <t>A Novel Analytical Modeling Approach for Quality Propagation of Transient Analysis of Serial Production Systems
By:Liu, SH (Liu, Shihong) [1] ; Du, SC (Du, Shichang) [1] ; Xi, LF (Xi, Lifeng) [1] ; Shao, YP (Shao, Yiping) [2] ; Huang, DL (Huang, Delin) [3]
 (provided by Clarivate) 
Volume22
Issue6
Article Number2409
DOI10.3390/s22062409
PublishedMAR 2022
Indexed2022-04-13
Document TypeArticle
LanguageEnglish
Accession NumberWOS:000774743900001
PubMed ID35336581
eISSN1424-8220
Other Information
IDS Number0B6LL</t>
  </si>
  <si>
    <t>https://www.mdpi.com/1424-8220/22/6/2409</t>
  </si>
  <si>
    <t xml:space="preserve">Monitoring Human Performance Through Deep Learning and Computer Vision in Industry 4.0
(2023) Lecture Notes in Networks and Systems, 531 LNNS, pp. 309 - 318, Cited 0 times.
Alfaro-Viquez D., Zamora-Hernandez M.-A., Benavent-Lledo M., Garcia-Rodriguez J., Azorín-López J.
DOI: 10.1007/978-3-031-18050-7_30
https://www.scopus.com/inward/record.uri?eid=2-s2.0-85141652370&amp;doi=10.1007%2f978-3-031-18050-7_30&amp;partnerID=40&amp;md5=ffd9a8cdcce3ed364f34b3ac8dbdd429
DOCUMENT TYPE: Conference paper
PUBLICATION STAGE: Final
SOURCE: Scopus
</t>
  </si>
  <si>
    <t>https://link.springer.com/chapter/10.1007/978-3-031-18050-7_30</t>
  </si>
  <si>
    <t>Radu Sorostinean (ULBS), Arpad Gellert (ULBS), Bogdan-Constantin Pirvu (ULBS)</t>
  </si>
  <si>
    <t>Assembly assistance system with decision trees and ensemble learning</t>
  </si>
  <si>
    <t>An integrated surrogate model constructing method: Annealing combinable Gaussian process
By:Wang, BL (Wang, Binglin) [1] ; Yan, L (Yan, Liang) [1] ; Duan, XJ (Duan, Xiaojun) [1] ; Yu, TP (Yu, Tongpu) [2] ; Zhang, H (Zhang, Hao) [2]
 (provided by Clarivate) 
Volume591
Page176-194
DOI10.1016/j.ins.2022.01.021
PublishedAPR 2022
Early AccessJAN 2022
Indexed2022-03-28
Document TypeArticle
LanguageEnglish
Accession NumberWOS:000770687400010
ISSN0020-0255
eISSN1872-6291
Other Information
IDS NumberZV7DY</t>
  </si>
  <si>
    <t>https://www.sciencedirect.com/science/article/pii/S002002552200024X</t>
  </si>
  <si>
    <t>A Combined Approach for Predicting Employees' Productivity based on Ensemble Machine Learning Methods
By:Obiedat, R (Obiedat, Ruba) [1] ; Toubasi, S (Toubasi, Sara) [1]
Volume46
Issue5
Page49-58
DOI10.31449/inf.v46i5.3839
PublishedMAR 2022
Indexed2022-04-01
Document TypeArticle
LanguageEnglish
Accession NumberWOS:000772659800001
ISSN0350-5596
eISSN1854-3871
Other Information
IDS NumberZY5XJ</t>
  </si>
  <si>
    <t>https://www.informatica.si/index.php/informatica/article/view/3839</t>
  </si>
  <si>
    <t>Lehmann M.A.
AUTHOR FULL NAMES: Lehmann, Marlon Antonin (57225709058)
57225709058
Intelligent assistance systems for assembly tasks
(2022) The Future of Smart Production for SMEs: A Methodological and Practical Approach Towards Digitalization in SMEs, pp. 203 - 211, Cited 1 times.
DOI: 10.1007/978-3-031-15428-7_17
https://www.scopus.com/inward/record.uri?eid=2-s2.0-85160470283&amp;doi=10.1007%2f978-3-031-15428-7_17&amp;partnerID=40&amp;md5=f49696e91e9bdacaeb14a529115a0c6e
DOCUMENT TYPE: Book chapter
PUBLICATION STAGE: Final
SOURCE: Scopus</t>
  </si>
  <si>
    <t>https://link.springer.com/chapter/10.1007/978-3-031-15428-7_17</t>
  </si>
  <si>
    <t>Product Assembly Assistance System Based on Pick-To-Light and Computer Vision Technology
By:Hercog, D (Hercog, Darko) [1] ; Bencak, P (Bencak, Primoz) [2] ; Vincetic, U (Vincetic, Uros) [3] ; Lerher, T (Lerher, Tone) [3]
Volume22
Issue24
Article Number9769
DOI10.3390/s22249769
PublishedDEC 2022
Indexed2023-01-07
Document TypeArticle
LanguageEnglish
Accession NumberWOS:000903372900001
PubMed ID36560137
eISSN1424-8220
Other Information
IDS Number7H7IP</t>
  </si>
  <si>
    <t>https://www.mdpi.com/1424-8220/22/24/9769</t>
  </si>
  <si>
    <t>Li A., Yang F., Yang J., Yan W.
AUTHOR FULL NAMES: Li, Aiguo (55699902400); Yang, Fan (57750158400); Yang, Jie (57192460171); Yan, Wenhao (58037483900)
55699902400; 57750158400; 57192460171; 58037483900
Bagging decision-making and early warning algorithm fused with temporal features
(2022) Proceedings of SPIE - The International Society for Optical Engineering, 12492, art. no. 124920E, Cited 0 times.
DOI: 10.1117/12.2661195
https://www.scopus.com/inward/record.uri?eid=2-s2.0-85145256215&amp;doi=10.1117%2f12.2661195&amp;partnerID=40&amp;md5=6534501b9ccc0d894301433ff76fe448
DOCUMENT TYPE: Conference paper
PUBLICATION STAGE: Final
SOURCE: Scopus</t>
  </si>
  <si>
    <t>https://ui.adsabs.harvard.edu/abs/2022SPIE12492E..0EL/abstract</t>
  </si>
  <si>
    <t>Arpad Gellert (ULBS), Stefan-Alexandru Precup(ULBS), Bogdan-Constantin Pirvu(ULBS), Ugo Fiore (Parthenope University) ,Constantin-Bala Zamfirescu(ULBS), Francesco Palmieri (University of Salerno)</t>
  </si>
  <si>
    <t>An Empirical Evaluation of Prediction by Partial Matching in Assembly Assistance Systems</t>
  </si>
  <si>
    <t>Artificial intelligence for industry 4.0: Systematic review of applications, challenges, and opportunities
By:Jan, Z (Jan, Zohaib) [1] , [3] ; Ahamed, F (Ahamed, Farhad) [1] ; Mayer, W (Mayer, Wolfgang) [1] ; Patel, N (Patel, Niki) [1] ; Grossmann, G (Grossmann, Georg) [1] ; Stumptner, M (Stumptner, Markus) [1] ; Kuusk, A (Kuusk, Ana) [2]
 (provided by Clarivate) 
Volume216
Article Number119456
DOI10.1016/j.eswa.2022.119456
PublishedAPR 15 2023
Early AccessJAN 2023
Indexed2023-03-05
Document TypeReview
LanguageEnglish
Accession NumberWOS:000928288000001
ISSN0957-4174
eISSN1873-6793
Other Information
IDS Number8S0ON</t>
  </si>
  <si>
    <t>https://www.sciencedirect.com/science/article/pii/S0957417422024757</t>
  </si>
  <si>
    <t>Antanasijevic D., Ristic S., Viestica M., Dimitrieski V., Pisaric M.
Towards a Formal Specification of Human Worker for Industry 4.0
(2022) 2022 IEEE 16th International Scientific Conference on Informatics, Informatics 2022 - Proceedings, pp. 33 - 38, Cited 0 times.
DOI: 10.1109/Informatics57926.2022.10083444
https://www.scopus.com/inward/record.uri?eid=2-s2.0-85153385080&amp;doi=10.1109%2fInformatics57926.2022.10083444&amp;partnerID=40&amp;md5=22bbd7bb37f9c9f08a48b1eea3482086</t>
  </si>
  <si>
    <t>https://ieeexplore.ieee.org/abstract/document/10083444</t>
  </si>
  <si>
    <t>A. Gellert (ULBS), S. -A. Precup  (ULBS), B. -C. Pirvu  (ULBS), C. -B. Zamfirescu  (ULBS)</t>
  </si>
  <si>
    <t>Prediction-based assembly assistance system</t>
  </si>
  <si>
    <t>Oestreich H., Heinz-Jakobs M., Sehr P., Wrede S.
Human-Centered Adaptive Assistance Systems for the Shop Floor
(2022) Human-Technology Interaction: Shaping the Future of Industrial User Interfaces, pp. 83 - 125, Cited 2 times.
DOI: 10.1007/978-3-030-99235-4_4
https://www.scopus.com/inward/record.uri?eid=2-s2.0-85137900164&amp;doi=10.1007%2f978-3-030-99235-4_4&amp;partnerID=40&amp;md5=77386d1541fbf83b74ea1ceceb5dc321</t>
  </si>
  <si>
    <t>https://link.springer.com/chapter/10.1007/978-3-030-99235-4_4</t>
  </si>
  <si>
    <t>Popa Daniela</t>
  </si>
  <si>
    <t>Purcar Carmen</t>
  </si>
  <si>
    <t>Maria Virginia Iuga (Marquardt), Liviu Ion Rosca (ULBS)</t>
  </si>
  <si>
    <t>Comparison of problem solving tools in lean organizations</t>
  </si>
  <si>
    <t>Pankaj M. Madhani, Lean Six Sigma deployment in HR: enhancing business performance, International Journal of Human Resources …, 2022 - inderscienceonline.com</t>
  </si>
  <si>
    <t>https://www.inderscienceonline.com/doi/abs/10.1504/IJHRDM.2022.121314</t>
  </si>
  <si>
    <t>https://www.scopus.com/results/citedbyresults.uri?sort=plf-f&amp;cite=2-s2.0-85028381211&amp;src=s&amp;imp=t&amp;sid=96cd15d8a7812133d77881f70d1e685a&amp;sot=cite&amp;sdt=a&amp;sl=0&amp;origin=resultslist&amp;editSaveSearch=&amp;txGid=ceb6ce7d65365ac6c71e995be5bce869</t>
  </si>
  <si>
    <t>Rosca Liviu</t>
  </si>
  <si>
    <t>Maria Virginia Iuga (Marquardt), Claudiu Vasile Kifor (ULBS), Liviu-Ion Rosca (ULBS)</t>
  </si>
  <si>
    <t>SHOP FLOOR KEY PERFORMANCE INDICATORS IN AUTOMOTIVE ORGANIZATIONS</t>
  </si>
  <si>
    <t>Chen Fung Liew; Joshua Prakash; Kok Seng Ong - Integration of financial performance measure with overall equipment effectiveness for assessing operational performance: a structured literature review, International Journal of Productivity and Quality ManagementVol. 37, No. 1</t>
  </si>
  <si>
    <t>https://www.inderscienceonline.com/doi/abs/10.1504/IJPQM.2022.126008?journalCode=ijpqm</t>
  </si>
  <si>
    <t>https://www.scopus.com/results/citedbyresults.uri?sort=plf-f&amp;cite=2-s2.0-84941800315&amp;src=s&amp;imp=t&amp;sid=6b86a07e0be9d87b6d4c785046f63fc7&amp;sot=cite&amp;sdt=a&amp;sl=0&amp;origin=resultslist&amp;editSaveSearch=&amp;txGid=4a91756caa2c76194e4db21d2aa03d34</t>
  </si>
  <si>
    <t>Mihaela Ulmeanu (UPB), Cristian Doicin (UPB), Liviu Roșca (ULBS), Allan Rennie (UK), Tom Abram (TK), Paula Bajdor (PL)</t>
  </si>
  <si>
    <t>TecHUB 4.0-Technology and entrepreneurship education for bridging the gap in smart product development</t>
  </si>
  <si>
    <t>Cristina Mele, Marialuisa Marzullo,  Swapnil Morande, Tiziana Russo Spena - How Artificial Intelligence Enhances Human Learning Abilities: Opportunities in the Fight Against COVID-19, Service Science, 2022</t>
  </si>
  <si>
    <t>https://pubsonline.informs.org/doi/abs/10.1287/serv.2021.0289</t>
  </si>
  <si>
    <t>https://www.scopus.com/results/citedbyresults.uri?sort=plf-f&amp;cite=2-s2.0-85099535772&amp;src=s&amp;imp=t&amp;sid=55b29f7044c3ae71ab0e349523de394f&amp;sot=cite&amp;sdt=a&amp;sl=0&amp;origin=resultslist&amp;editSaveSearch=&amp;txGid=1c1054ad602358411eefc7f198f9deb3</t>
  </si>
  <si>
    <t>https://1510q2wtr-y-https-www-webofscience-com.z.e-nformation.ro/wos/woscc/full-record/WOS:000902525300001</t>
  </si>
  <si>
    <t>Savescu, R.F. (ULBS); Rotaru, M. (ULBS)</t>
  </si>
  <si>
    <t>Testing the Assumptions of a Linear Regression Model. Case Study: Seurop Pig Carcass Classification System in Romania.</t>
  </si>
  <si>
    <t>Iordache Platis, M.; Olteanu, C.; Hotoi, A.L. Evolution of the Online Sales of Sustainable Products in the COVID-19 Pandemic. Sustainability 2022, 14, 15291. https://doi.org/10.3390/su142215291</t>
  </si>
  <si>
    <t>https://1510q6buz-y-https-www-webofscience-com.z.e-nformation.ro/wos/woscc/full-record/WOS:000887754700001</t>
  </si>
  <si>
    <t xml:space="preserve">	
Sǎvescu, R. (ULBS), 
Stoe, A.M. (Faurecia), 
Rotaru, M. (ULBS)</t>
  </si>
  <si>
    <t>Stress among working college students Case Study: Faculty of Engineering Sibiu, Romania</t>
  </si>
  <si>
    <t xml:space="preserve">Stress among Students and Difficulty with Time Management: A Study at the University of Galați in Romania
Lovin, Daniel
Bernardeau-Moreau, Denis
</t>
  </si>
  <si>
    <t>https://151096bx5-y-https-www-scopus-com.z.e-nformation.ro/record/display.uri?eid=2-s2.0-85144675567&amp;origin=resultslist&amp;sort=plf-f&amp;cite=2-s2.0-85041108183&amp;src=s&amp;imp=t&amp;sid=5e8f55f12d3fd9eed3d2d32ba3497e01&amp;sot=cite&amp;sdt=a&amp;sl=0&amp;relpos=0&amp;citeCnt=0&amp;searchTerm=</t>
  </si>
  <si>
    <t xml:space="preserve">SĂVESCU, R (ULBS).; Kifor, Ș (ULBS).; Dănuț, R (ULBS).; Rusu, R (AFT). </t>
  </si>
  <si>
    <t xml:space="preserve">Transition from Office to Home Office: Lessons from Romania during COVID-19 Pandemic. </t>
  </si>
  <si>
    <t>Becerra-Astudillo, L.; Vargas-Diaz, B.; Molina, C.; Serrano-Malebran, J.; Garzon-Lasso, F., Teleworking in times of a pandemic: An applied study of industrial companies, FRONTIERS IN PSYCHOLOGY, 2022, Volume 13, Article Number 1061529, doi: 10.3389/fpsyg.2022.1061529, WOS:000892776500001
Document Type: Article</t>
  </si>
  <si>
    <t>10.3389/fpsyg.2022.1061529</t>
  </si>
  <si>
    <t>Slavov, S., Markov, O., A TOOL FOR BALL BURNISHING WITH ABILITY FOR WIRE AND WIRELESS MONITORING OF THE DEFORMING FORCE VALUES. 
ACTA TECHNICA NAPOCENSIS SERIES-APPLIED MATHEMATICS MECHANICS AND ENGINEERING, 65 (4), 2022</t>
  </si>
  <si>
    <t>https://www.webofscience.com/wos/woscc/full-record/WOS:000969679100047</t>
  </si>
  <si>
    <t>Geometrical Planning of the Medial Opening Wedge High Tibial Osteotomy—An Experimental Approach</t>
  </si>
  <si>
    <t>Cofaru, I.I., Oleksik, M., Cofaru, N.F., Brănescu, A.H., Hașegan, A., Roman, M.D., Fleacă, S.R., Dobrotă, D.R. A Computer-Assisted Approach Regarding the Optimization of
the Geometrical Planning of Medial Opening Wedge High
Tibial Osteotomy, Appl. Sci., 12(13), 2022</t>
  </si>
  <si>
    <t>Simion, C. (ULBS)</t>
  </si>
  <si>
    <t>Measurement system analysis by attribute, an effective tool to ensure the quality of the visual inspection process within an organization</t>
  </si>
  <si>
    <t>Zhao, RH., Luo, L., Li, PZ,  Wang, JG., An industrial heterogeneous data based quality management KPI visualization system for product quality control. ASSEMBLY AUTOMATION, 42 (6), 2022</t>
  </si>
  <si>
    <t>https://www.webofscience.com/wos/woscc/full-record/WOS:000879700100001</t>
  </si>
  <si>
    <t>Aust, J., Pons, D., Assessment of Aircraft Engine Blade Inspection Performance Using Attribute Agreement Analysis. SAFETY, 8 (2), 2022</t>
  </si>
  <si>
    <t>https://www.webofscience.com/wos/woscc/full-record/WOS:000817640200001</t>
  </si>
  <si>
    <t>Evaluation of an attributive measurement system in the automotive industry</t>
  </si>
  <si>
    <t>Aust, J., Pons, D., Assessment of Aircraft Engine Blade Inspection Performance Using Attribute Agreement Analysis. SAFETY, 8 (2), 2022.</t>
  </si>
  <si>
    <t>T. Chartsuwan and K. Chomsuwan, "Case-Based Online Training for Improving Visual Inspection Capability of Employee in Electronic Manufacturing," 2022 7th International STEM Education Conference (iSTEM-Ed), Sukhothai, Thailand, 2022, pp. 1-4, doi: 10.1109/iSTEM-Ed55321.2022.9920919.</t>
  </si>
  <si>
    <t>https://ieeexplore.ieee.org/document/9920919</t>
  </si>
  <si>
    <t>Ciora, R. A. (ULBS), Simion, C. M. (ULBS), Cioca, M. (ULBS)</t>
  </si>
  <si>
    <t>Quality Improvement Based on Big Data Analysis. Book Series: Communications in Computer and Information Science</t>
  </si>
  <si>
    <t>Ertz, M., Sun, S., Boily, E., Kubiat, P., Quenum, G.G.Y., How transitioning to Industry 4.0 promotes circular product lifetimes. Industrial Marketing Management, 101, 2022.</t>
  </si>
  <si>
    <t>https://www.scopus.com/record/display.uri?eid=2-s2.0-85121535401&amp;origin=resultslist&amp;sort=plf-f&amp;cite=2-s2.0-84964026901&amp;src=s&amp;imp=t&amp;sid=d0d1334f33fc85975dd911d94a13b0da&amp;sot=cite&amp;sdt=a&amp;sl=0&amp;relpos=0&amp;citeCnt=22&amp;searchTerm=</t>
  </si>
  <si>
    <t xml:space="preserve">Assessment of human capability, an effective tool to obtain confidence in the visual inspection process. </t>
  </si>
  <si>
    <t>Aust, J., Pons, D., Comparative Analysis of Human Operators and Advanced Technologies in the Visual Inspection of Aero Engine Blades. Appl. Sci. 12 (4), 2022</t>
  </si>
  <si>
    <t>https://www.mdpi.com/2076-3417/12/4/2250</t>
  </si>
  <si>
    <t>Aust, J., Pons, D., Assessment of aircraft engine blade inspection performance using attribute agreement analysis</t>
  </si>
  <si>
    <t>https://www.mdpi.com/2313-576X/8/2/23</t>
  </si>
  <si>
    <t xml:space="preserve">Toma, E. (ULBS), Simion, C. (ULBS) </t>
  </si>
  <si>
    <t>The improvement of EDM pulse generator performance by use of the news silicon-carbide MOS transistors</t>
  </si>
  <si>
    <t>Chang C-Y, Tseng K-H, Chang J-T, Chung M-Y, Lin Z-Y. A Study of Nano-Tungsten Colloid Preparing by the Electrical Spark Discharge Method. Micromachines. 2022; 13(11):2009. https://doi.org/10.3390/mi13112009</t>
  </si>
  <si>
    <t>https://www.mdpi.com/2072-666X/13/11/2009</t>
  </si>
  <si>
    <t>Quality Improvement Based on Big Data Analysis</t>
  </si>
  <si>
    <t>Ertz, M., Sun, S., Boily, E., Kubiat, P., &amp; Quenum, G. G. Y. (2022). How transitioning to Industry 4.0 promotes circular product lifetimes. Industrial Marketing Management, 101, 125-140.</t>
  </si>
  <si>
    <t>https://www.sciencedirect.com/science/article/pii/S0019850121002406?casa_token=Eg6GLIHJrxAAAAAA:E08vExaXyKoni2xMQRVeeY5Uu68wMpcZce4Qe7JLdBgGdn3LhTzD5hhZ8CSHwn8NOep0ABLL</t>
  </si>
  <si>
    <t>Assessing Bias and Linearity of a Measurement System</t>
  </si>
  <si>
    <t>Subekti, A., Cahyono, B. E., Misto, M., Nugroho, A. T. Static characteristics analysis of ultrasonic sensor HC-SR 04 and its application to water level monitoring based on Arduino Uno. In AIP Conference Proceedings (Vol. 2663, No. 1). AIP Publishing, 2022.</t>
  </si>
  <si>
    <t>https://www.scopus.com/record/display.uri?eid=2-s2.0-85139120321&amp;origin=resultslist&amp;sort=plf-f&amp;src=s&amp;st1=Static+characteristics+analysis+of+ultrasonic+sensor+HC-SR+04+and+its+application+to+water+level+monitoring+based+on+Arduino+Uno&amp;sid=e2cde1786fcbd95c0993e11cd6c64652&amp;sot=b&amp;sdt=b&amp;sl=135&amp;s=TITLE%28Static+characteristics+analysis+of+ultrasonic+sensor+HC-SR+04+and+its+application+to+water+level+monitoring+based+on+Arduino+Uno%29&amp;relpos=0&amp;citeCnt=0&amp;searchTerm=</t>
  </si>
  <si>
    <t xml:space="preserve">Ciora, R. (ULBS), Simion., C., M. (ULBS) </t>
  </si>
  <si>
    <t xml:space="preserve">Industrial application of image processing. </t>
  </si>
  <si>
    <t>Singh, Surjeet, and Vivek Kumar Sehgal. "A Comprehensive Study: Image Forensic Analysis Traditional to Cognitive Image Processing." 2022 8th International Conference on Signal Processing and Communication (ICSC). IEEE, 2022.</t>
  </si>
  <si>
    <t>https://www.scopus.com/record/display.uri?eid=2-s2.0-85146943712&amp;origin=resultslist&amp;sort=plf-f&amp;src=s&amp;st1=A+Comprehensive+Study%3a+Image+Forensic+Analysis+Traditional+to+Cognitive+Image+Processing&amp;sid=d6a6be4fb2853cb4b923b227b501e279&amp;sot=b&amp;sdt=b&amp;sl=95&amp;s=TITLE%28A+Comprehensive+Study%3a+Image+Forensic+Analysis+Traditional+to+Cognitive+Image+Processing%29&amp;relpos=0&amp;citeCnt=0&amp;searchTerm=</t>
  </si>
  <si>
    <t>Luca, R. (ULBS), Troester, F. (Heilbronn University), Gall, R. (Heilbronn University), Simion, C. (ULBS)</t>
  </si>
  <si>
    <t>Autonomous Parking Procedures Using Ultrasonic Sensors</t>
  </si>
  <si>
    <t>Jo, Y., Hong, S., Ha, J., &amp; Hwang, S. (2022). Visual SLAM-based Vehicle Control for Autonomous Valet Parking. IEIE Transactions on Smart Processing &amp; Computing, 11(2), 119-125.</t>
  </si>
  <si>
    <t>https://www.scopus.com/record/display.uri?eid=2-s2.0-85135981358&amp;origin=resultslist&amp;sort=plf-f&amp;src=s&amp;st1=Visual+SLAM-based+Vehicle+Control+for+Autonomous+Valet+Parking&amp;sid=4920507663f0fdcd471dae5f11f8718f&amp;sot=b&amp;sdt=b&amp;sl=77&amp;s=TITLE-ABS-KEY%28Visual+SLAM-based+Vehicle+Control+for+Autonomous+Valet+Parking%29&amp;relpos=0&amp;citeCnt=0&amp;searchTerm=</t>
  </si>
  <si>
    <r>
      <rPr>
        <sz val="9"/>
        <color rgb="FF000000"/>
        <rFont val="Times New Roman"/>
      </rPr>
      <t xml:space="preserve">Andreea Angela STETIU, Adela DANCILA, M. MITARIU, B. SERB, Mihaela CERNUSCA MITARIU, Alina ORMENISAN, H. M. BARBU, Raluca Monica COMANEANU, </t>
    </r>
    <r>
      <rPr>
        <b/>
        <sz val="9"/>
        <color rgb="FF000000"/>
        <rFont val="Times New Roman"/>
      </rPr>
      <t>M. STETIU</t>
    </r>
  </si>
  <si>
    <t>The influence of the chemical composition of the saliva buffer capacity and the salivary pH on children with diabetes compared to non–diabetics.</t>
  </si>
  <si>
    <t>Evaluation of Unstimulated Salivary Flow and pH in Type I Diabetics Aged 6-16 years. Z Bahrololoomi, F Zare Bidoki, S Sajedi. International Journal of Pediatrics, 2022, https://doi.org/10.22038/ijp.2022.68599.5089</t>
  </si>
  <si>
    <t>https://ijp.mums.ac.ir/article_21468.html</t>
  </si>
  <si>
    <r>
      <rPr>
        <sz val="9"/>
        <color rgb="FF000000"/>
        <rFont val="Times New Roman"/>
      </rPr>
      <t xml:space="preserve">Andreea Angela ŞTEŢIU, </t>
    </r>
    <r>
      <rPr>
        <sz val="9"/>
        <color rgb="FF000000"/>
        <rFont val="Times New Roman"/>
      </rPr>
      <t xml:space="preserve">Valentin OLEKSIK, </t>
    </r>
    <r>
      <rPr>
        <b/>
        <sz val="9"/>
        <color rgb="FF000000"/>
        <rFont val="Times New Roman"/>
      </rPr>
      <t>Mircea ŞTEŢIU</t>
    </r>
    <r>
      <rPr>
        <sz val="9"/>
        <color rgb="FF000000"/>
        <rFont val="Times New Roman"/>
      </rPr>
      <t>, Mihai BURLIBASA, Victor TRAISTARU, Luminita OANCEA, Serban BERTESTEANU, Ileana IONESCU</t>
    </r>
  </si>
  <si>
    <t>Modelling and Finite Element Method in Dentistry</t>
  </si>
  <si>
    <t>Nour M.T. Ajaj AL-Kordy , Mohannad H. AL-Saadi. Finite Element Study of Stress Distribution with Tooth-Supported Mandibular Overdenture Retained by Ball Attachments or Resilient Telescopic Crowns. Eur J Dent
DOI: 10.1055/s-0042-1749363. 2022</t>
  </si>
  <si>
    <t>https://www.thieme-connect.com/products/ejournals/html/10.1055/s-0042-1749363</t>
  </si>
  <si>
    <r>
      <rPr>
        <sz val="10"/>
        <color theme="1"/>
        <rFont val="Arial Narrow"/>
      </rPr>
      <t xml:space="preserve">Tarnu Lucian (ULBS), </t>
    </r>
    <r>
      <rPr>
        <b/>
        <sz val="10"/>
        <color theme="1"/>
        <rFont val="Arial Narrow"/>
      </rPr>
      <t>Deac Cristian (ULBS)</t>
    </r>
    <r>
      <rPr>
        <sz val="10"/>
        <color theme="1"/>
        <rFont val="Arial Narrow"/>
      </rPr>
      <t>.</t>
    </r>
  </si>
  <si>
    <t>Yang, X.; Yang, F.; Shen, X.; Wang, E.; Zhang, X.; Shen, C.; Peng, W. Development of Adjustable Parallel Helmholtz Acoustic Metamaterial for Broad Low-Frequency Sound Absorption Band. Materials 2022, 15, 5938. https://doi.org/10.3390/ma15175938</t>
  </si>
  <si>
    <t>https://www.mdpi.com/1996-1944/15/17/5938</t>
  </si>
  <si>
    <t>Jandacka, D.; Decky, M.; Hodasova, K.; Pisca, P.; Briliak, D. Influence of the Urban Intersection Reconstruction on the Reduction of Road Traffic Noise Pollution. Appl. Sci. 2022, 12, 8878. https://doi.org/10.3390/app12178878</t>
  </si>
  <si>
    <t>https://www.mdpi.com/2076-3417/12/17/8878</t>
  </si>
  <si>
    <t>Lee, H.M.; Luo, W.; Xie, J.; Lee, H.P. Traffic Noise Reduction Strategy in a Large City and an Analysis of Its Effect. Appl. Sci. 2022, 12, 6027. https://doi.org/10.3390/app12126027</t>
  </si>
  <si>
    <t>https://www.mdpi.com/2076-3417/12/12/6027</t>
  </si>
  <si>
    <t>Ulag, S. (Marmara Univerity), Ilhan, E. (Marmara Univerity), Demirhan, R. (Marmara Univerity), Sahin, A. (Marmara Univerity), Yilmaz, B.K. (Marmara Univerity), Aksu, B. (Marmara Univerity), Sengor, M. (Marmara Univerity), Ficai, D. (UPB), Țîțu, M. (ULBS), Ficai, A.(UPB) and Gunduz, O. (Marmara Univerity)</t>
  </si>
  <si>
    <t>Propolis-Based Nanofiber Patches to Repair Corneal Microbial Keratitis</t>
  </si>
  <si>
    <t>Zhen Wang, Hongbo Li, Wei Zhou, Jintae Lee, Zhenbin Liu, Zhixing An, Dan Xu, Haizhen Mo, Liangbin Hu, Xiaohui Zhou,
Ferrous sulfate-loaded hydrogel cures Staphylococcus aureus infection via facilitating a ferroptosis-like bacterial cell death in a mouse keratitis model,
Biomaterials,
Volume 290,
2022,
121842,
ISSN 0142-9612,
https://doi.org/10.1016/j.biomaterials.2022.121842.</t>
  </si>
  <si>
    <t>https://doi.org/10.1016/j.biomaterials.2022.121842.</t>
  </si>
  <si>
    <t>Abdul Hameed, MM, Mohamed Khan, SAP, Thamer, BM, Rajkumar, N, El-Hamshary, H, El-Newehy, M. Electrospun nanofibers for drug delivery applications: Methods and mechanism. Polym Adv Technol. 2023; 34( 1): 6- 23. doi:10.1002/pat.5884</t>
  </si>
  <si>
    <t>https://doi.org/10.1002/pat.5884</t>
  </si>
  <si>
    <t>Dipak Kumar Sahu, Deepak Pradhan, Jitu Halder, Prativa Biswasroy, Biswakanth Kar, Goutam Ghosh, Goutam Rath,
Design and optimization of gatifloxacin loaded polyvinyl alcohol nanofiber for the treatment of dry eye infection: In vitro and in vivo evaluation,
Journal of Drug Delivery Science and Technology,
Volume 76,
2022,
103651,
ISSN 1773-2247,
https://doi.org/10.1016/j.jddst.2022.103651.</t>
  </si>
  <si>
    <t>https://doi.org/10.1016/j.jddst.2022.103651</t>
  </si>
  <si>
    <t>Zelca, Z.; Kukle, S.; Janceva, S.; Vilcena, L. Propolis Integration Methods into Solutions for Highly Loaded Propolis Fibers by Needleless Electrospinning. Molecules 2022, 27, 2311. https://doi.org/10.3390/molecules27072311</t>
  </si>
  <si>
    <t>https://doi.org/10.3390/molecules27072311</t>
  </si>
  <si>
    <t>Darshana Sakpal, Sankalp Gharat, Munira Momin,
Recent advancements in polymeric nanofibers for ophthalmic drug delivery and ophthalmic tissue engineering,
Biomaterials Advances,
Volume 141,
2022,
213124,
ISSN 2772-9508,
https://doi.org/10.1016/j.bioadv.2022.213124.</t>
  </si>
  <si>
    <t>https://doi.org/10.1016/j.bioadv.2022.213124</t>
  </si>
  <si>
    <t>Gunduz, O., &amp; Ulag, S. (2022). Gentamicin and fluconazole loaded electrospun polymethylmethacrylate (PMMA) fibers as a novel platform for the treatment of corneal keratitis [Article]. International Journal of Polymeric Materials and Polymeric Biomaterials. https://doi.org/10.1080/00914037.2022.2071271 </t>
  </si>
  <si>
    <t>https://doi.org/10.1080/00914037.2022.2071271 </t>
  </si>
  <si>
    <t>Ilhan, E., Cesur, S., Sulutas, R. B., Pilavci, E., Dalbayrak, B., Kaya, E., Arisan, E. D., Tinaz, G. B., Sengor, M., Kijeńska-Gawrońska, E., Oktar, F. N., &amp; Gunduz, O. (2022). The Role of Multilayer Electrospun Poly(Vinyl Alcohol)/Gelatin nanofibers loaded with Fluconazole and Cinnamaldehyde in the Potential Treatment of Fungal Keratitis [Article]. European Polymer Journal, 176, Article 111390. https://doi.org/10.1016/j.eurpolymj.2022.111390 </t>
  </si>
  <si>
    <t>https://doi.org/10.1016/j.eurpolymj.2022.111390 </t>
  </si>
  <si>
    <t>Izgis, H., Ilhan, E., Kalkandelen, C., Celen, E., Guncu, M. M., Turkoglu Sasmazel, H., Gunduz, O., Ficai, D., Ficai, A., &amp; Constantinescu, G. (2022). Manufacturing of Zinc Oxide Nanoparticle (ZnO NP)-Loaded Polyvinyl Alcohol (PVA) Nanostructured Mats Using Ginger Extract for Tissue Engineering Applications [Article]. Nanomaterials, 12(17), Article 3040. https://doi.org/10.3390/nano12173040 </t>
  </si>
  <si>
    <t>https://doi.org/10.3390/nano12173040 </t>
  </si>
  <si>
    <t>Ulag, S., Celik, S. E., Sengor, M., &amp; Gunduz, O. (2022). Fabrication of Amphotericin-B-loaded Sodium Alginate Nanoparticles for Biomedical Applications [Article]. BioNanoScience, 12(4), 1230-1237. https://doi.org/10.1007/s12668-022-01018-5 </t>
  </si>
  <si>
    <t>https://doi.org/10.1007/s12668-022-01018-5 </t>
  </si>
  <si>
    <t>Zelca, Z., Kukle, S., Janceva, S., &amp; Vilcena, L. (2022). Propolis Integration Methods into Solutions for Highly Loaded Propolis Fibers by Needleless Electrospinning [Article]. Molecules, 27(7), Article 2311. https://doi.org/10.3390/molecules27072311 </t>
  </si>
  <si>
    <t>https://doi.org/10.3390/molecules27072311 </t>
  </si>
  <si>
    <t>Titu, A.M.</t>
  </si>
  <si>
    <t>Nonconventional Technologies - a Great Future, Nonconventional Technologies Review Vol. 25 no. 1</t>
  </si>
  <si>
    <t>PETCU, Florin Ștefan, et al. "ASPECTS ON THE ANALYSIS AND QUANTIFICATION OF THE QUALITY OF PRODUCTS, WORKS AND SERVICES (II)." ACTA TECHNICA NAPOCENSIS-Series: APPLIED MATHEMATICS, MECHANICS, and ENGINEERING 65.1S (2022).</t>
  </si>
  <si>
    <t>https://atna-mam.utcluj.ro/index.php/Acta/article/view/1751</t>
  </si>
  <si>
    <t xml:space="preserve">Țîțu, M.(ULBS) Vizureanu, P.(UGA Iasi); Țîțu, Ș(IOCN).; Sandu, A.V(UGA Iasi).; Pop, A.B.(UTCN); Bucur, V.(ULBS); Ceocea, C.(UVA Bacau); Boroiu, A.(UPT) </t>
  </si>
  <si>
    <t>Experimental Research on the Cutting of Metal Materials by Electrical Discharge Machining with Contact Breaking with Metal Band as Transfer Object</t>
  </si>
  <si>
    <t xml:space="preserve">Pourasl, H.H.; Javidani, M.; Khojastehnezhad, V.M.; Vatankhah Barenji, R. The Performance Prediction of Electrical Discharge Machining of AISI D6 Tool Steel Using ANN and ANFIS Techniques: A Comparative Study. Crystals 2022, 12, 343. https://doi.org/10.3390/cryst12030343
</t>
  </si>
  <si>
    <t>https://doi.org/10.3390/cryst12030343</t>
  </si>
  <si>
    <t>Sönmez Maria (Inst. Cercetare UPB), Ficai Denisa (UPB), Ficai, A. (S.C. Metav R&amp;D S.A), Alexandrescu Laurentia (Inst. de Cercetare si Dezv. pt Textile si Piele), Georgescu M. (Inst. de Cercetare si Dezv. pt Textile si Piele), Trusca Roxana (S.C. Metav R&amp;D S.A), Gurau Dana (Inst. de Cercetare si Dezv. pt Textile si Piele), Țîțu M. (ULBS), Andronescu Ecaterina (UPB)</t>
  </si>
  <si>
    <t>Applications of mesoporous silica in biosensing and controlled release of insulin</t>
  </si>
  <si>
    <t xml:space="preserve">Arhami, M., &amp; Mahmoudi, J. (2022). Synthesis and study the loading and releasing of losartan potassium on the modified mesoporous silica [Article]. Chemical Papers, 76(6), 3949-3961. https://doi.org/10.1007/s11696-022-02152-w </t>
  </si>
  <si>
    <t xml:space="preserve">https://doi.org/10.1007/s11696-022-02152-w </t>
  </si>
  <si>
    <t xml:space="preserve">Bukhari, A. A. (2022). Design of Chitosan Based Acrylic Polymer As A Carrier for Water Soluble Drug [Article]. Egyptian Journal of Chemistry, 65(5), 657-664. https://doi.org/10.21608/ejchem.2021.103421.4783 </t>
  </si>
  <si>
    <t xml:space="preserve">https://doi.org/10.21608/ejchem.2021.103421.4783 </t>
  </si>
  <si>
    <t xml:space="preserve">Lian, K., Feng, H. Y., Liu, S. X., Wang, K. J., Liu, Q., Deng, L. P., Wang, G. Y., Chen, Y. H., &amp; Liu, G. Z. (2022). Insulin quantification towards early diagnosis of prediabetes/diabetes [Article]. Biosensors &amp; Bioelectronics, 203, Article 114029. https://doi.org/10.1016/j.bios.2022.114029 </t>
  </si>
  <si>
    <t xml:space="preserve">https://doi.org/10.1016/j.bios.2022.114029 </t>
  </si>
  <si>
    <t xml:space="preserve">Zhao, Y. R., Wang, L., Li, X. F., Zhang, L. M., Wang, D., &amp; Chen, C. X. (2022). Biomimetic Synthesis of Silica Nanotubes by Using Short Peptide Self-assemblies as Templates [Article]. Progress in Biochemistry and Biophysics, 49(9), 1785-1794. https://doi.org/10.16476/j.pibb.2021.0205 </t>
  </si>
  <si>
    <t xml:space="preserve">https://doi.org/10.16476/j.pibb.2021.0205 </t>
  </si>
  <si>
    <t xml:space="preserve">Zhong, Q., Zhou, S., Wang, X. M., Zhong, W., Ding, C. D., &amp; Fu, J. J. (2022). Construction of Mesoporous Silica Based Smart Delivery System and its Therapeutic Application in Various Diseases [Review]. Progress in Chemistry, 34(3), 696-716. https://doi.org/10.7536/pc210345 </t>
  </si>
  <si>
    <t xml:space="preserve">https://doi.org/10.7536/pc210345 </t>
  </si>
  <si>
    <t xml:space="preserve">Zhong, X. P., Wang, F. Q., Zeng, D. H., Chen, Y. J., &amp; Wang, S. B. (2022). Study on the Effect of Different Endoscopic Auxiliary Treatment of Gastric Mucosal Microtumor [Article]. Evidence-Based Complementary and Alternative Medicine, 2022, Article 2557952. https://doi.org/10.1155/2022/2557952 </t>
  </si>
  <si>
    <t xml:space="preserve">https://doi.org/10.1155/2022/2557952 </t>
  </si>
  <si>
    <t>Țîțu, M. (ULBS), Răulea, Andreea Simina (ULBS), Țîțu, S. (UMF Cluj)</t>
  </si>
  <si>
    <t>Measuring Service Quality in Tourism Industry</t>
  </si>
  <si>
    <t>Au, L. T. N., Hoang, H. T., &amp; Ho, L. T. H. Tax service quality for enterprises: development of a valid measurement scale [Article; Early Access]. Asia-Pacific Journal of Business Administration. https://doi.org/10.1108/apjba-01-2021-0033 </t>
  </si>
  <si>
    <t>https://doi.org/10.1108/apjba-01-2021-0033 </t>
  </si>
  <si>
    <t>Candia, S., &amp; Pirlone, F. (2022). Tourism Environmental Impacts Assessment to Guide Public Authorities towards Sustainable Choices for the Post-COVID Era [Article]. Sustainability, 14(1), Article 18. https://doi.org/10.3390/su14010018 </t>
  </si>
  <si>
    <t>https://doi.org/10.3390/su14010018 </t>
  </si>
  <si>
    <t>Hassanein, F., &amp; Ozgit, H. (2022). Sustaining Human Resources through Talent Management Strategies and Employee Engagement in the Middle East Hotel Industry [Article]. Sustainability, 14(22), Article 15365. https://doi.org/10.3390/su142215365 </t>
  </si>
  <si>
    <t>https://doi.org/10.3390/su142215365 </t>
  </si>
  <si>
    <t>Purwoko, A., Nurrochmat, D. R., Ekayani, M., Rijal, S., &amp; Garura, H. L. (2022). Examining the Economic Value of Tourism and Visitor Preferences: A Portrait of Sustainability Ecotourism in the Tangkahan Protection Area, Gunung Leuser National Park, North Sumatra, Indonesia [Article]. Sustainability, 14(14), Article 8272. https://doi.org/10.3390/su14148272 </t>
  </si>
  <si>
    <t>https://doi.org/10.3390/su14148272 </t>
  </si>
  <si>
    <t>Wang, X. P., Lai, I. K. W., Tang, H. J., &amp; Pang, C. (2022). Coordination Analysis of Sustainable Dual-Channel Tourism Supply Chain with the Consideration of the Effect of Service Quality [Article]. Sustainability, 14(11), Article 6530. https://doi.org/10.3390/su14116530 </t>
  </si>
  <si>
    <t>https://doi.org/10.3390/su14116530 </t>
  </si>
  <si>
    <t>Mutlu, Esra (Beykent University, Turkey), Birinci, Y.A. (Bolu Abant Izzet Baysal University, Turkey), Yildirim, M. (Bolu Abant Izzet Baysal University, Turkey), Ficai, A. (UPB), Ficai, Denisa (UPB), Oktar, F.N. (Marmara University), Țîțu, M. (ULBS), Cetinkaya, A. (Bolu Abant Izzet Baysal University, Turkey), Demir, A. (Duzce University, Turkey)</t>
  </si>
  <si>
    <t>Improvement of antibacterial and biocompatibility properties of electrospray biopolymer films by ZnO and MCM-41</t>
  </si>
  <si>
    <t xml:space="preserve">Ibili, H., &amp; Dasdemir, M. (2022). Formation, Characterization and Multifunctional Activity of Chitosan Nanoparticle Coating [Article]. Fibers and Polymers, 23(7), 1856-1869. https://doi.org/10.1007/s12221-022-4116-1 </t>
  </si>
  <si>
    <t xml:space="preserve">https://doi.org/10.1007/s12221-022-4116-1 </t>
  </si>
  <si>
    <t>Ardelean, Ioana Lavinia (UPB), Ficai, Denisa (UPB), Sonmez, Maria (Leather and Footwear Research Institute), Țîțu, M. (ULBS), Oprea, O. (UPB), Nechifor, Gh. (UPB), Andronescu, Ecaterina (UPB)</t>
  </si>
  <si>
    <t>Hybrid Magnetic Nanostructures For Cancer Diagnosis And Therapy</t>
  </si>
  <si>
    <t xml:space="preserve">Mao, X. M., Calero-Perez, P., Montpeyo, D., Bruna, J., Yuste, V. J., Candiota, A. P., Lorenzo, J., Novio, F., &amp; Ruiz-Molina, D. (2022). Intranasal Administration of Catechol-Based Pt(IV) Coordination Polymer Nanoparticles for Glioblastoma Therapy [Article]. Nanomaterials, 12(7), Article 1221. https://doi.org/10.3390/nano12071221 </t>
  </si>
  <si>
    <t xml:space="preserve">https://doi.org/10.3390/nano12071221 </t>
  </si>
  <si>
    <t>Țîțu, M. (ULBS), Sandu, A.V. (Gheorghe Asachi Tech Univ), Pop, A.B. (SC Tehnocad SA), Țîțu, Ș. (IOCN), Ciungu, T.C.(SC Construcii SA)</t>
  </si>
  <si>
    <t>The Taguchi Method Application to Improve the Quality of a Sustainable Process</t>
  </si>
  <si>
    <t>Amarir, I., Mounir, H., Rajad, O., &amp; Amadane, Y. (2022). Fatigue performance investigation on the automotive welded structure under damped loads using the Taguchi method [Article]. Heat Transfer, 52(1), 162-192. https://doi.org/10.1002/htj.22690 </t>
  </si>
  <si>
    <t>https://doi.org/10.1002/htj.22690 </t>
  </si>
  <si>
    <t>Choudhury, S., Rana, M., Chakraborty, A., Majumder, S., Roy, S., RoyChowdhury, A., &amp; Datta, S. (2022). Design of patient specific basal dental implant using Finite Element method and Artificial Neural Network technique [Article]. Proceedings of the Institution of Mechanical Engineers Part H-Journal of Engineering in Medicine, 236(9), 1375-1387. https://doi.org/10.1177/09544119221114729 </t>
  </si>
  <si>
    <t>https://doi.org/10.1177/09544119221114729 </t>
  </si>
  <si>
    <t>Leong, K. W., Shayfull, Z., Fathullah, M., Omar, M. F., Abdullah, M. M. A., Radhwang, H., Mazlan, A. H., Jez, B., &amp; Nabialek, M. (2022). SURFACE INTEGRITY EVALUATION ON ALUMINIUM-EPOXY COMPOSITE IN MACHINING USING TAGUCHI METHOD [Article]. Archives of Metallurgy and Materials, 67(1), 233-239. https://doi.org/10.24425/amm.2022.137495 </t>
  </si>
  <si>
    <t>https://doi.org/10.24425/amm.2022.137495 </t>
  </si>
  <si>
    <t>Tietjen, S., Graubner, I., &amp; Sradnick, A. (2022). Reducing peat in substrate mixture formulations for press pots using the Taguchi method [Article]. Scientia Horticulturae, 295, Article 110838. https://doi.org/10.1016/j.scienta.2021.110838 </t>
  </si>
  <si>
    <t>https://doi.org/10.1016/j.scienta.2021.110838 </t>
  </si>
  <si>
    <t>Țîțu, M.(ULBS), Pop, A.B.(SC Tehnocad SA), Ceocea, C. (Vasile Alecsandri Univ Bacau)</t>
  </si>
  <si>
    <t>Risk Assessment of Physical Security within a Technologized Knowledge Based Organization</t>
  </si>
  <si>
    <t xml:space="preserve">Al Zaabi, S. H., &amp; Zamri, R. (2022). Managing Security Threats through Touchless Security Technologies: An Overview of the Integration of Facial Recognition Technology in the UAE Oil and Gas Industry [Article]. Sustainability, 14(22), Article 14915. https://doi.org/10.3390/su142214915 </t>
  </si>
  <si>
    <t xml:space="preserve">https://doi.org/10.3390/su142214915 </t>
  </si>
  <si>
    <t>Țîțu, M. (ULBS), Oprean C. (ULBS), Grecu, D.(Autoklass Sibiu)</t>
  </si>
  <si>
    <t>Applying the KAIZEN method and the 5S technique in the activity of post-sale services in the KNOWLEDGE-based organization</t>
  </si>
  <si>
    <t>Bayev, V. V., Bakhov, I. S., Mirzodaieva, T. V., Rozmetova, O., &amp; Boretskaya, N. (2022). Theoretical and Methodological Fundamentals of the Modern Paradigm of Quality Management in the Field of Tourism [Article]. Journal of Environmental Management and Tourism, 13(2), 338-345, Article 58. https://doi.org/10.14505/jemt.v13.2(58).04 </t>
  </si>
  <si>
    <t>https://doi.org/10.14505/jemt.v13.2(58).04 </t>
  </si>
  <si>
    <t>Sam MFM, Suprapto B, Bakar KA. Application of Lean Manufacturing Tools: The Impact on Kaizen and Product Defection in Packaging Companies. Lecture Notes in Mechanical Engineering2022. p. 424-33.</t>
  </si>
  <si>
    <t>10.1007/978-981-16-8954-3_40</t>
  </si>
  <si>
    <t>Țîțu, M.(ULBS), Sandu A.V.(Gheorghe Asachi Tech Univ), Pop A.B.(SC Tehnocad SA), Titu S. (IOCN), Fratila D.N.(Grigore T. Popa University of Medicine and Pharmacy), Ceocea C. (“Vasile Alecsandri” University of Bacău), Boroiu A.(University of Piteşti)</t>
  </si>
  <si>
    <t>Design of experiment in the milling process of aluminum alloys in the aerospace industry</t>
  </si>
  <si>
    <t>Abiodun Balogun, O., Adewale Akinwande, A., Adebayo Ogunsanya, O., Oladele Ademati, A., Adesoji Adediran, A., John Erinle, T., &amp; Titilayo Akinlabi, E. (2022). Central composite design and optimization of selected stir casting parameters on flexural strength and fracture toughness mTiO2p/Al 7075 composites [Article]. Materials Today: Proceedings, 62, 4574-4583. https://doi.org/10.1016/j.matpr.2022.05.315 </t>
  </si>
  <si>
    <t>https://doi.org/10.1016/j.matpr.2022.05.315 </t>
  </si>
  <si>
    <t>Akinwande, A. A., Adediran, A. A., Balogun, O. A., Yibowei, M. E., Barnabas, A. A., Talabi, H. K., &amp; Olorunfemi, B. J. (2022). Optimization of selected casting parameters on the mechanical behaviour of Al 6061/glass powder composites [Article]. Heliyon, 8(5), Article e09350. https://doi.org/10.1016/j.heliyon.2022.e09350 </t>
  </si>
  <si>
    <t>https://doi.org/10.1016/j.heliyon.2022.e09350 </t>
  </si>
  <si>
    <t>Çamlı, K. Y., Demirsöz, R., Boy, M., Korkmaz, M. E., Yaşar, N., Giasin, K., &amp; Pimenov, D. Y. (2022). Performance of MQL and Nano-MQL Lubrication in Machining ER7 Steel for Train Wheel Applications [Article]. Lubricants, 10(4), Article 48. https://doi.org/10.3390/lubricants10040048 </t>
  </si>
  <si>
    <t>https://doi.org/10.3390/lubricants10040048 </t>
  </si>
  <si>
    <t>Chan, T. C., Chang, K. C., Chang, S. L., &amp; Chiang, P. H. (2022). Simulation, modeling, and experimental verification of moving column precision grinding machine [Article]. Journal of the Chinese Institute of Engineers, Transactions of the Chinese Institute of Engineers,Series A, 45(1), 54-64. https://doi.org/10.1080/02533839.2021.1983464 </t>
  </si>
  <si>
    <t>https://doi.org/10.1080/02533839.2021.1983464 </t>
  </si>
  <si>
    <t>Gomes, S. A., &amp; Ramaswamy, P. (2022). Plasma sprayed magnesium aluminate and alumina composite coatings from waste aluminum dross [Article]. Materials Today: Proceedings, 66, 2568-2574. https://doi.org/10.1016/j.matpr.2022.07.108 </t>
  </si>
  <si>
    <t>https://doi.org/10.1016/j.matpr.2022.07.108 </t>
  </si>
  <si>
    <t>Longo, F., Mirabelli, G., Solina, V., Alberto, U., De Paola, G., Giordano, L., &amp; Ziparo, M. (2022). A Simulation-Based Framework for Manufacturing Design and Resilience Assessment: A Case Study in the Wood Sector [Article]. Applied Sciences (Switzerland), 12(15), Article 7614. https://doi.org/10.3390/app12157614 </t>
  </si>
  <si>
    <t>Article 7614. https://doi.org/10.3390/app12157614 </t>
  </si>
  <si>
    <t>Matheswaran, P., Nandhini, R., Sasikumar, R., &amp; Mathumathi, M. (2022). Ensemble Machine learning based performance prediction of electrical discharge machining for AISI D6 tool steel [Article]. Materials Today: Proceedings, 69, 720-724. https://doi.org/10.1016/j.matpr.2022.07.138 </t>
  </si>
  <si>
    <t>https://doi.org/10.1016/j.matpr.2022.07.138 </t>
  </si>
  <si>
    <t>Morawski, M., Fikus, B., Woźniak, R., &amp; Trębiński, R. (2022). Application of Design of Experimental Methods in Theoretical Analysis of the Gas-Delayed Blowback Operation Firearm Action [Article]. Applied Sciences (Switzerland), 12(23), Article 12216. https://doi.org/10.3390/app122312216 </t>
  </si>
  <si>
    <t>https://doi.org/10.3390/app122312216 </t>
  </si>
  <si>
    <t>Pourasl, H. H., Javidani, M., Khojastehnezhad, V. M., &amp; Vatankhah Barenji, R. (2022). The Performance Prediction of Electrical Discharge Machining of AISI D6 Tool Steel Using ANN and ANFIS Techniques: A Comparative Study [Article]. Crystals, 12(3), Article 343. https://doi.org/10.3390/cryst12030343 </t>
  </si>
  <si>
    <t>https://doi.org/10.3390/cryst12030343 </t>
  </si>
  <si>
    <t>Prasad, S. V. G. V. A., Kamalakar, V., Madhusudhanan, J., Reddy Prasad, P., Adilakshmi, G., Manoj Kumar, N., Gopalan, A., Rajput, V. S., &amp; Ashok, N. (2022). Optimization and Mechanical Properties of TiO2Reinforced AA 7150 Composites Using Response Surface Methodology [Article]. Advances in Materials Science and Engineering, 2022, Article 5779840. https://doi.org/10.1155/2022/5779840 </t>
  </si>
  <si>
    <t>https://doi.org/10.1155/2022/5779840 </t>
  </si>
  <si>
    <t>Sena, S. (Marmara University, Turkey), Sumeyra, K.N. (Yeditepe University, Turkey), Ulkugul G. (Yeditepe University, Turkey), Sema, A. (Marmara University, Turkey), Betul, K. (Marmara University, Turkey), Muge, S.B. (Marmara University, Turkey), Sayip, E.M. (Marmara University, Turkey), Muhammet, U. (Marmara University, Turkey), Cevriye, K. (Istanbul University-Cerrahpasa, Turkey), Mahir, M. (Nanortopedi Industry and Trade Inc Turkey), Țîțu, M. (ULBS), Ficai, Denisa (UPB), Ficai, A. (UPB), Gunduz, O. (Marmara University, Turkey)</t>
  </si>
  <si>
    <t>Controlled Release of Metformin Hydrochloride from Core-Shell Nanofibers with Fish Sarcoplasmic Protein</t>
  </si>
  <si>
    <t>Babazade, R., Beyzanur Polat, E., Ertas, B., Ozcan, G. S., Kiyak Kirmaci, H., Tatar, E., Taskin, T., Yazir, Y., &amp; Emin Cam, M. (2022). Synergistic anticancer effects of metformin and Achillea vermicularis Trin-loaded nanofibers on human pancreatic cancer cell line: An in vitro study [Article]. European Polymer Journal, 179, Article 111565. https://doi.org/10.1016/j.eurpolymj.2022.111565 </t>
  </si>
  <si>
    <t>https://doi.org/10.1016/j.eurpolymj.2022.111565 </t>
  </si>
  <si>
    <t>Cesur, S., Cam, M. E., Sayin, F. S., &amp; Gunduz, O. (2022). Electrically controlled drug release of donepezil and BiFeO3 magnetic nanoparticle-loaded PVA microbubbles/nanoparticles for the treatment of Alzheimer's disease [Article]. Journal of Drug Delivery Science and Technology, 67, Article 102977. https://doi.org/10.1016/j.jddst.2021.102977 </t>
  </si>
  <si>
    <t>https://doi.org/10.1016/j.jddst.2021.102977 </t>
  </si>
  <si>
    <t>Erzengin, S., Guler, E., Eser, E., Polat, E. B., Gunduz, O., &amp; Cam, M. E. (2022). In vitro and in vivo evaluation of 3D printed sodium alginate/polyethylene glycol scaffolds for sublingual delivery of insulin: Preparation, characterization, and pharmacokinetics [Article]. International Journal of Biological Macromolecules, 204, 429-440. https://doi.org/10.1016/j.ijbiomac.2022.02.030 </t>
  </si>
  <si>
    <t>https://doi.org/10.1016/j.ijbiomac.2022.02.030 </t>
  </si>
  <si>
    <t>Su, S., Bedir, T., Kalkandelen, C., Sasmazel, H. T., Basar, A. O., Chen, J., Ekren, N., &amp; Gunduz, O. (2022). A drug-eluting nanofibrous hyaluronic acid-keratin mat for diabetic wound dressing [Article]. Emergent Materials, 5(6), 1617-1627. https://doi.org/10.1007/s42247-022-00418-3 </t>
  </si>
  <si>
    <t>https://doi.org/10.1007/s42247-022-00418-3 </t>
  </si>
  <si>
    <t>Yousefi, P., Dini, G., Movahedi, B., Vaezifar, S., &amp; Mehdikhani, M. (2022). Polycaprolactone/chitosan core/shell nanofibrous mat fabricated by electrospinning process as carrier for rosuvastatin drug [Article]. Polymer Bulletin, 79(3), 1627-1645. https://doi.org/10.1007/s00289-021-03566-4 </t>
  </si>
  <si>
    <t>https://doi.org/10.1007/s00289-021-03566-4 </t>
  </si>
  <si>
    <t>Duta, O. (UPB), Țîțu, M. (ULBS), Marin, A.(UPB), Ficai, A.(UPB), Ficai, D. (UPB), Andronescu, E.(UPB)</t>
  </si>
  <si>
    <t>Surface modification of poly(Vinylchloride) for manufacturing advanced catheters</t>
  </si>
  <si>
    <t>Ren, Y., Zhang, D., Yin, Y., Ye, Z., Yin, Z., Tu, S., Ye, L., Chen, X., &amp; Zhao, S. (2022). Mechanically strong, thermostable, and flame-retardant composites enabled by Brown paper made from bamboo [Article]. Composites Science and Technology, 226, Article 109544. https://doi.org/10.1016/j.compscitech.2022.109544 </t>
  </si>
  <si>
    <t>https://doi.org/10.1016/j.compscitech.2022.109544 </t>
  </si>
  <si>
    <t>Zhang, Y., &amp; Wang, J. (2022). Effect observation and nursing of nanosilver antibacterial dressing in preventing catheter-related bloodstream infection [Article]. International Journal of Nanotechnology, 19(6-11), 566-576. https://doi.org/10.1504/IJNT.2022.128962 </t>
  </si>
  <si>
    <t>https://doi.org/10.1504/IJNT.2022.128962 </t>
  </si>
  <si>
    <t>Dobrota, D.(Constantin Brancusi University of Targu-Jiu), Țîțu, M. (ULBS), Dobrita, F.(ULBS), Petrescu, V.(ULBS)</t>
  </si>
  <si>
    <t>The analysis of homogeneity of the chemical composition in castings made of aluminum alloy</t>
  </si>
  <si>
    <t>Dobrotă, D., Oleksik, M., &amp; Chicea, A. L. (2022). Ecodesign of the Aluminum Bronze Cutting Process [Article]. Materials, 15(8), Article 2735. https://doi.org/10.3390/ma15082735 </t>
  </si>
  <si>
    <t>https://doi.org/10.3390/ma15082735 </t>
  </si>
  <si>
    <t>Dobrotă, D., Racz, S. G., Oleksik, M., Rotaru, I., Tomescu, M., &amp; Simion, C. M. (2022). Smart cutting tools used in the processing of aluminum alloys [Article]. Sensors, 22(1), Article 28. https://doi.org/10.3390/s22010028 </t>
  </si>
  <si>
    <t>https://doi.org/10.3390/s22010028 </t>
  </si>
  <si>
    <t>Țîțu, M.(ULBS), Bucur, Amelia (ULBS)</t>
  </si>
  <si>
    <t>Models for quality analysis of services in the local public administration</t>
  </si>
  <si>
    <t>Wójcik-Mazur, A., Łukomska-Szarek, J., Martynko, A., &amp; Piontek, K. (2022). Impact of the COVID-19 pandemic on the quality of customer service in the local government units [Article]. Administratie si Management Public, 2022(39), 133-153. https://doi.org/10.24818/amp/2022.39-08 </t>
  </si>
  <si>
    <t>https://doi.org/10.24818/amp/2022.39-08 </t>
  </si>
  <si>
    <t xml:space="preserve">Țîțu, M.(ULBS), Sandu A.V.(Gheorghe Asachi Tech Univ), Pop A.B.(SC Tehnocad SA), Ceocea C. (SIF Moldova), Titu S. (IOCN) </t>
  </si>
  <si>
    <t>Technical Parameters Modeling of a Gas Probe Foaming Using an Active Experimental Type Research</t>
  </si>
  <si>
    <t>Lalotra, J., &amp; Lehana, P. K. (2022). COMSOL Modeling of Taguchi Optimized PEM Fuel Cell Arrays for Maximum Driving Capabilities [Article]. International Journal of Engineering Trends and Technology, 70(1), 146-153. https://doi.org/10.14445/22315381/IJETT-V70I1P216 </t>
  </si>
  <si>
    <t>https://doi.org/10.14445/22315381/IJETT-V70I1P216 </t>
  </si>
  <si>
    <t xml:space="preserve">Țîțu, M.(ULBS), Vizureanu, P.(Gheorghe Asachi Tech Univ), Titu S. (IOCN), Sandu A.V.(Gheorghe Asachi Tech Univ), Pop A.B.(SC Tehnocad SA), Bucur, V. (ULBS), Ceocea C. (“Vasile Alecsandri” University of Bacău), Boroiu, A.(University of Pitești) </t>
  </si>
  <si>
    <t>Experimental research on the cutting of metal materials by electrical discharge machining with contact breaking with metal band as transfer object</t>
  </si>
  <si>
    <t>Țîțu, M. (ULBS), Pop, A.B.(SC Tehnocad SA)</t>
  </si>
  <si>
    <t>CNC End Milling Process Parameters Optimization on Aluminium Alloy by Using Taguchi and ANOVA Methods</t>
  </si>
  <si>
    <t>Liu, S., Gong, K., Zhao, J., Wu, D., Hong, X., &amp; Wang, W. (2022). Multi-objective optimisation of cutting parameters for drilling-induced damages and thrust force in AFRP drilling [Article]. Journal of the Brazilian Society of Mechanical Sciences and Engineering, 44(11), Article 562. https://doi.org/10.1007/s40430-022-03868-2 </t>
  </si>
  <si>
    <t>https://doi.org/10.1007/s40430-022-03868-2 </t>
  </si>
  <si>
    <t>Naveen Kumar Reddy, R., &amp; Lokesh, S. (2022). A comparative study on physical vapor deposition - titanium carbide coated novel insert and uncoated carbide insert in CNC turning of EN24 for minimizing surface roughness and maximizing material removal rate [Article]. Materials Today: Proceedings, 69, 858-862. https://doi.org/10.1016/j.matpr.2022.07.296 </t>
  </si>
  <si>
    <t>https://doi.org/10.1016/j.matpr.2022.07.296 </t>
  </si>
  <si>
    <t>Țîțu, M. (ULBS), Stanciu, A. (Microsoft Romania)</t>
  </si>
  <si>
    <t>Merging Operations Technology with Information Technology</t>
  </si>
  <si>
    <t>Zhang, L., Wang, W., Dong, Y., &amp; Wu, L. (2022). Vegetation Coverage Monitoring Model Design Based on Deep Learning [Article]. Scientific Programming, 2022, Article 4818985. https://doi.org/10.1155/2022/4818985 </t>
  </si>
  <si>
    <t>https://doi.org/10.1155/2022/4818985 </t>
  </si>
  <si>
    <t>Pop A.B.(SC Tehnocad SA), Titu M. (ULBS), Oprean C.(ULBS), Ceocea C.(SIF Moldova), Sandu A.V.(Gh Asachi Univ), Titu S.(IOCN)</t>
  </si>
  <si>
    <t>Contributions concerning the possibility of implementing the APQP concept in the aerospace industry</t>
  </si>
  <si>
    <t>Sipos, C., &amp; Szucs, E. G. (2022). Supplier risk assessment strategy [Article]. International Review of Applied Sciences and Engineering, 13(2), 208-215. https://doi.org/10.1556/1848.2021.00350 </t>
  </si>
  <si>
    <t>https://doi.org/10.1556/1848.2021.00350 </t>
  </si>
  <si>
    <t>Stanciu, A.(Microsoft Romania), Țîțu, M.(ULBS), Deac-Șuteu, V.D.(Transgaz SA)</t>
  </si>
  <si>
    <t>Driving Digital Transformation of Knowledge-Based Organizations through Artificial Intelligence Enabled Data Centric, Consumption Based, As-A-Service Models</t>
  </si>
  <si>
    <t xml:space="preserve">Pai, R. Y., Shetty, A., Shetty, A. D., Bhandary, R., Shetty, J., Nayak, S., Dinesh, T. K., &amp; D'Souza, K. J. (2022). Integrating artificial intelligence for knowledge management systems–synergy among people and technology: a systematic review of the evidence [Review]. Economic Research-Ekonomska Istrazivanja, 35(1), 7043-7065. https://doi.org/10.1080/1331677X.2022.2058976 </t>
  </si>
  <si>
    <t xml:space="preserve">https://doi.org/10.1080/1331677X.2022.2058976 </t>
  </si>
  <si>
    <t>Țîțu, M.(ULBS), Stanciu A.(Microsoft Romania), Mihaescu L.(ULBS)</t>
  </si>
  <si>
    <t>Technological and ethical aspects of autonomous driving in a multicultural society</t>
  </si>
  <si>
    <t>Mhlanga, D. (2022). Human-Centered Artificial Intelligence: The Superlative Approach to Achieve Sustainable Development Goals in the Fourth Industrial Revolution [Article]. Sustainability (Switzerland), 14(13), Article 7804. https://doi.org/10.3390/su14137804 </t>
  </si>
  <si>
    <t>https://doi.org/10.3390/su14137804 </t>
  </si>
  <si>
    <t>Țîțu, M.(ULBS), Pop A.B.(SC Tehnocad SA), Țîțu, S.(IOCN), Pop G.I.(UAC Baia Mare)</t>
  </si>
  <si>
    <t>Optimization of the objective function-surface quality by end-milling dimensional machining of some aluminum alloys</t>
  </si>
  <si>
    <t>Dmitrievna, M. L. (2022). Residual relief analysis during milling process using surface modeling. AIP Conference Proceedings 2383, 040009 (2022), https://doi.org/10.1063/5.0074564.</t>
  </si>
  <si>
    <t>https://doi.org/10.1063/5.0074564</t>
  </si>
  <si>
    <t>Țîțu, M.(ULBS), Pop A.B.(SC Tehnocad SA), Țîțu, Ș. (IOCN), Ceocea C. (SIF Moldova), Pop G.I.(UAC Baia Mare)</t>
  </si>
  <si>
    <t>Intellectual property policy enhancement in knowledge-based organizations</t>
  </si>
  <si>
    <t xml:space="preserve">Yang, X., &amp; Qi, Y. (2022). Simulation of Intellectual Property Management on Evolution Driving of Regional Economic Growth [Article]. Applied Sciences (Switzerland), 12(18), Article 9011. https://doi.org/10.3390/app12189011 </t>
  </si>
  <si>
    <t xml:space="preserve">https://doi.org/10.3390/app12189011 </t>
  </si>
  <si>
    <t>Țîțu, M. (ULBS), Pop A.B. (SC Tehnocad SA), Țîțu, Ș.(IOCN), Borza S.(ULBS)</t>
  </si>
  <si>
    <t>Experimental research method in the quality field applied in transport engineering</t>
  </si>
  <si>
    <t xml:space="preserve">Liang, Y., Peng, Z., Xie, H., &amp; Feng, X. (2022). Fusion Method of Power Customer Data Model and Power Grid Asset Equipment Business Data Model. Proceedings - 2022 International Conference on Artificial Intelligence in Everything, AIE 2022, </t>
  </si>
  <si>
    <t>https://doi.org/10.1109/AIE57029.2022.00055</t>
  </si>
  <si>
    <t>Oprean, C.(ULBS), Țîțu, M.(ULBS), Marinescu, N.(UPB), Vlad A.(ULBS)</t>
  </si>
  <si>
    <t>Making activities in local public administration more procedural</t>
  </si>
  <si>
    <t xml:space="preserve">Cachay, L. M. T., Couto, G., Pimentel, P., &amp; Castanho, R. A. (2022). Internal Control and Its Application in Public Management: a Literature Review [Review]. WSEAS Transactions on Business and Economics, 19, 326-337. https://doi.org/10.37394/23207.2022.19.29 </t>
  </si>
  <si>
    <t>https://doi.org/10.37394/23207.2022.19.29</t>
  </si>
  <si>
    <r>
      <rPr>
        <sz val="10"/>
        <color theme="1"/>
        <rFont val="Arial Narrow"/>
      </rPr>
      <t xml:space="preserve">Ramona Giurea (Lucian Blaga University of Sibiu), Marco Ragazzi (University of Trento, Italy), Moise Ioan Achim (University of Alba Iulia) and </t>
    </r>
    <r>
      <rPr>
        <b/>
        <sz val="10"/>
        <color theme="1"/>
        <rFont val="Arial Narrow"/>
      </rPr>
      <t xml:space="preserve">Mihai-Victor Zerbes </t>
    </r>
    <r>
      <rPr>
        <sz val="10"/>
        <color theme="1"/>
        <rFont val="Arial Narrow"/>
      </rPr>
      <t>(Lucian Blaga University of Sibiu)</t>
    </r>
  </si>
  <si>
    <t>Is agro-tourism eco-friendly?</t>
  </si>
  <si>
    <t>Giurea R., Precazzini I., Ionescu G., Ragazzi M., Schiavon M, (2022), Circular Economy, Waste and Energy Management for a Sustainable Development in Agro-tourism, The 16th International Conference on Technologies and Materialsfor Renewable Energy, Environment and Sustainability, TMREES 21-Gr, 28-30 May 2021, Athens, Greece</t>
  </si>
  <si>
    <t>https://pubs.aip.org/aip/acp/article-abstract/2437/1/020097/2823319/Circular-economy-waste-and-energy-management-for-a?redirectedFrom=fulltext</t>
  </si>
  <si>
    <t>Scopus
https://www.scopus.com/record/display.uri?eid=2-s2.0-85137731797&amp;origin=resultslist&amp;sort=plf-f&amp;src=s&amp;sid=524154cd33e3050ce7aa79eacbd068d8&amp;sot=b&amp;sdt=b&amp;s=TITLE-ABS-KEY%28Circular+Economy%2C+Waste+and+Energy+Management+for+a+Sustainable+Development+in+Agro-tourism%29&amp;sl=106&amp;sessionSearchId=524154cd33e3050ce7aa79eacbd068d8</t>
  </si>
  <si>
    <t>Zerbes Mihai</t>
  </si>
  <si>
    <t>How to Use the DHT22 Sensor for Measuring Temperature and Humidity with the Arduino Board</t>
  </si>
  <si>
    <t>Jamal Mabrouki, Karima Azoulay, Smart System for Monitoring and Controlling of Agricultural Production by the IoT, IoT and Smart Devices for Sustainable Environment pp 103-115</t>
  </si>
  <si>
    <t>https://www.scopus.com/record/display.uri?eid=2-s2.0-85124415769&amp;origin=SingleRecordEmailAlert&amp;dgcid=raven_sc_authcite_en_us_email&amp;txGid=6c8920462ee1f904adc37783337935d6&amp;featureToggles=FEATURE_NEW_DOC_DETAILS_EXPORT:1</t>
  </si>
  <si>
    <t xml:space="preserve">Bogdan Mihai </t>
  </si>
  <si>
    <t>Dirman Hanafi Burhannuddina, Sulaiman Mazlanb, Hisyam Abdul Rahmanb, Ruzairi Abdul Rahimc, WET DIAPER DETECTION AND NOTIFICATION DEVICE TO ALERT THE BABY CARETAKER, ASEAN Engineering Journal 12:1 (2022) 69–74</t>
  </si>
  <si>
    <t>https://www.scopus.com/record/display.uri?eid=2-s2.0-85127644127&amp;origin=resultslist&amp;sort=plf-f&amp;src=s&amp;st1=WET+DIAPER+DETECTION+AND+NOTIFICATION+DEVICE+TO+ALERT+THE+BABY+CARETAKER&amp;sid=8b9ce932d37edc8201fe0160d50cbcaf&amp;sot=b&amp;sdt=b&amp;sl=87&amp;s=TITLE-ABS-KEY%28WET+DIAPER+DETECTION+AND+NOTIFICATION+DEVICE+TO+ALERT+THE+BABY+CARETAKER%29&amp;relpos=1&amp;citeCnt=0&amp;searchTerm=</t>
  </si>
  <si>
    <t>B Pithadiya, H Parikh, An IoT Based Greenhouse Control System Employing Multiple Sensors, for Controlling Soil Moisture, Ambient Temperature and Humidity, Proceedings of the 2nd International Conference on Electronics, Biomedical Engineering, and Health Informatics pp 405–416, First Online: 25 June 2022</t>
  </si>
  <si>
    <t>https://www.scopus.com/record/display.uri?eid=2-s2.0-85134344273&amp;origin=SingleRecordEmailAlert&amp;dgcid=raven_sc_authcite_en_us_email&amp;txGid=ef462b42a97526c91a01a6128a258854&amp;featureToggles=FEATURE_NEW_DOC_DETAILS_EXPORT:1,FEATURE_EXPORT_REDESIGN:1</t>
  </si>
  <si>
    <t>Ibrahim Hamidu, Benjamin Afotey, Zakaria Ayatul-Lahi, Design and Development of a Low-cost Sensor IoT Computing Device for Greenhouse Gas Momitor from Selected Industry Locations, Scalable Computing: Practice and Experience, ISSN 1895-1767, 
© 2022 SCPE. Volume 23, Issues 4, pp. 363–376</t>
  </si>
  <si>
    <t>https://www.scopus.com/record/display.uri?eid=2-s2.0-85145775823&amp;origin=resultslist&amp;sort=plf-f&amp;src=s&amp;st1=Design+and+Development+of+a+Low-cost+Sensor+IoT+Computing+Device+for+Greenhouse+Gas+Momitor+from+Selected+Industry+Locations%2c&amp;sid=6b3c4d8c1f10091c93e905ad34855299&amp;sot=b&amp;sdt=b&amp;sl=140&amp;s=TITLE-ABS-KEY%28Design+and+Development+of+a+Low-cost+Sensor+IoT+Computing+Device+for+Greenhouse+Gas+Momitor+from+Selected+Industry+Locations%2c%29&amp;relpos=0&amp;citeCnt=0&amp;searchTerm=</t>
  </si>
  <si>
    <t>Dirman Hanafi Burhannuddin,  Sulaiman Mazlan,  Hisyam Abdul Rahman, Ruzairi Abdul Rahim, Wet diaper detection and notification device to alert the baby caretaker, ASEAN Engineering Journal 12:1 (2022) 69–74</t>
  </si>
  <si>
    <t>https://www.scopus.com/record/display.uri?eid=2-s2.0-85127644127&amp;origin=resultslist&amp;sort=plf-f&amp;src=s&amp;st1=Wet+diaper+detection+and+notification+device+to+alert+the+baby+caretaker&amp;sid=174abce915b192822e87626cf0bb5aa1&amp;sot=b&amp;sdt=b&amp;sl=87&amp;s=TITLE-ABS-KEY%28Wet+diaper+detection+and+notification+device+to+alert+the+baby+caretaker%29&amp;relpos=1&amp;citeCnt=0&amp;searchTerm=https://www.scopus.com/record/display.uri?eid=2-s2.0-85127644127&amp;origin=resultslist&amp;sort=plf-f&amp;src=s&amp;st1=Wet+diaper+detection+and+notification+device+to+alert+the+baby+caretaker&amp;sid=174abce915b192822e87626cf0bb5aa1&amp;sot=b&amp;sdt=b&amp;sl=87&amp;s=TITLE-ABS-KEY%28Wet+diaper+detection+and+notification+device+to+alert+the+baby+caretaker%29&amp;relpos=1&amp;citeCnt=0&amp;searchTerm=</t>
  </si>
  <si>
    <t>Alam Rahmatulloh; Dani Wahyudin; Nur Widiyasono, IoT-Based Temperature Monitoring System For Smart Cage, 2022 International Conference on Advanced Creative Networks and Intelligent Systems (ICACNIS), DOI: 10.1109/ICACNIS57039.2022.10055769, November 2022</t>
  </si>
  <si>
    <t>https://www.scopus.com/record/display.uri?eid=2-s2.0-85150194698&amp;origin=SingleRecordEmailAlert&amp;dgcid=raven_sc_authcite_en_us_email&amp;txGid=d02a1e53bc8a2e0a70da5c4c33803c90</t>
  </si>
  <si>
    <t>Rajakumar. P; Sai Siddhaarth B; Sriram B; Rajasekhar S, Automation and Monitoring System for Mushroom Cultivation using Mobile application and Esp-32, 2022 International Conference on Power, Energy, Control and Transmission Systems (ICPECTS), 08-09 December 2022</t>
  </si>
  <si>
    <t>https://www.scopus.com/record/display.uri?eid=2-s2.0-85150017510&amp;origin=resultslist&amp;sort=plf-f&amp;src=s&amp;st1=Automation+and+Monitoring+System+for+Mushroom+Cultivation+using+Mobile+application+and+Esp-32&amp;sid=06b3bdcbf337021e8bb79acb13c99cb8&amp;sot=b&amp;sdt=b&amp;sl=108&amp;s=TITLE-ABS-KEY%28Automation+and+Monitoring+System+for+Mushroom+Cultivation+using+Mobile+application+and+Esp-32%29&amp;relpos=0&amp;citeCnt=0&amp;searchTerm=</t>
  </si>
  <si>
    <t>Fcrcncik N., Hudak R., Stefanovic B., Monitoring the Quality of Sleep Using a Smart Bracelet at Different Light Spectrum, 2022 IEEE 16th International Scientific Conference on Informatics, Informatics 2022 - Proceedings, pp. 82-89.</t>
  </si>
  <si>
    <t>https://www.scopus.com/record/display.uri?eid=2-s2.0-85153331032&amp;origin=SingleRecordEmailAlert&amp;dgcid=raven_sc_authcite_en_us_email&amp;txGid=17301e88970a768b12b54dc669044b9e</t>
  </si>
  <si>
    <t>Heating and Ventilation System with Arduino and LabVIEW</t>
  </si>
  <si>
    <t xml:space="preserve">Dede Irawan Saputra; Aditiya Eko Pambudi, Cascade PID Control Loop Implementation For Liquid Tank Level in LabVIEW PC-Based Control Using Arduino Mega as Data Acquisition, 2022 16th International Conference on Telecommunication Systems, Services, and Applications (TSSA)
</t>
  </si>
  <si>
    <t>https://www.scopus.com/record/display.uri?eid=2-s2.0-85151066701&amp;origin=resultslist&amp;sort=plf-f&amp;src=s&amp;st1=Cascade+PID+Control+Loop+Implementation+For+Liquid+Tank+Level+in+LabVIEW+PC-Based+Control+Using+Arduino+Mega+as+Data+Acquisition&amp;sid=53d01ec4d064fd6a2e927ab4c31c47b2&amp;sot=b&amp;sdt=b&amp;sl=143&amp;s=TITLE-ABS-KEY%28Cascade+PID+Control+Loop+Implementation+For+Liquid+Tank+Level+in+LabVIEW+PC-Based+Control+Using+Arduino+Mega+as+Data+Acquisition%29&amp;relpos=0&amp;citeCnt=0&amp;searchTerm=</t>
  </si>
  <si>
    <t xml:space="preserve">Light Intensity Control Using Arduino and LabVIEW, </t>
  </si>
  <si>
    <t xml:space="preserve">Aris Budhiyanto, Yun-Shang Chiou, Prototyping a Lighting Control System Using LabVIEW with
Real-Time High Dynamic Range Images (HDRis) as the
Luminance Sensor, Buildings 2022 </t>
  </si>
  <si>
    <t>https://www.webofscience.com/wos/woscc/full-record/WOS:000801594000001</t>
  </si>
  <si>
    <t>Home Alarm System with Arduino and LabVIEW</t>
  </si>
  <si>
    <t xml:space="preserve">Marek Bujnák, s.a., Spherical Robots for Special Purposes: A Review on
Current Possibilities, Sensors 2022 </t>
  </si>
  <si>
    <t>https://www.mdpi.com/1424-8220/22/4/1413</t>
  </si>
  <si>
    <t>SCOPUS, WOS</t>
  </si>
  <si>
    <t>Bogdan Mihai (ULBS), Panu Mihai (ULBS)</t>
  </si>
  <si>
    <t>LabVIEW modeling and simulation, of the low-pass and high-pass analog filters</t>
  </si>
  <si>
    <t>Hua Fan, Qianqian Deng, Exploration on the cultivation of innovative talents in electronic circuit, Published in: IGARSS 2022 - 2022 IEEE International Geoscience and Remote Sensing Symposium</t>
  </si>
  <si>
    <t>https://www.scopus.com/record/display.uri?eid=2-s2.0-85140385840&amp;origin=SingleRecordEmailAlert&amp;dgcid=raven_sc_authcite_en_us_email&amp;txGid=090f3ba41e6c0712ec7521deb0a4240f</t>
  </si>
  <si>
    <r>
      <rPr>
        <sz val="10"/>
        <color theme="1"/>
        <rFont val="Arial Narrow"/>
      </rPr>
      <t xml:space="preserve">Sanjay Kumar Roy, Kamal Kumar Sharma, Brahmadeo Prasad Singh, </t>
    </r>
    <r>
      <rPr>
        <sz val="10"/>
        <color rgb="FF000000"/>
        <rFont val="Arial Narrow"/>
      </rPr>
      <t>Mathematical Modeling of Twin -T Notch Filter using Floating Admittance Matrix, International Journal of Circuits, Systems and Signal Processing, Volume 16, 2022</t>
    </r>
  </si>
  <si>
    <t>https://www.scopus.com/record/display.uri?eid=2-s2.0-85123457869&amp;origin=SingleRecordEmailAlert&amp;dgcid=raven_sc_authcite_en_us_email&amp;txGid=f76f9c5703c91b5150aff1e54c85437e</t>
  </si>
  <si>
    <t xml:space="preserve">Sampling rate and aliasing on a virtual laboratory </t>
  </si>
  <si>
    <t>Joana De Calheiros Velozo, Jeroen Habets, Designing daily-life research combining experience sampling method with parallel data, Psychol Med
. 2022 Aug 30;1-10. doi: 10.1017/S0033291722002367</t>
  </si>
  <si>
    <t>https://www.webofscience.com/wos/woscc/full-record/WOS:000847596700001</t>
  </si>
  <si>
    <t>Bechet Andrei (UTh Cluj), Helbet Robert (Uth Cluj), Bouleanu Iulian (ULBS), Sarbu Annamaria (AFT Sibiu), Miclaus Simona (AFT Sibiu), Bechet Paul (AFT Sibiu)</t>
  </si>
  <si>
    <t>Low cost solution based on software defined radio for the RF exposure assessment: A performance analysis. In 2019 11th International Symposium on Advanced Topics in Electrical Engineering (ATEE) (pp. 1-4). IEEE.</t>
  </si>
  <si>
    <t>Perotoni, M. B., Silva, L. A., Silva, W., &amp; Santos, K. M. (2022). Near-Field Measurement System Based on a Software Defined Radio. Progress in Electromagnetics Research Letters, 102.</t>
  </si>
  <si>
    <t>https://www.jpier.org/ac_api/preview.php?t=ab&amp;id=21111106</t>
  </si>
  <si>
    <t>Bouleanu Iulian</t>
  </si>
  <si>
    <t>Helbet Robert (UTh Cluj)., Bechet Paul (AFT Sibiu)., Monda Vasile (UTh Cluj), Miclaus Simona (AFT Sibiu),  Bouleanu Iulian (ULBS)</t>
  </si>
  <si>
    <t>Helbet, R., Bechet, P., Monda, V., Miclaus, S., &amp; Bouleanu, I. (2021). Low-cost sensor based on sdr platforms for tetra signals monitoring. Sensors, 21(9), 3160.</t>
  </si>
  <si>
    <t>Vedavalli, P., Kondaveeti, H. K., &amp; Ch, D. (2022, March). A Review on Automated Monitoring Applications of Raspberry Pi. In 2022 8th International Conference on Advanced Computing and Communication Systems (ICACCS) (Vol. 1, pp. 485-492). IEEE.</t>
  </si>
  <si>
    <t>https://ieeexplore.ieee.org/abstract/document/9785271</t>
  </si>
  <si>
    <t>Eguez, G., Loor, L., León, R., Tinoco-S, A. F., Lara, F., &amp; Moya, H. (2022, October). Signal Intelligence: Automatic Carrier Detection with an Instantaneous Bandwidth of 27 MHz. In 2022 IEEE 13th Annual Information Technology, Electronics and Mobile Communication Conference (IEMCON) (pp. 0233-0238). IEEE.</t>
  </si>
  <si>
    <t>https://ieeexplore.ieee.org/abstract/document/9946594</t>
  </si>
  <si>
    <t>Bechet Andrei (UTh Cluj), Helbet Robert (UTh Cluj),  Miclăuș Simona AFT Sibiu), Bouleanu Iulian (ULBS), Sârbu Annamaia (AFT Sibiu), Bechet Paul (AFT Sibiu)</t>
  </si>
  <si>
    <t>A. C. Bechet, R. Helbet, S. Miclaus, I. Bouleanu, A. Sarbu and P. Bechet, "Assesing the Electric Field Strength in the Vicinity of Devices Emitting Signals in the IEEE 802.11ac Standard of Communication," 2019 International Symposium on Electromagnetic Compatibility - EMC EUROPE, Barcelona, Spain, 2019, pp. 1025-1029, doi: 10.1109/EMCEurope.2019.8871979.</t>
  </si>
  <si>
    <t>Chountala, C., Chareau, J. M., Baldini, G., &amp; Bonavitacola, F. (2022, October). Experimental assessment of electromagnetic field exposure from 802.11 ax devices. In 2022 9th International Conference on Wireless Networks and Mobile Communications (WINCOM) (pp. 1-6). IEEE.</t>
  </si>
  <si>
    <t>https://ieeexplore.ieee.org/abstract/document/9966477</t>
  </si>
  <si>
    <t>Bouleanu Iulian (ULBS), Vasile Vlad-Cosmin (CICI Sibiu)</t>
  </si>
  <si>
    <t>Bouleanu, I., and Vasile V. C., "Software Define Radio System for HF Noise Measurements" International conference KNOWLEDGE-BASED ORGANIZATION, vol.23, no.3, 2017, pp.18-23. https://doi.org/10.1515/kbo-2017-0150</t>
  </si>
  <si>
    <t>Sorecau, E., Sorecau, M., Craiu, N., Sarbu, A., &amp; Bechet, P. (2022, November). Man-made Noise Measurement System for HF Band Based on SDR platforms-Design and Implementation. In 2022 International Symposium on Electronics and Telecommunications (ISETC) (pp. 1-4). IEEE.</t>
  </si>
  <si>
    <t>https://ieeexplore.ieee.org/abstract/document/10010035</t>
  </si>
  <si>
    <t>Ramona Mariş (NTT DATA ROMANIA), Raluca Brad (ULBS), Remus Brad (ULBS)</t>
  </si>
  <si>
    <t>A Comparative Study of Block Matching Optical Flow Algorithms</t>
  </si>
  <si>
    <t>Paul, S., Norkin, A., &amp; Bovik, A. C. (2022). Self-supervised learning of perceptually optimized block motion estimates for video compression. IEEE Transactions on Image Processing.</t>
  </si>
  <si>
    <t>https://ieeexplore.ieee.org/abstract/document/9999661</t>
  </si>
  <si>
    <t>Cristina Modrângă (ULBS), Raluca Brad (ULBS), Remus Brad (ULBS)</t>
  </si>
  <si>
    <t>Fabric Defect Detection Using Fourier Transform and Gabor Filters</t>
  </si>
  <si>
    <t xml:space="preserve">Jin Rui and Niu Qiang, Research on textile defects detection based on improved generative adversarial network, Journal of Engineered Fibers and Fabrics, Volume 17: 1–16, 2022
</t>
  </si>
  <si>
    <t>https://journals.sagepub.com/doi/pdf/10.1177/15589250221101382</t>
  </si>
  <si>
    <t>Raluca Brad (ULBS), Lavinia Barac (ULBS), and Remus Brad (ULBS)</t>
  </si>
  <si>
    <t>Defect Detection Techniques for Airbag Production Sewing Stages</t>
  </si>
  <si>
    <t>Wozniak, M., Zadzimski, T., Rylski, A., Makówka, M., Kubiak, P., &amp; Siczek, K. (2022). Studies on Wear of a Milling Chuck for a Production Line of Specialized Elements Used in Lockstitch Machines. Materials, 15(9), 3402.</t>
  </si>
  <si>
    <t>https://www.mdpi.com/1996-1944/15/9/3402</t>
  </si>
  <si>
    <t>Elena Bebeselea-Sterp (NTT DATA), Raluca Brad (ULBS) and Remus Brad  (ULBS)</t>
  </si>
  <si>
    <t>A Comparative Study of Stereovision Algorithms</t>
  </si>
  <si>
    <t xml:space="preserve">Li, M., Varble, N., Turkbey, B., Xu, S., &amp; Wood, B. J. (2022, April). Camera-based distance detection and contact tracing to monitor potential spread of COVID-19. In Medical Imaging 2022: Image Perception, Observer Performance, and Technology Assessment (Vol. 12035, pp. 329-335). </t>
  </si>
  <si>
    <t>https://www.spiedigitallibrary.org/conference-proceedings-of-spie/12035/120351D/Camera-based-distance-detection-and-contact-tracing-to-monitor-potential/10.1117/12.2612846.short</t>
  </si>
  <si>
    <t>Patil, A., Bhende, M., Patil, S., &amp; Shevatekar, P. P. (2022). Distance Measurement for Object Detection for Automotive Applications Using 3D Density‐Based Clustering. Object Detection by Stereo Vision Images, 207-226.</t>
  </si>
  <si>
    <t>https://onlinelibrary.wiley.com/doi/abs/10.1002/9781119842286.ch13</t>
  </si>
  <si>
    <t>Kadmin, A. F., Hamzah, R. A., Manap, M. N. A., Hamid, M. S., Mohammed, N., &amp; Aziz, K. A. A. (2022, March). Improvement of Disparity Measurement of Stereo Vision Algorithm Using Modified Dynamic Cost Volume. In Proceedings of the 6th International Conference on Electrical, Control and Computer Engineering: InECCE2021, Kuantan, Pahang, Malaysia, 23rd August (pp. 845-856). Singapore: Springer Singapore.</t>
  </si>
  <si>
    <t>https://link.springer.com/chapter/10.1007/978-981-16-8690-0_74#citeas</t>
  </si>
  <si>
    <t>Lei, Y., Shkolnikov, V., &amp; Xin, D. (2022, August). Spatially Isotropic 3D Volumetric Reconstruction of Live Biological Cells with Multi-View Geometry. In 2022 IEEE 5th International Conference on Multimedia Information Processing and Retrieval (MIPR) (pp. 109-114)</t>
  </si>
  <si>
    <t>https://ieeexplore.ieee.org/abstract/document/9874502</t>
  </si>
  <si>
    <t>Syed Usama Bukhari (COMSATS IIT Pakistan), Ioan Bondrea (ULBS), Remus Brad (ULBS)</t>
  </si>
  <si>
    <t>Automated PCB Inspection System</t>
  </si>
  <si>
    <t>Gustilo, R. C., Ong, D. E. Y., &amp; Chua, A. J. P. (2022). PCB FAULT DETECTION BY USING CONVOLUTIONAL NEURAL NETWORKS. Journal of Southwest Jiaotong University, 57(4).</t>
  </si>
  <si>
    <t>http://www.jsju.org/index.php/journal/article/view/1313</t>
  </si>
  <si>
    <t>Gellert, A. (ULBS); Brad, R (ULBS)</t>
  </si>
  <si>
    <t>Image inpainting with Markov chains</t>
  </si>
  <si>
    <t>Tang, L., Sun, K., Huang, S., Wang, G., &amp; Jiang, K. (2022). Quality Assessment of View Synthesis Based on Visual Saliency and Texture Naturalness. Electronics, 11(9), 1384.</t>
  </si>
  <si>
    <t>https://www.mdpi.com/2079-9292/11/9/1384</t>
  </si>
  <si>
    <t>Alexandru Dorobanțiu (ULBS), Valentin Ogrean (ULBS), Remus Brad (ULBS)</t>
  </si>
  <si>
    <t>Coronary Centerline Extraction from CCTA Using 3D-UNet</t>
  </si>
  <si>
    <t>Viti, M., Talbot, H., Abdallah, B., Perot, E., &amp; Gogin, N. (2022, October). Coronary Artery Centerline Tracking with the Morphological Skeleton Loss. In 2022 IEEE International Conference on Image Processing (ICIP) (pp. 2741-2745). IEEE.</t>
  </si>
  <si>
    <t>https://ieeexplore.ieee.org/abstract/document/9897385</t>
  </si>
  <si>
    <t>Alexandru Dorobanțiu (ULBS), Remus Brad (ULBS)</t>
  </si>
  <si>
    <t>A novel contextual memory algorithm for edge detection</t>
  </si>
  <si>
    <t>Madhu, &amp; Kumar, R. (2022). A hybrid feature extraction technique for content based medical image retrieval using segmentation and clustering techniques. Multimedia Tools and Applications, 81(6), 8871-8904.</t>
  </si>
  <si>
    <t>https://link.springer.com/article/10.1007/s11042-022-11901-8</t>
  </si>
  <si>
    <t>Improving lossless image compression with contextual memory</t>
  </si>
  <si>
    <t>Rojas-Hernández, R., Díaz-de-León-Santiago, J. L., Barceló-Alonso, G., Bautista-López, J., Trujillo-Mora, V., &amp; Salgado-Ramírez, J. C. (2022). Lossless Medical Image Compression by Using Difference Transform. Entropy, 24(7), 951.</t>
  </si>
  <si>
    <t>https://www.mdpi.com/1099-4300/24/7/951</t>
  </si>
  <si>
    <t>Liu, X., An, P., Chen, Y., &amp; Huang, X. (2022). An improved lossless image compression algorithm based on huffman coding. Multimedia Tools and Applications, 81(4), 4781-4795.</t>
  </si>
  <si>
    <t>https://link.springer.com/article/10.1007/s11042-021-11017-5</t>
  </si>
  <si>
    <t>Bogdan Mihai Neamțu (ULBS), Gabriela Visa (Research and Telemedicine Center in Pediatric Neurology, Pediatric Clinical Hospital Sibiu), Ionela Maniu (ULBS), Maria Livia Ognean (ULBS), Rubén Pérez-Elvira (Spain), Andrei Dragomir (Research and Telemedicine Center in Pediatric Neurology, Pediatric Clinical Hospital Sibiu), Maria Agudo (Spain), Ciprian Radu Șofariu (Research and Telemedicine Center in Pediatric Neurology, Pediatric Clinical Hospital Sibiu), Mihaela Gheonea (University of Medicine and Pharmacy of Craiova), Antoniu Pitic (ULBS), Remus Brad (ULBS), Claudiu Matei (ULBS), Minodora Teodoru (ULBS), Ciprian Băcilă (ULBS)</t>
  </si>
  <si>
    <t>A decision-tree approach to assist in forecasting the outcomes of the neonatal brain injury</t>
  </si>
  <si>
    <t>Rao, A., &amp; Palma, J. (2022, March). Clinical decision support in the neonatal ICU. In Seminars in Fetal and Neonatal Medicine (p. 101332). WB Saunders.</t>
  </si>
  <si>
    <t>https://www.sciencedirect.com/science/article/pii/S1744165X22000105?casa_token=AiKgOBKM7cEAAAAA:erm6L5qs-XmOYdiLg1qsTto1jYZ0yKocQ8qeCJSXh8TMGJDP70WbUhg6FrX8jb1gVCICr4jz6A</t>
  </si>
  <si>
    <t>Hilal, A. M., Albraikan, A. A., Dhahbi, S., Nour, M. K., Mohamed, A., Motwakel, A., ... &amp; Rizwanullah, M. (2022). Intelligent Epileptic Seizure Detection and Classification Model Using Optimal Deep Canonical Sparse Autoencoder. Biology, 11(8), 1220</t>
  </si>
  <si>
    <t>https://www.mdpi.com/2079-7737/11/8/1220</t>
  </si>
  <si>
    <t>Li, H., Liu, Y., Zhao, R., Zhang, X., &amp; Zhang, Z. (2022). How Did the Risk of Poverty-Stricken Population Return to Poverty in the Karst Ecologically Fragile Areas Come into Being?—Evidence from China. Land, 11(10), 1656.</t>
  </si>
  <si>
    <t>https://www.mdpi.com/2073-445X/11/10/1656</t>
  </si>
  <si>
    <t>Cainelli, E., Vedovelli, L., Gregori, D., Suppiej, A., Padalino, M., Cogo, P., &amp; Bisiacchi, P. (2022). Embrace the Complexity: Agnostic Evaluation of Children’s Neuropsychological Performances Reveals Hidden Neurodevelopment Patterns. Children, 9(6), 775.</t>
  </si>
  <si>
    <t>https://www.mdpi.com/2227-9067/9/6/775</t>
  </si>
  <si>
    <t>Bertoncelli, C. M., Dehan, N., Bertoncelli, D., Bagui, S., Bagui, S. C., Costantini, S., &amp; Solla, F. (2022). Prediction Model for Identifying Factors Associated with Epilepsy in Children with Cerebral Palsy. Children, 9(12), 1918.</t>
  </si>
  <si>
    <t>https://www.mdpi.com/2227-9067/9/12/1918</t>
  </si>
  <si>
    <t>Raluca Vreja (ULBS) and Remus Brad (ULBS)</t>
  </si>
  <si>
    <t>Image inpainting methods evaluation and improvement</t>
  </si>
  <si>
    <t>Pathak, A., Karmakar, J., Nandi, D., &amp; Mandal, M. K. (2022). Feature enhancing image inpainting through adaptive variation of sparse coefficients. Signal, Image and Video Processing, 1-9.</t>
  </si>
  <si>
    <t>https://link.springer.com/article/10.1007/s11760-022-02326-9</t>
  </si>
  <si>
    <t>Arpad Gellert (ULBS) and Remus Brad (ULBS)</t>
  </si>
  <si>
    <t>Context‐based prediction filtering of impulse noise images</t>
  </si>
  <si>
    <t>Sen, A. P., &amp; Rout, N. K. (2022). A Comparative Analysis of the Algorithms for De-noising Images Contaminated with Impulse Noise. Sensing and Imaging, 23(1), 11.</t>
  </si>
  <si>
    <t>https://link.springer.com/article/10.1007/s11220-022-00382-6</t>
  </si>
  <si>
    <t>Juliet Rani, V., &amp; Thanammal, K. K. (2022). STFTSM: noise reduction using soft threshold-based fuzzy trimmed switch median filter. Soft Computing, 1-14.</t>
  </si>
  <si>
    <t>https://link.springer.com/article/10.1007/s00500-021-06599-z</t>
  </si>
  <si>
    <t>Remus Brad (ULBS) and I. A. Letia (UTCN)</t>
  </si>
  <si>
    <t>Cloud motion detection from infrared satellite images</t>
  </si>
  <si>
    <t>Sarkar, I., Chaudhuri, S., &amp; Pal, J. (2022). Forecasting pressure drop and maximum sustained wind speed associated with cyclonic systems over Bay of Bengal with neuro-computing. Theoretical and Applied Climatology, 149(3-4), 1255-1276.</t>
  </si>
  <si>
    <t>https://link.springer.com/article/10.1007/s00704-022-04112-6</t>
  </si>
  <si>
    <t>Nusrat Fatema (ULBS) and Remus Brad (ULBS)</t>
  </si>
  <si>
    <t>Security Requirements, Counterattacks and Projects in Healthcare Applications Using WSNs - A Review</t>
  </si>
  <si>
    <t>Yaghoubi, M., Ahmed, K., &amp; Miao, Y. (2022). Wireless Body Area Network (WBAN): A Survey on Architecture, Technologies, Energy Consumption, and Security Challenges. Journal of Sensor and Actuator Networks, 11(4), 67.</t>
  </si>
  <si>
    <t>https://www.mdpi.com/2224-2708/11/4/67</t>
  </si>
  <si>
    <t>Security requirements, counterattacks and projects in healthcare applications using WSNs-a review</t>
  </si>
  <si>
    <t>Rameshkumar, C., &amp; Ganeshkumar, T. (2022). A Novel of Survey: In Healthcare System for Wireless Body-Area Network. In Applications of Computational Methods in Manufacturing and Product Design: Select Proceedings of IPDIMS 2020 (pp. 591-609). Singapore: Springer Nature Singapore.</t>
  </si>
  <si>
    <t>https://link.springer.com/chapter/10.1007/978-981-19-0296-3_55</t>
  </si>
  <si>
    <t>Siddiqui, N., &amp; Abbas, S. H. (2022). An Approach Towards Privacy and Security in Pervasive Healthcare System. Pervasive Healthcare: A Compendium of Critical Factors for Success, 73-86.</t>
  </si>
  <si>
    <t>https://link.springer.com/chapter/10.1007/978-3-030-77746-3_6</t>
  </si>
  <si>
    <t>Nusrat Sharmin (ULBS) and Remus Brad (ULBS)</t>
  </si>
  <si>
    <t>Optimal filter estimation for Lucas-Kanade optical flow</t>
  </si>
  <si>
    <t>Ryu, J., &amp; Kwak, D. (2022). A study on a complex flame and smoke detection method using computer vision detection and convolutional neural network. Fire, 5(4), 108.</t>
  </si>
  <si>
    <t>https://www.mdpi.com/2571-6255/5/4/108</t>
  </si>
  <si>
    <t>Geremias, J., Viegas, E. K., Britto Jr, A. S., &amp; Santin, A. O. (2022, April). A motion-based approach for real-time detection of pornographic content in videos. In Proceedings of the 37th ACM/SIGAPP Symposium on Applied Computing (pp. 1066-1073)</t>
  </si>
  <si>
    <t>https://dl.acm.org/doi/abs/10.1145/3477314.3507306</t>
  </si>
  <si>
    <t>Li, B., Lu, B., Wang, Z., Zhong, F., Dou, Q., &amp; Liu, Y. H. (2022). Learning laparoscope actions via video features for proactive robotic field-of-view control. IEEE Robotics and Automation Letters, 7(3), 6653-6660.</t>
  </si>
  <si>
    <t>https://ieeexplore.ieee.org/abstract/document/9772402</t>
  </si>
  <si>
    <t>Su, Y., Zhang, Z., Wang, Y., &amp; Yuan, M. (2022). Accurate Pose Tracking for Uncooperative Targets via Data Fusion of Laser Scanner and Optical Camera. The Journal of the Astronautical Sciences, 69(5), 1375-1393.</t>
  </si>
  <si>
    <t>https://link.springer.com/article/10.1007/s40295-022-00344-w</t>
  </si>
  <si>
    <r>
      <rPr>
        <sz val="10"/>
        <color theme="1"/>
        <rFont val="Arial Narrow"/>
      </rPr>
      <t xml:space="preserve">Pradeep, S., &amp; Zangle, T. A. (2022). Quantitative phase velocimetry measures bulk intracellular transport of cell mass during the cell cycle. </t>
    </r>
    <r>
      <rPr>
        <i/>
        <sz val="10"/>
        <color theme="1"/>
        <rFont val="Arial Narrow"/>
      </rPr>
      <t>Scientific Reports</t>
    </r>
    <r>
      <rPr>
        <sz val="10"/>
        <color theme="1"/>
        <rFont val="Arial Narrow"/>
      </rPr>
      <t xml:space="preserve">, </t>
    </r>
    <r>
      <rPr>
        <i/>
        <sz val="10"/>
        <color theme="1"/>
        <rFont val="Arial Narrow"/>
      </rPr>
      <t>12</t>
    </r>
    <r>
      <rPr>
        <sz val="10"/>
        <color theme="1"/>
        <rFont val="Arial Narrow"/>
      </rPr>
      <t>(1), 1-14.</t>
    </r>
  </si>
  <si>
    <t>https://link.springer.com/content/pdf/10.1038/s41598-022-10000-w.pdf</t>
  </si>
  <si>
    <t>Farhan, A., Saputra, F., Suryanto, M. E., Humayun, F., Pajimna, R. M. B., Vasquez, R. D., ... &amp; Hsiao, C. D. (2022). OpenBloodFlow: A User-Friendly OpenCV-Based Software Package for Blood Flow Velocity and Blood Cell Count Measurement for Fish Embryos. Biology, 11(10), 1471.</t>
  </si>
  <si>
    <t>https://www.mdpi.com/2079-7737/11/10/1471</t>
  </si>
  <si>
    <t>Tsai, C. H., Huang, C. C., Hsiao, H. M., Hung, M. Y., Su, G. J., Lin, L. H., ... &amp; Kao, H. L. (2022). Detection of Carotid Artery Stenosis Based on Video Motion Analysis for Fast Screening. Journal of the American Heart Association, 11(17), e025702.</t>
  </si>
  <si>
    <t>https://www.ahajournals.org/doi/full/10.1161/JAHA.122.025702</t>
  </si>
  <si>
    <t>Shashank, &amp; Sreedevi, I. (2022). Spatiotemporal Activity Mapping for Enhanced Multi-Object Detection with Reduced Resource Utilization. Electronics, 12(1), 37.</t>
  </si>
  <si>
    <t>https://www.mdpi.com/2079-9292/12/1/37</t>
  </si>
  <si>
    <t>Meng, Yinghui et al. ‘Automatic Identification of End-diastolic and End-systolic Cardiac Frames from Invasive Coronary Angiography Videos’. 1 Jan. 2022 : 1107 – 1116.</t>
  </si>
  <si>
    <t>https://pubmed.ncbi.nlm.nih.gov/35599518/</t>
  </si>
  <si>
    <t xml:space="preserve">Kashif, R., &amp; Rao, S. (2022, May). Optical flow estimation technique for hazy scenes. In 2022 2nd International Conference on Digital Futures and Transformative Technologies (ICoDT2) (pp. 1-6). </t>
  </si>
  <si>
    <t>https://ieeexplore.ieee.org/abstract/document/9805761</t>
  </si>
  <si>
    <t>Kachare, T., Sinha, M., Kakade, S., Kakade, A., &amp; Nigade, S. (2022). Real-Time Virtual Fitness Tracker and Exercise Posture Correction. In Data Science (pp. 91-101). Chapman and Hall/CRC.</t>
  </si>
  <si>
    <t>https://www.taylorfrancis.com/chapters/edit/10.1201/9781003283249-6/real-time-virtual-fitness-tracker-exercise-posture-correction-tejas-kachare-manisha-sinha-siddharth-kakade-aryan-kakade-siddharth-nigade</t>
  </si>
  <si>
    <t>Chen, W., Sun, R., &amp; Chai, Z. (2022, December). An acceleration method of optical flow calculation for automotive ADAS. In 2022 IEEE Intl Conf on Parallel &amp; Distributed Processing with Applications, Big Data &amp; Cloud Computing, Sustainable Computing &amp; Communications, Social Computing &amp; Networking (ISPA/BDCloud/SocialCom/SustainCom) (pp. 878-887). IEEE.</t>
  </si>
  <si>
    <t>https://ieeexplore.ieee.org/abstract/document/10070728</t>
  </si>
  <si>
    <t>Chiang, S. Y., &amp; Chen, Y. F. (2022). Contactless Blood Pressure Measurement by AI Robot. Sensors and Materials, 34(11), 4167-4184.</t>
  </si>
  <si>
    <t>https://sensors.myu-group.co.jp/sm_pdf/SM3104.pdf</t>
  </si>
  <si>
    <t>Hung, N. N., Tinh, C. H., Thuan, N. V., &amp; Van, P. N. (2022). A Real-time Implementation of Object Tracking Algorithms Fusion for Thermal Imaging Sequences. IEIE Transactions on Smart Processing &amp; Computing, 11(4), 262-269.</t>
  </si>
  <si>
    <t>https://www.dbpia.co.kr/Journal/articleDetail?nodeId=NODE11121018</t>
  </si>
  <si>
    <t>Cosmin A. Basca (ULBS), Mihai Talos (ULBS) and Remus Brad (ULBS)</t>
  </si>
  <si>
    <t>Randomized hough transform for ellipse detection with result clustering</t>
  </si>
  <si>
    <t>Comari, S., &amp; Carricato, M. (2022). Vision-Based Robotic Grasping of Reels for Automatic Packaging Machines. Applied Sciences, 12(15), 7835.</t>
  </si>
  <si>
    <t>https://www.mdpi.com/2076-3417/12/15/7835</t>
  </si>
  <si>
    <t>Garg, V., André, S., Giraldo, D., Heyer, L., Göpfert, M. C., Dosch, R., &amp; Geurten, B. R. (2022). A Markerless Pose Estimator Applicable to Limbless Animals. Frontiers in Behavioral Neuroscience, 16.</t>
  </si>
  <si>
    <t>https://www.ncbi.nlm.nih.gov/pmc/articles/PMC8997243/</t>
  </si>
  <si>
    <t>Cosmin A Basca (Digital Enterprise Research Institute, Galway, Ireland), Remus Brad (ULBS)</t>
  </si>
  <si>
    <t>Texture segmentation. Gabor filter bank optimization using genetic algorithms</t>
  </si>
  <si>
    <t>Khaliluzzaman, M. (2022). Pedestrian Crossing Detection and Recognition Based on Two Connected Point and Uniform Local Binary Pattern.</t>
  </si>
  <si>
    <t>http://www.mirlabs.org/ijcisim/regular_papers_2022/IJCISIM_9.pdf</t>
  </si>
  <si>
    <t>Morariu Daniel (ULBS), 
Crețulescu Radu (ULBS), 
Breazu Macarie (ULBS)</t>
  </si>
  <si>
    <t>THE WEKA MULTILAYER PERCEPTRON CLASSIFIER</t>
  </si>
  <si>
    <t>Elias Dritsas, Maria Trigka, Machine Learning Techniques for Chronic Kidney Disease Risk Prediction, Big Data Cogn. Comput. 2022, 6(3), 98</t>
  </si>
  <si>
    <t>https://www.webofscience.com/wos/woscc/full-record/WOS:000856208100001</t>
  </si>
  <si>
    <t>Breazu Macarie</t>
  </si>
  <si>
    <t>Imbery, C.A., Dieterle, F., Ottka, C. et al. Metabolomic serum abnormalities in dogs with hepatopathies. Sci Rep 12, 5329 (2022). https://doi.org/10.1038/s41598-022-09056-5</t>
  </si>
  <si>
    <t>https://www.webofscience.com/wos/woscc/full-record/WOS:000775227200039</t>
  </si>
  <si>
    <t>Imbery, C.A., Dieterle, F., Ottka, C. et al. Metabolomic Abnormalities in Serum from Untreated and Treated Dogs with Hyper- and Hypoadrenocorticism
Metabolites 2022, 12(4), 339; https://doi.org/10.3390/metabo12040339</t>
  </si>
  <si>
    <t>https://www.webofscience.com/wos/woscc/full-record/WOS:000787503000001</t>
  </si>
  <si>
    <t>Hai, T., Zhou, J., Li, N. et al. Cloud-based bug tracking software defects analysis using deep learning. J Cloud Comp 11, 32 (2022). https://doi.org/10.1186/s13677-022-00311-8</t>
  </si>
  <si>
    <t>https://www.webofscience.com/wos/woscc/full-record/WOS:000847689500002</t>
  </si>
  <si>
    <t>Bunjira Makond, A Decision Model to Predict the Selection of Education Streams – A Case Study for Trang Province, Thailand, 
TEM Journal, Issue Year: 11/2022, Issue No: 3, Page Range: 1341-1351</t>
  </si>
  <si>
    <t>https://www.webofscience.com/wos/woscc/full-record/WOS:000853146600039</t>
  </si>
  <si>
    <t>Sabri, Nurbaity, et al. "Integrated Evolving Spiking Neural Network and Feature Extraction Methods for Scoliosis Classification." Computers, Materials &amp; Continua 73.3 (2022).</t>
  </si>
  <si>
    <t>https://www.webofscience.com/wos/woscc/full-record/WOS:000858712900030</t>
  </si>
  <si>
    <t>Crețulescu Radu (ULBS), 
Morariu Daniel (ULBS), 
Breazu Macarie (ULBS),
Volovici Daniel (ULBS)</t>
  </si>
  <si>
    <t>DBSCAN Algorithm for Document Clustering</t>
  </si>
  <si>
    <t>Algiriyage, N., Prasanna, R., Stock, K. et al. DEES: a real-time system for event extraction from disaster-related web text. Soc. Netw. Anal. Min. 13, 6 (2023). https://doi.org/10.1007/s13278-022-01007-2</t>
  </si>
  <si>
    <t>https://www.webofscience.com/wos/woscc/full-record/WOS:000897933000001</t>
  </si>
  <si>
    <t xml:space="preserve">Breazu Macarie (ULBS),
Daniel Volovici (ULBS),
Morariu Daniel (ULBS), 
Crețulescu Radu (ULBS)
</t>
  </si>
  <si>
    <t>On Hagelbarger’s and Shannon’s matching pennies playing machines</t>
  </si>
  <si>
    <t>Bartsev, S.I., Markova, G.M. (2023). Does a Recurrent Neural Network Use Reflection During a Reflexive Game?. In: Kryzhanovsky, B., Dunin-Barkowski, W., Redko, V., Tiumentsev, Y. (eds) Advances in Neural Computation, Machine Learning, and Cognitive Research VI. NEUROINFORMATICS 2022. Studies in Computational Intelligence, vol 1064. Springer, Cham. https://doi.org/10.1007/978-3-031-19032-2_15</t>
  </si>
  <si>
    <t>https://link.springer.com/chapter/10.1007/978-3-031-19032-2_15</t>
  </si>
  <si>
    <t xml:space="preserve">Breazu Macarie (ULBS),
Volovici Daniel (ULBS),
Morariu Daniel (ULBS), 
Crețulescu Radu (ULBS)
</t>
  </si>
  <si>
    <t>G. Markova and S. Bartsev, "Decoding the Neural Activity of Recurrent Neural Network Playing a Reflexive Game," 2022 6th Scientific School Dynamics of Complex Networks and their Applications (DCNA), Kaliningrad, Russian Federation, 2022, pp. 185-188, doi: 10.1109/DCNA56428.2022.9923193.</t>
  </si>
  <si>
    <t>https://ieeexplore.ieee.org/abstract/document/9923193</t>
  </si>
  <si>
    <t>Feature selection in document classification</t>
  </si>
  <si>
    <t>Mete Eminagaoglu, A new similarity measure for vector space models in text classification and information retrieval, Journal of Information Science 2022, Vol. 48(4) 463–476</t>
  </si>
  <si>
    <t>https://www.webofscience.com/wos/woscc/full-record/WOS:000631227200001</t>
  </si>
  <si>
    <t>Gellert, A. (ULBS), Fiore, U. (UniSa), Florea, A. (ULBS), Chis, R. (ULBS), &amp; Palmieri, F. (UniSa)</t>
  </si>
  <si>
    <t>Gellert, A., Fiore, U., Florea, A., Chis, R., &amp; Palmieri, F. (2022). Forecasting electricity consumption and production in smart homes through statistical methods. Sustainable Cities and Society, 76, 103426.</t>
  </si>
  <si>
    <t>GULER, E., &amp; YEREL-KANDEMIR, S. (2022). Evaluation of Electricity Consumption in Turkey via Cubic Regression Analysis and One Way Anova Test. The Eurasia Proceedings of Science Technology Engineering and Mathematics, 21, 11-17.</t>
  </si>
  <si>
    <t>http://www.epstem.net/en/pub/issue/74773/1224036</t>
  </si>
  <si>
    <t>5.00</t>
  </si>
  <si>
    <t>Almihat, M. G. M., Kahn, M. T. E., Aboalez, K., &amp; Almaktoof, A. M. (2022). Energy and Sustainable Development in Smart Cities: An Overview. Smart Cities, 5(4), 1389-1408.</t>
  </si>
  <si>
    <t>https://www.mdpi.com/2624-6511/5/4/71</t>
  </si>
  <si>
    <t>Lee, M. H. L., Ser, Y. C., Selvachandran, G., Thong, P. H., Cuong, L., Son, L. H., ... &amp; Gerogiannis, V. C. (2022). A comparative study of forecasting electricity consumption using machine learning models. Mathematics, 10(8), 1329.</t>
  </si>
  <si>
    <t>https://www.mdpi.com/2227-7390/10/8/1329</t>
  </si>
  <si>
    <t>Gao, T., Niu, D., Ji, Z., &amp; Sun, L. (2022). Mid-term electricity demand forecasting using improved variational mode decomposition and extreme learning machine optimized by sparrow search algorithm. Energy, 261, 125328.</t>
  </si>
  <si>
    <t>https://www.sciencedirect.com/science/article/pii/S0360544222022125</t>
  </si>
  <si>
    <t>Kim, M. K., Cremers, B., Liu, J., Zhang, J., &amp; Wang, J. (2022). Prediction and correlation analysis of ventilation performance in a residential building using artificial neural network models based on data-driven analysis. Sustainable Cities and Society, 83, 103981.</t>
  </si>
  <si>
    <t>https://www.sciencedirect.com/science/article/pii/S2210670722003018</t>
  </si>
  <si>
    <t>Rosas, M. A. T., Pérez, M. R., &amp; Pérez, E. R. M. (2022). Itineraries for charging and discharging a BESS using energy predictions based on a CNN-LSTM neural network model in BCS, Mexico. Renewable Energy, 188, 1141-1165.</t>
  </si>
  <si>
    <t>https://www.sciencedirect.com/science/article/pii/S0960148122001902</t>
  </si>
  <si>
    <t>Cofaru Ioana</t>
  </si>
  <si>
    <t>Cretulescu, R.,(ULBS) 
David, A., 
Morariu, D.,(ULBS) 
 Vintan, L.(ULBS) </t>
  </si>
  <si>
    <t>Part-of-speech labeling for Reuters database</t>
  </si>
  <si>
    <t xml:space="preserve">Zhang, Y, Zhang, Y, Peng, L, Quan, L, Zheng, S, Lu, Z., Chen, H., Base-2 Softmax Function: Suitability for Training and Efficient Hardware Implementation, IEEE Transactions on Circuits and Systems I: Regular PapersVolume 69, Issue 9, Pages 3605 - 36181 September 2022, </t>
  </si>
  <si>
    <t>https://www.scopus.com/record/display.uri?eid=2-s2.0-85135762140&amp;origin=resultslist&amp;sort=plf-f</t>
  </si>
  <si>
    <t>Cretulescu Radu</t>
  </si>
  <si>
    <t>Part of speech tagging with Naïve Bayes methods</t>
  </si>
  <si>
    <t>Srivastav, A., Prajapat, Sh., Text similarity algorithms to determine Indian penal code sections for offence report, IAES International Journal of Artificial IntelligenceOpen AccessVolume 11, Issue 1, Pages 34 - 40March 2022</t>
  </si>
  <si>
    <t>https://www.scopus.com/record/display.uri?eid=2-s2.0-85136804889&amp;origin=resultslist&amp;sort=plf-f</t>
  </si>
  <si>
    <t>FiING2</t>
  </si>
  <si>
    <t>Tiun, S., Ariffin, Siti N., Allia N., Chew, Y. D, POS Tagging Model for Malay Tweets Using New POS Tagset and BiLTSM-CRF Approach, CEUR Workshop ProceedingsVolume 3315, Pages 160 - 1652022 2022 International Conference and Workshop on Agglutanative Language Technologies as a Challenge of Natural Language Processing, ALTNLP 2022Virtual, Online7 June 2022through 8 June 2022Code 185890</t>
  </si>
  <si>
    <t>https://www.scopus.com/record/display.uri?eid=2-s2.0-85146116399&amp;origin=resultslist&amp;sort=plf-f</t>
  </si>
  <si>
    <t xml:space="preserve">Morariu, D. (ULBS), 
 Vintan, L., (ULBS), 
Cretulescu, R. (ULBS), </t>
  </si>
  <si>
    <t>An Extension of the VSM Documents Representation using Word Embedding</t>
  </si>
  <si>
    <t>Zhou, M., Kong, Y., Lin, J.,Financial Topic Modeling Based on the BERT-LDA Embedding,IEEE International Conference on Industrial Informatics (INDIN)Volume 2022-July, Pages 495 - 5002022 20th IEEE International Conference on Industrial Informatics, INDIN 2022Perth25 July 2022through 28 July</t>
  </si>
  <si>
    <t>https://www.scopus.com/record/display.uri?eid=2-s2.0-85145769426&amp;origin=resultslist&amp;sort=plf-f</t>
  </si>
  <si>
    <t>Dorobanțiu Alexandru (ULBS), Brad Remus (ULBS)</t>
  </si>
  <si>
    <t>Improving Lossless Image Compression with Contextual Memory</t>
  </si>
  <si>
    <t>Dorobantiu Alexandru</t>
  </si>
  <si>
    <t>Tomaszewska E.J. (Univ. of Bialystok), Florea A.(ULBS)</t>
  </si>
  <si>
    <t>Tomaszewska E.J., Florea A., Urban smart mobility in the scientific literature — bibliometric analysis, Engineering Management in Production and Services, Volume 10, Issue 2, 2018, ISSN 2543-6597, Ed. Bialystok University of Technology, Faculty of Engineering Management, International Society for Manufacturing, Service and Management Engineering, Poland, DOI: 10.2478/emj-2018-0010.</t>
  </si>
  <si>
    <t>Szpilko, D., &amp; Ejdys, J. (2022). European Green Deal–research directions. a systematic literature review. Ekonomia i Środowisko, (2).</t>
  </si>
  <si>
    <t>https://www.ekonomiaisrodowisko.pl/journal/article/view/455</t>
  </si>
  <si>
    <t>Angelidou, M., Politis, C., Panori, A., Barkratsas, T., &amp; Fellnhofer, K. (2022). Emerging smart city, transport and energy trends in urban settings: Results of a pan-European foresight exercise with 120 experts. Technological Forecasting and Social Change, 183, 121915.</t>
  </si>
  <si>
    <t>https://www.sciencedirect.com/science/article/pii/S0040162522004371?pes=vor#bi0005</t>
  </si>
  <si>
    <t>Maniu, I., Maniu, G., &amp; Totan, M. (2022). Clinical and laboratory characteristics of pediatric COVID-19 population—a bibliometric analysis. Journal of Clinical Medicine, 11(20), 5987.</t>
  </si>
  <si>
    <t>https://www.mdpi.com/2077-0383/11/20/5987</t>
  </si>
  <si>
    <t>Righini, S., Calderoni, L., &amp; Maio, D. (2022). A privacy-aware zero interaction smart mobility system. IEEE Access, 10, 11924-11937.</t>
  </si>
  <si>
    <t>https://ieeexplore.ieee.org/ielx7/6287639/9668973/09693973.pdf</t>
  </si>
  <si>
    <t>Arpad Gellert (ULBS), Adrian Florea (ULBS), Ugo Fiore (UniSa), Francesco Palmieri (UniSa), Paolo Zanetti (Univ. of Parthenope)</t>
  </si>
  <si>
    <t>Arpad Gellert, Adrian Florea, Ugo Fiore, Francesco Palmieri, Paolo Zanetti, A study on forecasting electricity production and consumption in smart cities and factories, International Journal of Information Management, 2019, ISSN 0268-4012, https://doi.org/10.1016/j.ijinfomgt.2019.01.006.</t>
  </si>
  <si>
    <t>Dwivedi, Y. K., Hughes, L., Kar, A. K., Baabdullah, A. M., Grover, P., Abbas, R., ... &amp; Wade, M. (2022). Climate change and COP26: Are digital technologies and information management part of the problem or the solution? An editorial reflection and call to action. International Journal of Information Management, 63, 102456.</t>
  </si>
  <si>
    <t>https://www.sciencedirect.com/science/article/pii/S0268401221001493</t>
  </si>
  <si>
    <t>Vakili, S., Ölçer, A. I., Schönborn, A., Ballini, F., &amp; Hoang, A. T. (2022). Energy‐related clean and green framework for shipbuilding community towards zero‐emissions: A strategic analysis from concept to case study. International Journal of Energy Research, 46(14), 20624-20649.</t>
  </si>
  <si>
    <t>https://onlinelibrary.wiley.com/doi/abs/10.1002/er.7649</t>
  </si>
  <si>
    <t>Katrakazas, P., Costantino, M., Magnea, F., Moore, L., Ismail, A., Bourithis, E., ... &amp; Ferrario, F. (2022). An Equifinality Energy Management Framework in Terms of Benchmarking Practices and Expectations: The EnerMan Project Outlook. Systems, 10(1), 2.</t>
  </si>
  <si>
    <t>https://www.mdpi.com/2079-8954/10/1/2</t>
  </si>
  <si>
    <t>Khan, S. N., Kazmi, S. A. A., Altamimi, A., Khan, Z. A., &amp; Alghassab, M. A. (2022). Smart Distribution Mechanisms—Part I: From the Perspectives of Planning. Sustainability, 14(23), 16308.</t>
  </si>
  <si>
    <t>https://www.mdpi.com/2071-1050/14/23/16308</t>
  </si>
  <si>
    <t>Potu, N., Bhukya, S., Jatoth, C., &amp; Parvataneni, P. (2022). Quality-aware energy efficient scheduling model for fog computing comprised IoT network. Computers &amp; Electrical Engineering, 97, 107603.</t>
  </si>
  <si>
    <t>https://www.sciencedirect.com/science/article/abs/pii/S0045790621005371</t>
  </si>
  <si>
    <t>Almadhor, A., Mallikarjuna, K., Rahul, R., Chandra Shekara, G., Bhatia, R., Shishah, W., ... &amp; Thimothy, S. P. (2022). Solar Power Generation in Smart Cities Using an Integrated Machine Learning and Statistical Analysis Methods. International Journal of Photoenergy, 2022.</t>
  </si>
  <si>
    <t>https://www.hindawi.com/journals/ijp/2022/5442304/?utm_source=google&amp;utm_medium=cpc&amp;utm_campaign=HDW_MRKT_GBL_SUB_ADWO_PAI_DYNA_JOUR_Complexity_X0000_Geotarget&amp;gclid=Cj0KCQjwqNqkBhDlARIsAFaxvwx_u8lt0_UOAFjOrYwGiiSGmKwKpM6oScpvMQd0YU4o2wvIQxiktdEaAi42EALw_wcB</t>
  </si>
  <si>
    <t>Nicolaescu, S. S. (ULBS), Florea, A. (ULBS), Kifor, C. V. (ULBS), Fiore, U. (UniSa), Cocan, N. (UiPath company), Receu, I. (Sobis company), Zanetti, P. (Univ. of Pathenope)</t>
  </si>
  <si>
    <t>Nicolaescu, S. S., Florea, A., Kifor, C. V., Fiore, U., Cocan, N., Receu, I., &amp; Zanetti, P. (2020). Human capital evaluation in knowledge-based organizations based on big data analytics. Future Generation Computer Systems, 111, 654-667.</t>
  </si>
  <si>
    <t>OTHMAN, A. K., HITAM, M., ZAKARIA, Z., RAHMAD, M. R., &amp; MOHD SANUSI, Z. (2022). Development and Validation of ESI iDART Instrument Measuring Organizational Values: An Empirical Study in Malaysia. The Journal of Asian Finance, Economics and Business, 9(9), 157–166. https://doi.org/10.13106/JAFEB.2022.VOL9.NO9.0157</t>
  </si>
  <si>
    <t>https://koreascience.kr/article/JAKO202230641597913.page</t>
  </si>
  <si>
    <t>Margherita, Alessandro. "Human resources analytics: A systematization of research topics and directions for future research." Human Resource Management Review 32.2 (2022): 100795.</t>
  </si>
  <si>
    <t>https://www.sciencedirect.com/science/article/abs/pii/S1053482220300681</t>
  </si>
  <si>
    <t>Dadd, D., &amp; Hinton, M. (2022). Performance measurement and evaluation: applying return on investment (ROI) to human capital investments. International Journal of Productivity and Performance Management, (ahead-of-print).</t>
  </si>
  <si>
    <t>https://www.emerald.com/insight/content/doi/10.1108/IJPPM-10-2021-0573/full/html</t>
  </si>
  <si>
    <t>Graczyk-Kucharska, M., Olszewski, R., Golinski, M., Spychala, M., Szafranski, M., Weber, G. W., &amp; Miadowicz, M. (2022). Human resources optimization with MARS and ANN: innovation geolocation model for generation Z. Journal of Industrial and Management Optimization, 18(6), 4093-4110.</t>
  </si>
  <si>
    <t>https://www.aimsciences.org/article/doi/10.3934/jimo.2021149</t>
  </si>
  <si>
    <t>Bemmami, K. E., Gzara, L., Maire, J. L., &amp; Courtin, C. (2022). From digital traces to competences. IFAC-PapersOnLine, 55(10), 1944-1949.</t>
  </si>
  <si>
    <t>https://www.sciencedirect.com/science/article/pii/S2405896322020018</t>
  </si>
  <si>
    <t>OLIVEIRA-LIMA J.A. (CTS/UNINOVA), MORAIS R. (CTS/UNINOVA), MARTINS J.F. (CTS/UNINOVA), FLOREA A. (ULBS), LIMA C. (UFOPA)</t>
  </si>
  <si>
    <t>OLIVEIRA-LIMA J.A., MORAIS R., MARTINS J.F., FLOREA A., LIMA C. - Load forecast on intelligent buildings based on temporary occupancy monitoring, Energy and Buildings 2016, Volume 116, 15 March 2016, Pages 512–521, Elsevier, Received date: 4-5-2015, Revised date: 20-1-2016, Accepted date: 21-1-2016, Available online 22 January 2016, DOI 10.1016/j.enbuild.2016.01.028.</t>
  </si>
  <si>
    <r>
      <rPr>
        <sz val="8"/>
        <color theme="1"/>
        <rFont val="Palatino Linotype"/>
      </rPr>
      <t>J. Jiang </t>
    </r>
    <r>
      <rPr>
        <i/>
        <sz val="8"/>
        <color rgb="FF333333"/>
        <rFont val="Arial"/>
      </rPr>
      <t>et al</t>
    </r>
    <r>
      <rPr>
        <sz val="8"/>
        <color rgb="FF333333"/>
        <rFont val="Arial"/>
      </rPr>
      <t>., "Residential House Occupancy Detection: Trust-Based Scheme Using Economic and Privacy-Aware Sensors," in </t>
    </r>
    <r>
      <rPr>
        <i/>
        <sz val="8"/>
        <color rgb="FF333333"/>
        <rFont val="Arial"/>
      </rPr>
      <t>IEEE Internet of Things Journal</t>
    </r>
    <r>
      <rPr>
        <sz val="8"/>
        <color rgb="FF333333"/>
        <rFont val="Arial"/>
      </rPr>
      <t>, vol. 9, no. 3, pp. 1938-1950, 1 Feb.1, 2022, doi: 10.1109/JIOT.2021.3091098.</t>
    </r>
  </si>
  <si>
    <t>https://ieeexplore.ieee.org/abstract/document/9462533?casa_token=cnDbzXl1r4oAAAAA:mQvSV_YzNYMCqc6gpHipSosLdF4xrJDixZPpyU3ZGFjpyGO5DWFVIDSFlrnKsprWDLBMiBWeL7hCLw</t>
  </si>
  <si>
    <t>Franco, P., Martínez, J. M., Kim, Y. C., &amp; Ahmed, M. A. (2022). A cyber-physical approach for residential energy management: Current state and future directions. Sustainability, 14(8), 4639.</t>
  </si>
  <si>
    <t>https://www.mdpi.com/2071-1050/14/8/4639</t>
  </si>
  <si>
    <t>Gellert, A. (ULBS), &amp; Florea, A. (ULBS)</t>
  </si>
  <si>
    <t>Gellert, A., &amp; Florea, A. (2016). Web prefetching through efficient prediction by partial matching. World Wide Web, 19(5), 921-932.</t>
  </si>
  <si>
    <t>Manohar, E., Anandha Banu, E., &amp; Shalini Punithavathani, D. (2022). Composite analysis of web pages in adaptive environment through Modified Salp Swarm algorithm to rank the web pages. Journal of Ambient Intelligence and Humanized Computing, 1-16.</t>
  </si>
  <si>
    <t>https://link.springer.com/article/10.1007/s12652-021-03033-y</t>
  </si>
  <si>
    <t>Bayir, M. A., &amp; Toroslu, I. H. (2022). Maximal paths recipe for constructing Web user sessions. World Wide Web, 25(6), 2455-2485.</t>
  </si>
  <si>
    <t>https://link.springer.com/article/10.1007/s11280-022-01024-3</t>
  </si>
  <si>
    <t>Grecu, V. (ULBS), Ciobotea, R. I. G. (Endava company), &amp; Florea, A. (ULBS)</t>
  </si>
  <si>
    <t>Grecu, V., Ciobotea, R. I. G., &amp; Florea, A. (2020). Software application for organizational sustainability performance assessment. Sustainability, 12(11), 4435.</t>
  </si>
  <si>
    <t>Bartkowiak, G., Krugiełka, A., Kostrzewa-Demczuk, P., Dachowski, R., &amp; Gałek-Bracha, K. (2022). Experiencing stress among different professional groups in the context of their age. International Journal of Environmental Research and Public Health, 19(2), 622.</t>
  </si>
  <si>
    <t>https://www.mdpi.com/1660-4601/19/2/622</t>
  </si>
  <si>
    <t>Huy, P. Q., &amp; Phuc, V. K. (2022). Insight into the Critical Success Factors of Performance-Based Budgeting Implementation in the Public Sector for Sustainable Development in the COVID-19 Pandemic. Sustainability, 14(20), 13198.</t>
  </si>
  <si>
    <t>https://www.mdpi.com/2071-1050/14/20/13198</t>
  </si>
  <si>
    <t>Karagiannis, D. (Univ. of Vienna), Buchmann, R. A. (UBB Cluj), Boucher, X. (EMSE), Cavalieri, S. (Univ. of Bergamo), Florea, A. (ULBS), Kiritsis, D. (SCI-STI-DK),  Lee, M. (Chonbuk University)</t>
  </si>
  <si>
    <t>Karagiannis, D., Buchmann, R. A., Boucher, X., Cavalieri, S., Florea, A., Kiritsis, D., &amp; Lee, M. (2020). OMiLAB: a smart innovation environment for digital engineers. In Boosting Collaborative Networks 4.0: 21st IFIP WG 5.5 Working Conference on Virtual Enterprises, PRO-VE 2020, Valencia, Spain, November 23–25, 2020, Proceedings 21 (pp. 273-282). Springer International Publishing.</t>
  </si>
  <si>
    <t>Bertoni, M., &amp; Bertoni, A. (2022). Designing solutions with the product-service systems digital twin: What is now and what is next?. Computers in Industry, 138, 103629.</t>
  </si>
  <si>
    <t>https://www.sciencedirect.com/science/article/pii/S0166361522000240</t>
  </si>
  <si>
    <t>Corradini, F., Fedeli, A., Polini, A., &amp; Re, B. (2022, September). Towards a Digital Twin Modelling Notation. In 2022 IEEE Intl Conf on Dependable, Autonomic and Secure Computing, Intl Conf on Pervasive Intelligence and Computing, Intl Conf on Cloud and Big Data Computing, Intl Conf on Cyber Science and Technology Congress (DASC/PiCom/CBDCom/CyberSciTech) (pp. 1-6). IEEE.</t>
  </si>
  <si>
    <t>https://ieeexplore.ieee.org/document/9927827</t>
  </si>
  <si>
    <t>Fiore, U. (UniSa), Florea, A. (ULBS), &amp; Pérez Lechuga, G. (Univ Autonoma Estado Hidalgo)</t>
  </si>
  <si>
    <t>Fiore, U., Florea, A., &amp; Pérez Lechuga, G. (2019). An interdisciplinary review of smart vehicular traffic and its applications and challenges. Journal of Sensor and Actuator Networks, 8(1), 13.</t>
  </si>
  <si>
    <t>https://www.sciencedirect.com/science/article/pii/S0045790621005371</t>
  </si>
  <si>
    <t>Gellert A.(ULBS), Florea A. (ULBS), Fiore U. (UniSa), Paolo Zanetti (Univ. of Parthenope), Vintan L. (ULBS)</t>
  </si>
  <si>
    <t>Gellert, A., Florea, A., Fiore, U., Zanetti, P., &amp; Vintan, L. (2019). Performance and energy optimisation in CPUs through fuzzy knowledge representation. Information Sciences, 476, 375-391.</t>
  </si>
  <si>
    <t>Dlamini, G., Jolha, F., Kholmatova, Z., &amp; Succi, G. (2022). Meta-analytical comparison of energy consumed by two sorting algorithms. Information Sciences, 582, 767-777.</t>
  </si>
  <si>
    <t>https://www.sciencedirect.com/science/article/pii/S0020025521009981</t>
  </si>
  <si>
    <t>Buriboev, A., &amp; Muminov, A. (2022). Computer State Evaluation Using Adaptive Neuro-Fuzzy Inference Systems. Sensors, 22(23), 9502.</t>
  </si>
  <si>
    <t>https://www.mdpi.com/1424-8220/22/23/9502</t>
  </si>
  <si>
    <t>Gong, S., &amp; Hua, G. (2022). Fuzzy edge connectivity in bipolar fuzzy networks and the applications in topology design. International Journal of Intelligent Systems, 37(8), 5425-5442.</t>
  </si>
  <si>
    <t>https://onlinelibrary.wiley.com/doi/abs/10.1002/int.22797</t>
  </si>
  <si>
    <t>Roman, L. (ULBS), Florea, A. (ULBS), &amp; Cofaru, I. I. (ULBS)</t>
  </si>
  <si>
    <t>Roman, L., Florea, A., &amp; Cofaru, I. I. (2014). Software Application for assessment the reliability of suspension system at Opel cars and of road profiles. Fascicle of Management and Technological Engineering, 1, 289-294.</t>
  </si>
  <si>
    <t>Kong, Y. S., Abdullah, S., &amp; Singh, S. S. K. (2022). Distribution characterisation of spring durability for road excitations using maximum likelihood estimation. Engineering Failure Analysis, 134, 106041.</t>
  </si>
  <si>
    <t>https://www.sciencedirect.com/science/article/pii/S1350630722000152</t>
  </si>
  <si>
    <t>Berntzen, L.  (Univ. of South-Eastern of Norway), Johannessen, M. R.  (Univ. of South-Eastern of Norway), &amp; Florea, A. (ULBS)</t>
  </si>
  <si>
    <t>Berntzen, L., Johannessen, M. R., &amp; Florea, A. (2016). Sensors and the smart city: Creating a research design for sensor-based smart city projects. In ThinkMind//SMART 2016, The Fifth International Conference on Smart Cities, Systems, Devices and Technologies.</t>
  </si>
  <si>
    <t>Chung, C. C., &amp; Jeng, T. S. (2022). A Citizen-Sensing System for Measuring Urban Environmental Quality: A Case Study Carried out in Taiwan. Applied Sciences, 12(24), 12691.</t>
  </si>
  <si>
    <t>https://www.mdpi.com/2076-3417/12/24/12691</t>
  </si>
  <si>
    <t>Alexopoulos, C., Keramidis, P., Pereira, G. V., &amp; Charalabidis, Y. (2022, February). Towards Smart Cities 4.0: Digital Participation in Smart Cities Solutions and the Use of Disruptive Technologies. In Information Systems: 18th European, Mediterranean, and Middle Eastern Conference, EMCIS 2021, Virtual Event, December 8–9, 2021, Proceedings (pp. 258-273). Cham: Springer International Publishing.</t>
  </si>
  <si>
    <t>https://link.springer.com/chapter/10.1007/978-3-030-95947-0_18</t>
  </si>
  <si>
    <t>Florea, A. (ULBS), Buduleci, C. (ULBS), Chiş, R. (ULBS), Gellert, A. (ULBS), Vinţan, L. (ULBS)</t>
  </si>
  <si>
    <t>Florea, A., Buduleci, C., Chiş, R., Gellert, A., &amp; Vinţan, L. (2014, October). Enhancing the sniper simulator with thermal measurement. In 2014 18th International Conference on System Theory, Control and Computing (ICSTCC) (pp. 31-36). IEEE.</t>
  </si>
  <si>
    <t>Rahimi, P., Singh, A. K., &amp; Wang, X. (2022). Selective noise based power-efficient and effective countermeasure against thermal covert channel attacks in multi-core systems. Journal of Low Power Electronics and Applications, 12(2), 25.</t>
  </si>
  <si>
    <t>https://www.mdpi.com/2079-9268/12/2/25</t>
  </si>
  <si>
    <t xml:space="preserve">Florea, A. (ULBS), Gellert, A. (ULBS), Florea, D. (Brukenthal College), &amp; Florea, A. C. (NTT Data Romania company) </t>
  </si>
  <si>
    <t>Florea, A., Gellert, A., Florea, D., &amp; Florea, A. C. (2016). TEACHING PROGRAMMING BY DEVELOPING GAMES IN ALICE. eLearning &amp; Software for Education, (1).</t>
  </si>
  <si>
    <t>Akkaya, A., &amp; Akpinar, Y. (2022). Experiential serious-game design for development of knowledge of object-oriented programming and computational thinking skills. Computer Science Education, 32(4), 476-501.</t>
  </si>
  <si>
    <t>https://www.tandfonline.com/doi/abs/10.1080/08993408.2022.2044673?journalCode=ncse20</t>
  </si>
  <si>
    <t>Florea, A. (ULBS), &amp; Fleaca, V. (Istari Vision company)</t>
  </si>
  <si>
    <t>Florea, A., &amp; Fleaca, V. (2020, October). Implementing an embedded system to identify possible COVID-19 suspects using thermovision cameras. In 2020 24th International Conference on System Theory, Control and Computing (ICSTCC) (pp. 322-327). IEEE.</t>
  </si>
  <si>
    <t>Liñan, F. A. S., Julián, C. R., Doig, S. G. A., Chanduvi, R. K. M., &amp; Saavedra-López, M. A. (2022). mHealth management for patient care with COVID-19. [Gestión mSalud para la atención pacientes con Covid-19] Boletin De Malariologia y Salud Ambiental, 62(6), 1314-1322. doi:10.52808/bmsa.7e6.626.025</t>
  </si>
  <si>
    <t>https://151096kg0-y-https-www-scopus-com.z.e-nformation.ro/record/display.uri?eid=2-s2.0-85148240959&amp;origin=resultslist&amp;sort=plf-f&amp;src=s&amp;sid=98ab78a5a1a36fc95466678fc1a16682&amp;sot=b&amp;sdt=b&amp;s=TITLE-ABS-KEY%28Gesti%C3%B3n+mSalud+para+la+atenci%C3%B3n+pacientes+con+Covid-19%29&amp;sl=69&amp;sessionSearchId=98ab78a5a1a36fc95466678fc1a16682</t>
  </si>
  <si>
    <t>Khan, J., Khan, J., Ali, F., Ullah, F., Bacha, J., &amp; Lee, S. (2022). Artificial intelligence and internet of things (AI-IoT) technologies in response to COVID-19 pandemic: A systematic review. Ieee Access.</t>
  </si>
  <si>
    <t>https://ieeexplore.ieee.org/document/9792274</t>
  </si>
  <si>
    <t>Yu W., Gao C., Zhao Y., Liu Q., Infrared Thermal Imaging Face Recognition Method Based on Temperature Block Feature (2022) 4th International Conference on Intelligent Control, Measurement and Signal Processing, ICMSP 2022, pp. 748 - 752.</t>
  </si>
  <si>
    <t>https://151096kg0-y-https-www-scopus-com.z.e-nformation.ro/record/display.uri?eid=2-s2.0-85138045775&amp;origin=resultslist&amp;sort=plf-f&amp;src=s&amp;sid=98ab78a5a1a36fc95466678fc1a16682&amp;sot=b&amp;sdt=b&amp;s=TITLE-ABS-KEY%28Infrared+Thermal+Imaging+Face+Recognition+Method+Based+on+Temperature+Block+Feature%29&amp;sl=69&amp;sessionSearchId=98ab78a5a1a36fc95466678fc1a16682</t>
  </si>
  <si>
    <t>Gandhi, N., Dani, V., Geed, M., Dashore, P., Pandey, N. (2022). FaMaDAS: Face Mask Detection and Alert System for COVID 19 Outbreaks. In: , et al. Hybrid Intelligent Systems. HIS 2021. Lecture Notes in Networks and Systems, vol 420. Springer, Cham. https://doi.org/10.1007/978-3-030-96305-7_39</t>
  </si>
  <si>
    <t>https://link.springer.com/chapter/10.1007/978-3-030-96305-7_39</t>
  </si>
  <si>
    <t>Andrea Révész (University College London), Leona Bunting (University of Gothenburg), Adrian Florea (ULBS), Roger Gilabert, Ylva Hård af Segerstad (University of Gothenburg), Ioan P Mihu (ULBS), Cliff Parry (British Council Greece), Laura Benton (University College London), Asimina Vasalou (University College London)</t>
  </si>
  <si>
    <t>Révész, A., Bunting, L., Florea, A., Gilabert, R., Hård af Segerstad, Y., Mihu, I. P., ... &amp; Vasalou, A. (2021). The effects of multiple‐exposure textual enhancement on child L2 learners’ development in derivational morphology: A multi‐site study. TESOL Quarterly, 55(3), 901-930.</t>
  </si>
  <si>
    <t>Reynolds, B. L., Cui, Y., Kao, C. W., &amp; Thomas, N. (2022). Vocabulary acquisition through viewing captioned and subtitled video: A scoping review and meta-analysis. Systems, 10(5), 133.</t>
  </si>
  <si>
    <t>https://www.mdpi.com/2079-8954/10/5/133</t>
  </si>
  <si>
    <t>Kifor, C. V. (ULBS), Nicolaescu, S. S. (ULBS), Florea, A. (ULBS), Săvescu, R. F. (ULBS), Receu, I. (Sobis company), Ţîrlea, A. V. (ULBS), &amp; Dănuţ, R. E. (ULBS)</t>
  </si>
  <si>
    <t>Kifor, C. V., Nicolaescu, S. S., Florea, A., Săvescu, R. F., Receu, I., Ţîrlea, A. V., &amp; Dănuţ, R. E. (2021). Workforce analytics in teleworking. IEEE Access, 9, 156451-156464.</t>
  </si>
  <si>
    <t>Yan, X., Yu, P., Zhang, J., Gao, S. P., &amp; Guo, Y. (2022). A Broadband 10–43-GHz High-Gain LNA MMIC Using Coupled-Line Feedback in 0.15-μm GaAs pHEMT Technology. IEEE Microwave and Wireless Components Letters, 32(12), 1459-1462.</t>
  </si>
  <si>
    <t>https://ieeexplore.ieee.org/abstract/document/9844260</t>
  </si>
  <si>
    <t>BUTEAN, A. (ULBS), OLESCU, M. (ULBS) L., TOCU, N. A.(ULBS), &amp; FLOREA, A. (ULBS)</t>
  </si>
  <si>
    <t>BUTEAN, A., OLESCU, M. L., TOCU, N. A., &amp; FLOREA, A. (2019). Improving Training Methods for Industry Workers though AI Assisted Multi-Stage Virtual Reality Simulations. eLearning &amp; Software for Education, 1.</t>
  </si>
  <si>
    <r>
      <rPr>
        <sz val="8"/>
        <color theme="1"/>
        <rFont val="Palatino Linotype"/>
      </rPr>
      <t>Keepers, M., Nesbit, I., Romero, D., &amp; Wuest, T. (2022). Current state of research &amp; outlook of gamification for manufacturing. </t>
    </r>
    <r>
      <rPr>
        <i/>
        <sz val="8"/>
        <color rgb="FF222222"/>
        <rFont val="Arial"/>
      </rPr>
      <t>Journal of Manufacturing Systems</t>
    </r>
    <r>
      <rPr>
        <sz val="8"/>
        <color rgb="FF222222"/>
        <rFont val="Arial"/>
      </rPr>
      <t>, </t>
    </r>
    <r>
      <rPr>
        <i/>
        <sz val="8"/>
        <color rgb="FF222222"/>
        <rFont val="Arial"/>
      </rPr>
      <t>64</t>
    </r>
    <r>
      <rPr>
        <sz val="8"/>
        <color rgb="FF222222"/>
        <rFont val="Arial"/>
      </rPr>
      <t>, 303-315.</t>
    </r>
  </si>
  <si>
    <t>https://www.sciencedirect.com/science/article/pii/S0278612522001133?casa_token=1kwWNHAzJu4AAAAA:D2RcqU2otJVtpV11WcIvU5BPq3RbBg16VT18qKU1Ao4Xk-sym9mPCoePR1AulxLyPu1NtftIS9w</t>
  </si>
  <si>
    <t xml:space="preserve">Florea, A. (ULBS), &amp; Gellert, A. (ULBS) </t>
  </si>
  <si>
    <t>Florea, A., &amp; Gellert, A. (2016, August). E-learning approach of the graph coloring problem applied to register allocation in embedded systems. In 2016 Sixth International Conference on Innovative Computing Technology (INTECH) (pp. 173-178). IEEE.</t>
  </si>
  <si>
    <t>Xiao, S., He, J. S., Yang, J., Hong, X., &amp; Luo, J. (2022, July). Energy Reduction Method by Compiler Optimization. In Artificial Intelligence and Security: 8th International Conference, ICAIS 2022, Qinghai, China, July 15–20, 2022, Proceedings, Part I (pp. 672-683). Cham: Springer International Publishing.</t>
  </si>
  <si>
    <t>https://link.springer.com/chapter/10.1007/978-3-031-06794-5_54</t>
  </si>
  <si>
    <t>Anghel, T. (Timeline company), Florea, A. (ULBS), Gellert, A. (ULBS), &amp; Florea, D. (Brukenthal College)</t>
  </si>
  <si>
    <t>Anghel, T., Florea, A., Gellert, A., &amp; Florea, D. (2011). WEB-BASED TECHNOLOGIES FOR ONLINE E-LEARNING ENVIRONMENTS. eLearning &amp; Software for Education.</t>
  </si>
  <si>
    <t>Gazzawe, F., Mayouf, M., Lock, R., &amp; Alturki, R. (2022). The Role of Machine Learning in E-Learning Using the Web and AI-Enabled Mobile Applications. Mobile Information Systems, 2022.</t>
  </si>
  <si>
    <t>https://www.hindawi.com/journals/misy/2022/3696140/</t>
  </si>
  <si>
    <t>Florea, A. (ULBS), Sipos, A.(ULBS), &amp; Stoisor, M. C. (ULBS)</t>
  </si>
  <si>
    <t>Florea, A., Sipos, A., &amp; Stoisor, M. C. (2022). Applying AI Tools for Modeling, Predicting and Managing the White Wine Fermentation Process. Fermentation, 8(4), 137.</t>
  </si>
  <si>
    <t>Bhardwaj, A., Kishore, S., &amp; Pandey, D. K. (2022). Artificial Intelligence in Biological Sciences. Life, 12(9), 1430.</t>
  </si>
  <si>
    <t>https://www.mdpi.com/2075-1729/12/9/1430</t>
  </si>
  <si>
    <t>Radu Sorostinean, Arpad Gellert, Bogdan-Constantin Pirvu</t>
  </si>
  <si>
    <t>Assembly Assistance System with Decision Trees and Ensemble Learning, Sensors, Vol. 21, Issue 11, ISSN 1424-8220 (ISI Thomson Journals IF=3.275, Scopus, DBLP), DOI 10.3390/s21113580, p. 3580, May 2021.</t>
  </si>
  <si>
    <t>Darko Hercog, Primož Bencak, Uroš Vincetič, Tone Lerher, Product Assembly Assistance System Based on Pick-To-Light and Computer Vision Technology, Sensors, Vol. 22, Issue 24, p. 9769, December 2022</t>
  </si>
  <si>
    <t>Arpad Gellert, Constantin-Bala Zamfirescu</t>
  </si>
  <si>
    <t>Using Two-Level Context-Based Predictors for Assembly Assistance in Smart Factories, Intelligent Methods in Computing, Communications and Control: 8th International Conference on Computers Communications and Control, Book series: Advances in Intelligent Systems and Computing, Springer, ISSN: 2194-5357 (indexed ISI, Scopus), DOI 10.1007/978-3-030-53651-0_14, pp. 167-176, May 2020.</t>
  </si>
  <si>
    <t>Hendrik Oestreich, Mario Heinz-Jakobs, Philip Sehr, Sebastian Wrede, Human-Centered Adaptive Assistance Systems for the Shop Floor, Human-Technology Interaction, Shaping the Future of Industrial User Interfaces, Springer, pp. 83-125, December 2022</t>
  </si>
  <si>
    <t xml:space="preserve">Arpad Gellert, Stefan-Alexandru Precup, Bogdan-Constantin Pirvu, Constantin-Bala Zamfirescu, </t>
  </si>
  <si>
    <t>Prediction-Based Assembly Assistance System, 25th International Conference on Emerging Technologies and Factory Automation (ETFA), ISBN 978-1-7281-8957-4 (indexed ISI, DBLP, Scopus), DOI 10.1109/ETFA46521.2020.9212170, pp. 1065-1068, Vienna, Austria, September 2020.</t>
  </si>
  <si>
    <t>Hendrik Oestreich, Mario Heinz-Jakobs, Philip Sehr, Sebastian Wrede, Human-Centered Adaptive Assistance Systems for the Shop Floor, Human-Technology Interaction, Shaping the Future of Industrial User Interfaces, Springer, pp. 83-125, December 2022.</t>
  </si>
  <si>
    <t>Estimation of Missing LiDAR Data for Accurate AGV Localization, IEEE Access, Vol. 10, ISSN 2169-3536 (ISI Thomson Journals IF=3.367, DBLP, Scopus), DOI 10.1109/ACCESS.2022.3185763, pp. 68416-68428, June 2022.</t>
  </si>
  <si>
    <t>Jian Gu, Yubin Lan, FanXia Kong, Lei Liu, Lili Yi, Setting method of Downsampling Factor and Grid Factor for NDT Relocation Algorithm in Dynamic Environment, IEEE Access, December 2022.</t>
  </si>
  <si>
    <t>https://ieeexplore.ieee.org/document/9978292</t>
  </si>
  <si>
    <t>Arpad Gellert, Adrian Florea, Ugo Fiore, Paolo Zanetti, Lucian Vintan</t>
  </si>
  <si>
    <t>Performance and Energy Optimisation in CPUs through Fuzzy Knowledge Representation, Information Sciences, Elsevier, Vol. 476, ISSN 0020-0255 (ISI Thomson Journals IF=4.832, Scopus, DBLP, EBSCO), DOI 10.1016/j.ins.2018.03.029, pages 375-391, February 2019</t>
  </si>
  <si>
    <t>Abror Buriboev, Azamjon Muminov, Computer State Evaluation Using Adaptive Neuro-Fuzzy Inference Systems, Sensors, Vol. 22, Issue 23, p. 9502, December 2022</t>
  </si>
  <si>
    <t>https://www.mdpi.com/1424-8220/22/23/9502/pdf</t>
  </si>
  <si>
    <t>Arpad Gellert, Stefan-Alexandru Precup, Bogdan-Constantin Pirvu, Ugo Fiore, Constantin-Bala Zamfirescu, Francesco Palmieri</t>
  </si>
  <si>
    <t>An Empirical Evaluation of Prediction by Partial Matching in Assembly Assistance Systems, Applied Sciences, Vol. 11, Issue 7, ISSN 2076-3417 (ISI Thomson Journals IF=2.474, Scopus), DOI 10.3390/app11073278, p. 3278, Switzerland, April 2021.</t>
  </si>
  <si>
    <t>Dajana Antanasijević, Sonia Ristić, Marko Vieštica, Vladimir Dimitrieski, Milan Pisarić, Towards a Formal Specification of Human Worker for Industry 4.0, 16th International Scientific Conference on Informatics, Poprad, Slovakia, November 2022.</t>
  </si>
  <si>
    <t>https://ieeexplore.ieee.org/document/10083444</t>
  </si>
  <si>
    <t>SCOPUS, IEEE Xplore</t>
  </si>
  <si>
    <t>Estimation of Missing LiDAR Data for Accurate AGV Localization, IEEE Access, Vol. 10, ISSN 2169-3536 (ISI Thomson Journals IF=3.367), DOI 10.1109/ACCESS.2022.3185763, pp. 68416-68428, June 2022.</t>
  </si>
  <si>
    <t>Agnieszka A. Tubis, Honorata Poturaj, Risk Related to AGV Systems – Open-Access Literature Review, Energies, Vol. 15, Issue 23, p. 8910, November 2022</t>
  </si>
  <si>
    <t>https://www.mdpi.com/1996-1073/15/23/8910</t>
  </si>
  <si>
    <t>Marlon Antonin Lehmann, Intelligent assistance systems for assembly tasks, The Future of Smart Production for SMEs, Springer, Cham, pp. 203-211, First online: October 2022</t>
  </si>
  <si>
    <t>Arpad Gellert, Ugo Fiore, Adrian Florea, Radu Chis, Francesco Palmieri</t>
  </si>
  <si>
    <t>Forecasting Electricity Consumption and Production in Smart Homes through Statistical Methods, Sustainable Cities and Society, Vol. 76, ISSN 2210-6707 (ISI Thomson Journals IF=7.587, Scopus), January 2022.</t>
  </si>
  <si>
    <t>Mohamed G. Moh Almihat, M. T. E. Kahn, Khaled Aboalez, Ali M. Almaktoof, Energy and Sustainable Development in Smart Cities: An Overview, Smart Cities, Vol. 5, Issue 4, pp. 389–1408, October 2022</t>
  </si>
  <si>
    <t>https://www.mdpi.com/2624-6511/5/4/71/pdf</t>
  </si>
  <si>
    <t>Arpad Gellert, Adrian Florea, Ugo Fiore, Francesco Palmieri, Paolo Zanetti</t>
  </si>
  <si>
    <t>A study on forecasting electricity production and consumption in smart cities and factories, International Journal of Information Management, Elsevier, DOI 10.1016/j.ijinfomgt.2019.01.006, ISSN 0268-4012 (ISI Thomson Journals IF=5.063, Scopus, DBLP), Vol. 49, pages 546-556, December 2019</t>
  </si>
  <si>
    <t>A study on forecasting electricity production and consumption in smart cities and factories, International Journal of Information Management, Elsevier, DOI 10.1016/j.ijinfomgt.2019.01.006, ISSN 0268-4012 (ISI Thomson Journals IF=5.063, Scopus, DBLP), Vol. 49, pages 546-556, December 2019.</t>
  </si>
  <si>
    <t xml:space="preserve">Ahmad Almadhor, K. Mallikarjuna, R. Rahul, G. Chandra Shekara, Rishu Bhatia, Wesam Shishah, V. Mohanavel, S. Suresh Kumar, Sojan Palukaran Thimothy, Solar Power Generation in Smart Cities Using an Integrated Machine Learning and Statistical Analysis Methods, International Journal of Photoenergy, Vol. 2022, p. 5442304, September 2022. </t>
  </si>
  <si>
    <t>https://www.hindawi.com/journals/ijp/2022/5442304/</t>
  </si>
  <si>
    <t xml:space="preserve">Arpad Gellert, Ugo Fiore, Adrian Florea, Radu Chis, Francesco Palmieri </t>
  </si>
  <si>
    <t xml:space="preserve">Tian Gao, Dongxiao Niu, Zhengsen Ji, Lijie Sun, Mid-term electricity demand forecasting using improved variational mode decomposition and extreme learning machine optimized by sparrow search algorithm, Energy, Vol. 261, p. 125328, September 2022. </t>
  </si>
  <si>
    <t>https://www.sciencedirect.com/science/article/abs/pii/S0360544222022125</t>
  </si>
  <si>
    <t xml:space="preserve">Alexandru Matei, Nicolae-Adrian Tocu, Constantin-Bala Zamfirescu, Arpad Gellert, Mihai Neghina. </t>
  </si>
  <si>
    <t>Engineering a Digital Twin for Manual Assembling, 10th International Symposium on Leveraging Applications of Formal Methods (ISoLA 2020), published in Leveraging Applications of Formal Methods, Verification and Validation: Tools and Trends, Lecture Notes in Computer Science, Vol. 12479, ISBN 978-3-030-83722-8 (indexed DBLP, Scopus), pp. 140-152, Springer, Cham, 2021.</t>
  </si>
  <si>
    <t xml:space="preserve">Sergio Salimbeni, Nahuel Romera, Andrés Redchuk, Digital Twin in a Dairy Factory, International Symposium on Industrial Engineering and Automation: Managing and Implementing the Digital Transformation, Lecture Notes in Networks and Systems, Vol. 525, pp. 103-113, August 2022. </t>
  </si>
  <si>
    <t>https://link.springer.com/chapter/10.1007/978-3-031-14317-5_9</t>
  </si>
  <si>
    <t>Lucian Vinţan, Arpad Gellert, Jan Petzold, Theo Ungerer</t>
  </si>
  <si>
    <t xml:space="preserve">Person Movement Prediction Using Neural Networks, Proceedings of the KI2004 International Workshop on Modeling and Retrieval of Context (MRC 2004), Vol-114, ISSN 1613-0073 (CiteSeerX) Ulm, Germany, September 2004 </t>
  </si>
  <si>
    <t>Abdulrahman Al-Molegi, Antoni Martínez-Ballesté, SafeMove: Monitoring Seniors with Mild Cognitive Impairments using Deep Learning and Location Prediction, Neural Computing and Applications, 2022.</t>
  </si>
  <si>
    <t>https://link.springer.com/article/10.1007/s00521-022-07320-3</t>
  </si>
  <si>
    <t>Adrian Florea, Arpad Gellert</t>
  </si>
  <si>
    <t>E-learning Approach of the Graph Coloring Problem Applied to Register Allocation in Embedded Systems, The 6th International Conference on Innovative Computing Technology (INTECH 2016), ISBN 978-1-5090-2000-3 (indexed ISI, IEEE Xplore, Scopus), DOI 10.1109/INTECH.2016.7845027, pages 88-93, Dublin, Ireland, August 2016.</t>
  </si>
  <si>
    <t>Sheng Xiao, Jing Selena He, Jingwen Yang, Xiaomeng Hong, Jinke Luo, Energy Reduction Method by Compiler Optimization, Artificial Intelligence and Security, Lecture Notes in Computer Science, Vol. 13338, pp. 672-683, 2022</t>
  </si>
  <si>
    <t>Traian Anghel, Adrian Florea, Arpad Gellert, Delilah Florea</t>
  </si>
  <si>
    <t>Web-Based Technologies for Online e-Learning Environments, 7th International Scientific Conference “eLearning and Software for Education” (eLSE 2011), ISSN: 2066-026X, Equiv. IF 0.25 (indexed ISI), Vol. II, pages 502-509, Bucharest, April 2011.</t>
  </si>
  <si>
    <t>Foziah Gazzawe, Mohammad Mayouf, Russell Lock, Ryan Alturki, The Role of Machine Learning in E-Learning Using the Web and AI-Enabled Mobile Applications, Mobile Information Systems, p. 3696140, 2022.</t>
  </si>
  <si>
    <t>https://dl.acm.org/doi/10.1155/2022/3696140</t>
  </si>
  <si>
    <t>Moon Keun Kim, Bart Cremers, Jiying Liu, Jianhua Zhang, Junqi Wang, Prediction and Correlation Analysis of Ventilation Performance in a Residential Building Using Artificial Neural Network Models Based on Data-Driven Analysis, Sustainable Cities and Society, p. 103981, 2022.</t>
  </si>
  <si>
    <t>Behzad Boroujerdian, Ying Jing, Devashree Tripathy, Amit Kumar, Lavanya Subramanian, Luke Yen, Vincent Lee, Vivek Venkatesan, Amit Jindal, Robert Shearer, Vijay Janapa Reddi, FARSI: An Early-stage Design Space Exploration Framework to Tame the Domain-specific System-on-chip Complexity, ACM Transactions on Embedded Computing Systems, https://doi.org/10.1145/3544016, First online: June 2022</t>
  </si>
  <si>
    <t>https://dl.acm.org/doi/10.1145/3544016</t>
  </si>
  <si>
    <t>Google Scholar, WoS, DBLP, EBSCO</t>
  </si>
  <si>
    <t>Arpad Gellert, Adrian Florea</t>
  </si>
  <si>
    <t>Web Prefetching through Efficient Prediction by Partial Matching, World Wide Web Journal, Vol. 19, Issue 5, DOI 10.1007/s11280-015-0367-8, pages 921-932, USA, September 2016</t>
  </si>
  <si>
    <t xml:space="preserve">Murat Ali Bayir, Ismail Hakki Toroslu, Maximal paths recipe for constructing Web user sessions, World Wide Web, May 2022. </t>
  </si>
  <si>
    <t>Adrian Florea, Claudiu Buduleci, Radu Chis, Arpad Gellert, Lucian Vintan</t>
  </si>
  <si>
    <t>Enhancing the Sniper Simulator with Thermal Measurement, The 18th International Conference on System Theory, Control and Computing, ISBN 978-1-4799-4602-0 (Scopus, IEEE Xplore), Sinaia, October 2014</t>
  </si>
  <si>
    <t>Parisa Rahimi, Amit Kumar Singh, Xiaohang Wang, Selective Noise Based Power-Efficient and Effective Countermeasure against Thermal Covert Channel Attacks in Multi-Core Systems, Journal of Low Power Electronics and Applications, Vol. 12, Issue 2, p. 25, May 2022</t>
  </si>
  <si>
    <t>Arpad Gellert, Remus Brad</t>
  </si>
  <si>
    <t>Image Inpainting with Markov Chains, Signal, Image and Video Processing, Vol. 14, Issue 7, ISSN 1863-1703 (ISI Thomson Journals IF=1.794, Scopus, DBLP), DOI 10.1007/s11760-020-01675-7, pp. 1335-1343, October 2020.</t>
  </si>
  <si>
    <t>Lijuan Tang, Kezheng Sun, Shuaifeng Huang, Guangcheng Wang, Kui Jiang, Quality Assessment of View Synthesis Based on Visual Saliency and Texture Naturalness, Electronics, Vol. 11, Issue 9, p. 1384, April 2022</t>
  </si>
  <si>
    <t>Madeline Hui Li Lee, Yee Chee Ser, Ganeshsree Selvachandran, Pham Huy Thong, Le Cuong, Le Hoang Son, Nguyen Trung Tuan, Vassilis C. Gerogiannis, A Comparative Study of Forecasting Electricity Consumption Using Machine Learning Models, Mathematics, Vol. 10, Issue 8, p. 1329, April 2022</t>
  </si>
  <si>
    <t>Towards an Assembly Support System with Dynamic Bayesian Network, Applied Sciences, Vol. 12, Issue 3, ISSN 2076-3417 (ISI Thomson Journals IF=2.474, Scopus), DOI 10.3390/app12030985, p. 985, Switzerland, February 2022.</t>
  </si>
  <si>
    <t>Bastian Pokorni, Daniela Popescu, Carmen Constantinescu, Design of Cognitive Assistance Systems in Manual Assembly Based on Quality Function Deployment, Applied Sciences, Vol. 12, Issue 8, p. 3887, April 2022</t>
  </si>
  <si>
    <t>Robust Assembly Assistance Using Informed Tree Search with Markov Chains, Sensors, Vol. 22, Issue 2, ISSN 1424-8220 (ISI Thomson Journals IF=3.275, Scopus, DBLP), DOI 10.3390/s22020495, p. 495, January 2022.</t>
  </si>
  <si>
    <t xml:space="preserve">Arpad Gellert, Radu Sorostinean, Bogdan-Constantin Pirvu </t>
  </si>
  <si>
    <t>Shihong Liu, Shichang Du, Lifeng Xi, Yiping Shao, Delin Huang, A Novel Analytical Modeling Approach for Quality Propagation of Transient Analysis of Serial Production Systems, Sensors, Vol. 22, Issue 6, p. 2409, March 2022</t>
  </si>
  <si>
    <t>Ruba Obiedat, Sara Toubasi, A Combined Approach for Predicting Employees’ Productivity based on Ensemble Machine Learning Methods, Informatica, Vol. 46, No. 5, pp. 49-58, March 2022</t>
  </si>
  <si>
    <t xml:space="preserve">Arpad Gellert, Remus Brad </t>
  </si>
  <si>
    <t>Context-Based Prediction Filtering of Impulse Noise Images, IET Image Processing, Vol. 10, Issue 6, ISSN 1751-9659 (ISI Thomson Journals IF=1.044, DBLP, Scopus, EBSCO, IEEE Xplore), DOI 10.1049/iet-ipr.2015.0702, pages 429-437, Stevenage, United Kingdom, June 2016</t>
  </si>
  <si>
    <t>Amit Prakash Sen, Nirmal Kumar Rout, A Comparative Analysis of the Algorithms for De-noising Images Contaminated with Impulse Noise, Sensing and Imaging, Vol. 23, p. 11, March 2022</t>
  </si>
  <si>
    <t>Mario A. Tovar Rosas, Miguel Robles Pérez, E. Rafael Martínez Pérez, Itineraries for charging and discharging a BESS using energy predictions based on a CNN-LSTM neural network model in BCS, Mexico, Renewable Energy, First online: March 2022</t>
  </si>
  <si>
    <t>https://www.sciencedirect.com/science/article/abs/pii/S0960148122001902</t>
  </si>
  <si>
    <t>Adrian Florea, Arpad Gellert, Delilah Florea, Adrian-Cristian Florea</t>
  </si>
  <si>
    <t>Teaching Programming by Developing Games in Alice, The 12th International Scientific Conference "eLearning and Software for Education" (eLSE 2016), ISSN 2066-026X (indexed ISI), Vol. 1, DOI 10.12753/2066-026X-16-073, pages 503-510, Bucharest, April 2016</t>
  </si>
  <si>
    <t>Ali Akkaya, Yavuz Akpinar, Experiential serious-game design for development of knowledge of object-oriented programming and computational thinking skills, Computer Science Education, First online: March 2022</t>
  </si>
  <si>
    <t>https://www.tandfonline.com/doi/abs/10.1080/08993408.2022.2044673</t>
  </si>
  <si>
    <t>Binglin Wang, Liang Yan, Xiaojun Duan, Tongpu Yu, Hao Zhang, An Integrated Surrogate Model Constructing Method: Annealing Combinable Gaussian Process, Information Sciences, First online: January 2022</t>
  </si>
  <si>
    <t>V. Juliet Rani, K. K. Thanammal, STFTSM: noise reduction using soft threshold-based fuzzy trimmed switch median filter, Soft Computing, First online: January 2022</t>
  </si>
  <si>
    <t>Panagiotis Katrakazas et al., An Equifinality Energy Management Framework in Terms of Benchmarking Practices and Expectations: The EnerMan Project Outlook, Systems, Vol. 10, Issue 1, 2022</t>
  </si>
  <si>
    <t>Yogesh K. Dwivedi et al., Climate change and COP26: Are digital technologies and information management part of the problem or the solution? An editorial reflection and call to action, International Journal of Information Management, Vol. 63, p. 102456, 2022</t>
  </si>
  <si>
    <t>Performance and Energy Optimisation in CPUs through Fuzzy Knowledge Representation, Information Sciences, Elsevier, Vol. 476, ISSN 0020-0255 (ISI Thomson Journals IF=5.910, Scopus, DBLP, EBSCO), DOI 10.1016/j.ins.2018.03.029, pp. 375-391, February 2019.</t>
  </si>
  <si>
    <t>Gcinizwe Dlamini, Firas Jolha, Zamira Kholmatova, Giancarlo Succi, Meta-Analytical Comparison Of Energy Consumed By Two Sorting Algorithms, Information Sciences, Vol. 582, pp. 767-777, January 2022</t>
  </si>
  <si>
    <t>https://www.sciencedirect.com/science/article/abs/pii/S0020025521009981</t>
  </si>
  <si>
    <t>Nicolae-Adrian Tocu, Arpad Gellert, Ioana-Ramona Stefan, Teodor-Marian Nitescu, Gabriela-Alexandra Luca</t>
  </si>
  <si>
    <t>The impact of virtual reality simulators in manufacturing industry, 12th Annual International Conference on Education and New Learning Technologies, ISBN 978-84-09-17979-4, pp. 3084-3093, Palma de Mallorca, Spain, July 2020.</t>
  </si>
  <si>
    <t>Lozano González Jorge, Neira-Tovar Leticia, Cruz Juan, Sanchez Eduardo, Virtual Reality Training Simulation for Controlled Land Unmanned Vehicle: A Feasibility Model, 2nd EAI International Conference on Smart Technology, pp. 73-88, December 2022</t>
  </si>
  <si>
    <t>https://link.springer.com/chapter/10.1007/978-3-031-07670-1_6</t>
  </si>
  <si>
    <t>Zohaib Jan, Farhad Ahamed, Wolfgang Mayer, Niki Patel, Georg Grossmann, Markus Stumptner, Ana Kuusk, Artificial Intelligence for Industry 4.0: Systematic Review of Applications, Challenges, and Opportunities, Expert Systems with Applications, p. 119456, First online: December 2022</t>
  </si>
  <si>
    <t>https://www.sciencedirect.com/science/article/abs/pii/S0957417422024757</t>
  </si>
  <si>
    <t>WoS, SCOPUS</t>
  </si>
  <si>
    <t>Shahid Nawaz Khan, Syed Ali Abbas Kazmi, Abdullah Altamimi, Zafar A. Khan, Mohammed A. Alghassab, Smart Distribution Mechanisms – Part I: From the Perspectives of Planning, Sustainability, Vol. 14, Issue 23, p. 16308, December 2022</t>
  </si>
  <si>
    <t>Ezgi Guler, Suheyla Yerel-Kandemir, Evaluation of Electricity Consumption in Turkey via Cubic Regression Analysis and One Way Anova Test, International Conference on Technology, Engineering and Science (IConTES), The Eurasia Proceedings of Science, Technology, Engineering and Mathematics, Vol. 21, pp. 11-17, Antalya, Turkey, November 2022.</t>
  </si>
  <si>
    <t>Wilson Eduardo Barioni, Igor Pardal Latini, Andre Lazzaretti, Marco Teixeira, Flavio Neves, Lucia Valeria Ramos De Arruda, AGV Detection in Industrial Environments through Computer Vision, IEEE Latin American Robotics Symposium (LARS), pp. 1-6, São Bernardo do Campo, Brazil, October 2022.</t>
  </si>
  <si>
    <t>https://ieeexplore.ieee.org/document/9995994</t>
  </si>
  <si>
    <t>David Alfaro-Viquez, Mauricio-Andres Zamora-Hernandez, Manuel Benavent-Lledo, Jose Garcia-Rodriguez, Jorge Azorín-López, Monitoring Human Performance Through Deep Learning and Computer Vision in Industry 4.0,  17th International Conference on Soft Computing Models in Industrial and Environmental Applications (SOCO 2022), pp. 309–318, Salamanca, Spain, September 2022</t>
  </si>
  <si>
    <t>Shu Gong, Gang Hua, Fuzzy edge connectivity in bipolar fuzzy networks and the applications in topology design, International Journal of Intelligent Systems, First online: January 2022.</t>
  </si>
  <si>
    <t>Seyedvahid Vakili, Aykut I. Ölçer, Alessandro Schönborn, Fabio Ballini, Anh Tuan Hoang, Energy-related clean and green framework for shipbuilding community towards zero-emissions: A strategic analysis from concept to case study, International Journal of Energy Research, First online: January 2022.</t>
  </si>
  <si>
    <t>Web Access Mining through Dynamic Decision Trees with Markovian Features, Journal of Web Engineering, Vol. 16, Issue 5-6, ISSN 1540-9589 (ISI Thomson Journals IF=0.622, Scopus, DBLP), pages 524-536, USA, September 2017</t>
  </si>
  <si>
    <t>Wei Niu, Juan Cheng, Dongxu Sun, Xiaogang Song, Research on hybrid Markov prediction model based on clustering, International Symposium on Computer Applications and Information Systems, Vol. 12250, May 2022</t>
  </si>
  <si>
    <t>https://www.spiedigitallibrary.org/conference-proceedings-of-spie/12250/122500A/Research-on-hybrid-Markov-prediction-model-based-on-clustering/10.1117/12.2639741.short?SSO=1</t>
  </si>
  <si>
    <t>Morariu Daniel</t>
  </si>
  <si>
    <t>Daniel Morariu(ULBS), Lucian Vintan(ULBS), and Radu Cretulescu(ULBS)</t>
  </si>
  <si>
    <t>. An Extension of the VSM Documents Representation using Word Embedding</t>
  </si>
  <si>
    <t>M. Zhou, Y. Kong and J. Lin, "Financial Topic Modeling Based on the BERT-LDA Embedding," 2022 IEEE 20th International Conference on Industrial Informatics (INDIN), Perth, Australia, 2022, pp. 495-500, doi: 10.1109/INDIN51773.2022.9976145.</t>
  </si>
  <si>
    <r>
      <rPr>
        <sz val="10"/>
        <color theme="1"/>
        <rFont val="Arial Narrow"/>
      </rPr>
      <t xml:space="preserve">Neagoe, V.-E., 
</t>
    </r>
    <r>
      <rPr>
        <b/>
        <sz val="10"/>
        <color theme="1"/>
        <rFont val="Arial Narrow"/>
      </rPr>
      <t>Neghina, C.-E.</t>
    </r>
  </si>
  <si>
    <t>An Artificial Bee Colony Approach for Classification of Remote Sensing Imagery</t>
  </si>
  <si>
    <t>UPB
FING2</t>
  </si>
  <si>
    <r>
      <rPr>
        <sz val="10"/>
        <color theme="1"/>
        <rFont val="Arial Narrow"/>
      </rPr>
      <t xml:space="preserve">Kalra, Shruti, </t>
    </r>
    <r>
      <rPr>
        <i/>
        <sz val="10"/>
        <color theme="1"/>
        <rFont val="Arial Narrow"/>
      </rPr>
      <t xml:space="preserve">Design and optimization of ultradeep submicron cmos inverter using a unified all regional mosfet model, Journal of Integrated Circuits and SystemsOpen AccessVolume 17, Issue 331 December </t>
    </r>
    <r>
      <rPr>
        <b/>
        <i/>
        <sz val="10"/>
        <color theme="1"/>
        <rFont val="Arial Narrow"/>
      </rPr>
      <t>2022</t>
    </r>
  </si>
  <si>
    <t>https://www.scopus.com/record/display.uri?eid=2-s2.0-85149120888&amp;origin=resultslist&amp;sort=plf-f</t>
  </si>
  <si>
    <t>Neghina Catalina</t>
  </si>
  <si>
    <r>
      <rPr>
        <sz val="10"/>
        <color theme="1"/>
        <rFont val="Arial Narrow"/>
      </rPr>
      <t xml:space="preserve">Sultana, A.
Balazs, H.
Ovreiu, S.
Oprisescu S.
</t>
    </r>
    <r>
      <rPr>
        <b/>
        <sz val="10"/>
        <color theme="1"/>
        <rFont val="Arial Narrow"/>
      </rPr>
      <t>Neghina, C.</t>
    </r>
  </si>
  <si>
    <t>Infantile Hemangioma Detection using Deep Learning</t>
  </si>
  <si>
    <t>UPB
UPB
UPB
UPB
FING2</t>
  </si>
  <si>
    <r>
      <rPr>
        <sz val="10"/>
        <color theme="1"/>
        <rFont val="Arial Narrow"/>
      </rPr>
      <t xml:space="preserve">Ge, Mouzhi, Pilato, Giovanni,Persia, Fabio, Persia F, D'Auria, Daniela, </t>
    </r>
    <r>
      <rPr>
        <i/>
        <sz val="10"/>
        <color theme="1"/>
        <rFont val="Arial Narrow"/>
      </rPr>
      <t xml:space="preserve">New Perspectives on Recommender Systems for Industries, 2022 5th International Conference on Artificial Intelligence for Industries, AI4I 2022Laguna Hills19 September 2022through 21 September </t>
    </r>
    <r>
      <rPr>
        <b/>
        <i/>
        <sz val="10"/>
        <color theme="1"/>
        <rFont val="Arial Narrow"/>
      </rPr>
      <t>2022</t>
    </r>
  </si>
  <si>
    <t>https://www.scopus.com/record/display.uri?eid=2-s2.0-85146716071&amp;origin=resultslist&amp;sort=plf-f</t>
  </si>
  <si>
    <r>
      <rPr>
        <b/>
        <sz val="10"/>
        <color rgb="FF323232"/>
        <rFont val="Arial"/>
      </rPr>
      <t>Neghină, C.</t>
    </r>
    <r>
      <rPr>
        <sz val="10"/>
        <color rgb="FF323232"/>
        <rFont val="Arial"/>
      </rPr>
      <t xml:space="preserve">
Zamfir, M., 
Ciuc, M., 
Sultana, A.</t>
    </r>
  </si>
  <si>
    <t>Automatic Detection of Hemangioma through a Cascade of Self-organizing Map Clustering and Morphological Operators</t>
  </si>
  <si>
    <t>FING2
UPB
UPB
UPB</t>
  </si>
  <si>
    <r>
      <rPr>
        <sz val="10"/>
        <color theme="1"/>
        <rFont val="Arial Narrow"/>
      </rPr>
      <t xml:space="preserve">Sultana, Alina Elena, Nițu, Corina, Sandu, Cristina - Nicoleta,Petrescu, Andrei - Sebastian, Infantile Hemangiomas Segmentation using U-Net and SegNet Architectures Models, 2022 10th E-Health and Bioengineering Conference, EHB 20222022 10th E-Health and Bioengineering Conference, EHB 2022Virtual, Online17 November 2022through 18 November </t>
    </r>
    <r>
      <rPr>
        <b/>
        <sz val="10"/>
        <color theme="1"/>
        <rFont val="Arial Narrow"/>
      </rPr>
      <t>2022</t>
    </r>
  </si>
  <si>
    <t>https://www.scopus.com/record/display.uri?eid=2-s2.0-85146588052&amp;origin=resultslist&amp;sort=plf-f</t>
  </si>
  <si>
    <r>
      <rPr>
        <sz val="10"/>
        <color theme="1"/>
        <rFont val="Arial Narrow"/>
      </rPr>
      <t xml:space="preserve">Neagoe, V.-E., 
</t>
    </r>
    <r>
      <rPr>
        <b/>
        <sz val="10"/>
        <color theme="1"/>
        <rFont val="Arial Narrow"/>
      </rPr>
      <t>Neghina, C.-E.</t>
    </r>
  </si>
  <si>
    <t>Tajudin, Aimi Idzwan
Izani, Muhammad Affi Daneal, Design a Speed Control for DC Motor Using an Optimal PID Controller Implementation of ABC Algorithm, ICCSCE 2022 - Proceedings: 2022 12th IEEE International Conference on Control System, Computing and EngineeringPages 97 - 1022022 
Samat, Ahmad Asri Abd
Omar, Saodah
Idin, Mohamad Adha Mohamad</t>
  </si>
  <si>
    <t>https://www.scopus.com/record/display.uri?eid=2-s2.0-85142412693&amp;origin=resultslist&amp;sort=plf-f</t>
  </si>
  <si>
    <r>
      <rPr>
        <sz val="10"/>
        <color theme="1"/>
        <rFont val="Arial Narrow"/>
      </rPr>
      <t xml:space="preserve">Neagoe, V.-E., 
</t>
    </r>
    <r>
      <rPr>
        <b/>
        <sz val="10"/>
        <color theme="1"/>
        <rFont val="Arial Narrow"/>
      </rPr>
      <t>Neghina, C.-E.</t>
    </r>
  </si>
  <si>
    <r>
      <rPr>
        <sz val="10"/>
        <color theme="1"/>
        <rFont val="Arial Narrow"/>
      </rPr>
      <t xml:space="preserve">Aslan, Selcuk
Arslan, Sibel, A modified artificial bee colony algorithm for classification optimisation, International Journal of Bio-Inspired ComputationVolume 20, Issue 1, Pages 11 - 22 </t>
    </r>
    <r>
      <rPr>
        <b/>
        <sz val="10"/>
        <color theme="1"/>
        <rFont val="Arial Narrow"/>
      </rPr>
      <t>2022</t>
    </r>
  </si>
  <si>
    <t>https://www.scopus.com/record/display.uri?eid=2-s2.0-85140841102&amp;origin=resultslist&amp;sort=plf-f</t>
  </si>
  <si>
    <r>
      <rPr>
        <sz val="10"/>
        <color theme="1"/>
        <rFont val="Arial Narrow"/>
      </rPr>
      <t xml:space="preserve">Neagoe, V.-E., 
</t>
    </r>
    <r>
      <rPr>
        <b/>
        <sz val="10"/>
        <color theme="1"/>
        <rFont val="Arial Narrow"/>
      </rPr>
      <t>Neghina, C.-E.</t>
    </r>
  </si>
  <si>
    <t>Training label cleaning with ant colony optimization for classification of remote sensing imagery</t>
  </si>
  <si>
    <r>
      <rPr>
        <sz val="10"/>
        <color theme="1"/>
        <rFont val="Arial Narrow"/>
      </rPr>
      <t>Rujan, Liviu
Neagoe, Victor-Emil, A Hybrid Sequential Classifier for Hyperspectral Imagery using Deep CNN with Ant Colony Optimization, 2022 14th International Conference on Electronics, Computers and Artificial Intelligence, ECAI</t>
    </r>
    <r>
      <rPr>
        <b/>
        <sz val="10"/>
        <color theme="1"/>
        <rFont val="Arial Narrow"/>
      </rPr>
      <t xml:space="preserve"> 2022</t>
    </r>
  </si>
  <si>
    <t>https://www.scopus.com/record/display.uri?eid=2-s2.0-85136992575&amp;origin=resultslist&amp;sort=plf-f</t>
  </si>
  <si>
    <r>
      <rPr>
        <sz val="10"/>
        <color rgb="FF323232"/>
        <rFont val="Arial"/>
      </rPr>
      <t xml:space="preserve">Neagoe, V.E., 
</t>
    </r>
    <r>
      <rPr>
        <b/>
        <sz val="10"/>
        <color rgb="FF323232"/>
        <rFont val="Arial"/>
      </rPr>
      <t>Neghina, C.E., </t>
    </r>
    <r>
      <rPr>
        <sz val="10"/>
        <color rgb="FF323232"/>
        <rFont val="Arial"/>
      </rPr>
      <t xml:space="preserve">
Bruzzone, L.,
Bovolo, F.</t>
    </r>
  </si>
  <si>
    <t>Ant Colony Optimization band selection for classification of multispectral Earth observation imagery</t>
  </si>
  <si>
    <r>
      <rPr>
        <sz val="10"/>
        <color theme="1"/>
        <rFont val="Arial Narrow"/>
      </rPr>
      <t xml:space="preserve">Rujan, Liviu
Neagoe, Victor-Emil, A Hybrid Sequential Classifier for Hyperspectral Imagery using Deep CNN with Ant Colony Optimization, 2022 14th International Conference on Electronics, Computers and Artificial Intelligence, ECAI </t>
    </r>
    <r>
      <rPr>
        <b/>
        <sz val="10"/>
        <color theme="1"/>
        <rFont val="Arial Narrow"/>
      </rPr>
      <t>2022</t>
    </r>
  </si>
  <si>
    <r>
      <rPr>
        <sz val="10"/>
        <color theme="1"/>
        <rFont val="Arial Narrow"/>
      </rPr>
      <t xml:space="preserve">Neagoe, V.-E., 
</t>
    </r>
    <r>
      <rPr>
        <b/>
        <sz val="10"/>
        <color theme="1"/>
        <rFont val="Arial Narrow"/>
      </rPr>
      <t>Neghina, C.-E.</t>
    </r>
  </si>
  <si>
    <r>
      <rPr>
        <sz val="10"/>
        <color theme="1"/>
        <rFont val="Arial Narrow"/>
      </rPr>
      <t xml:space="preserve">He, Weirong
Wu, Suxiang
Sun, Jin, An Effective Metaheuristic for Partial Offloading and Resource Allocation in Multi-Device Mobile Edge Computing, 23rd International Conference on High Performance Computing and Communications, 7th International Conference on Data Science and Systems, 19th International Conference on Smart City and 7th International Conference on Dependability in Sensor, Cloud and Big Data Systems and Applications, HPCC-DSS-SmartCity-DependSys 2021Pages 1419 - 1426, </t>
    </r>
    <r>
      <rPr>
        <b/>
        <sz val="10"/>
        <color theme="1"/>
        <rFont val="Arial Narrow"/>
      </rPr>
      <t>2022</t>
    </r>
  </si>
  <si>
    <t>https://www.scopus.com/record/display.uri?eid=2-s2.0-85132382125&amp;origin=resultslist&amp;sort=plf-f</t>
  </si>
  <si>
    <t>Logistics 4.0-Smart Transformation of Logistics and Supply Chain Management
By:Rajkovic, T (Rajkovic, Teodora) [1] ; Vasiljevic, D (Vasiljevic, Dragan) [1] ; Lecic-Cvetkovic, D (Lecic-Cvetkovic, Danica) [1]
Edited by:Mihic, M (Mihic, M) ; Jednak, S (Jednak, S) ; Savic, G (Savic, G)
SUSTAINABLE BUSINESS MANAGEMENT AND DIGITAL TRANSFORMATION: CHALLENGES AND OPPORTUNITIES IN THE POST-COVID ERA
Book SeriesLecture Notes in Networks and Systems
Volume562
Page386-402
DOI10.1007/978-3-031-18645-5_24
Published2023
Indexed2023-03-30
Document TypeProceedings Paper
Conference
Meeting18th International Symposium of Organizational Sciences Sustainable Business Management and Digital Transformation: Challenges and Opportunities in the Post-COVID Era (SymOrg)
LocationBelgrade, SERBIA
DateJUN 11-14, 2022
SponsorsHuawei; TX Services; GALEB; Comtrade
LanguageEnglish
Accession NumberWOS:000945457300024
ISBN978-3-031-18644-8978-3-031-18645-5
ISSN2367-3370
eISSN2367-3389
Other Information
IDS NumberBU7WZ</t>
  </si>
  <si>
    <t>https://link.springer.com/chapter/10.1007/978-3-031-18645-5_24</t>
  </si>
  <si>
    <t>Pirvu, B. (DFKI), C.B. Zamfirescu (DFKI, ULBS), D. Gorecky (DFKI)</t>
  </si>
  <si>
    <t>Engineering insights from an anthropocentric cyber-physical system: A case study for an assembly station</t>
  </si>
  <si>
    <t>A Shojaeinasab, T Charter, M Jalayer, M Khadivi…Intelligent manufacturing execution systems: A systematic review, Journal of Manufacturing Systems, Volume 62, January 2022, Pages 503-522</t>
  </si>
  <si>
    <t>https://www.sciencedirect.com/science/article/pii/S0278612522000048</t>
  </si>
  <si>
    <t>LA Cárdenas-Robledo, Ó Hernández-Uribe… , Extended reality applications in industry 4.0. – A systematic literature review, Telematics and Informatics
Volume 73, September 2022</t>
  </si>
  <si>
    <t>https://www.sciencedirect.com/science/article/pii/S073658532200096X</t>
  </si>
  <si>
    <t>Shangguan, DS; Chen, LP; (...); Liu, C, A Triple Human-Digital Twin Architecture for Cyber-Physical Systems,  (3) , pp.1557-1578
A Triple Human-Digital Twin Architecture for Cyber-Physical Systems, 2022, CMES-COMPUTER MODELING IN ENGINEERING &amp; SCIENCES 131 (3) , pp.1557-1578</t>
  </si>
  <si>
    <t>https://www.techscience.com/CMES/v131n3/47386/html</t>
  </si>
  <si>
    <t>Bakon, K; Holczinger, T; (...); Abonyi, J, 
Scheduling Under Uncertainty for Industry 4.0 and 5.0, IEEE Acess,  10 , pp.74977-75017</t>
  </si>
  <si>
    <t>https://ieeexplore.ieee.org/stamp/stamp.jsp?arnumber=9830737</t>
  </si>
  <si>
    <t>Nandhini, RS and Lakshmanan, R, A Review of the Integration of Cyber-Physical System and Internet of Things A Cyber-Physical Systems Perception of Internet of Things, INTERNATIONAL JOURNAL OF ADVANCED COMPUTER SCIENCE AND APPLICATIONS,  13 (4) , pp.459-465</t>
  </si>
  <si>
    <t>https://thesai.org/Downloads/Volume13No4/Paper_53-A_Review_of_the_Integration_of_Cyber_Physical_System.pdf</t>
  </si>
  <si>
    <t xml:space="preserve">Velasco, LSF; Revilla, PER; (...); Jimenez, JF, A human-centred workstation in industry 4.0 for balancing the industrial productivity and human well-being, INTERNATIONAL JOURNAL OF INDUSTRIAL ERGONOMICS, </t>
  </si>
  <si>
    <t>https://www.sciencedirect.com/science/article/pii/S0169814122000968</t>
  </si>
  <si>
    <t>Kumar, P; Prasad, SB; (...); Chadha, P, Production improvement on the assembly line through cycle time optimization, INTERNATIONAL JOURNAL OF INTERACTIVE DESIGN AND MANUFACTURING - IJIDEM</t>
  </si>
  <si>
    <t>https://link.springer.com/article/10.1007/s12008-022-01031-8</t>
  </si>
  <si>
    <t>Xu, G., Li, M., Xu, J.-W., Application of machine learning in automatic discrimination of product quality of deep drawn steel, Gongcheng Kexue Xuebao/Chinese Journal of Engineering
44(6), pp. 1062-1071</t>
  </si>
  <si>
    <t>http://cje.ustb.edu.cn/article/doi/10.13374/j.issn2095-9389.2021.05.08.002?pageType=en</t>
  </si>
  <si>
    <t>Xu, G., Li, M., Lü, Z.-M., Xu, J.-W., Online intelligent product quality monitoring method based on machine learning, Gongcheng Kexue Xuebao/Chinese Journal of Engineering
44(4), pp. 730-743</t>
  </si>
  <si>
    <t>http://cje.ustb.edu.cn/article/doi/10.13374/j.issn2095-9389.2021.06.22.001?pageType=en</t>
  </si>
  <si>
    <t>Zambrano-Rey, G., Pacaux-Lemoine, M.-P., Modelling Human and Artificial Entities for Cyber-Physical Production and Human Systems Cooperation, Studies in Computational Intelligence
1034, pp. 213-227</t>
  </si>
  <si>
    <t>https://link.springer.com/chapter/10.1007/978-3-030-99108-1_16</t>
  </si>
  <si>
    <t>Ling, S., Guo, D., Rong, Y., Huang, G.Q., Spatio-temporal synchronisation for human-cyber-physical assembly workstation 4.0 systems, International Journal of Production Research
60(2), pp. 704-722</t>
  </si>
  <si>
    <t>https://www.tandfonline.com/doi/abs/10.1080/00207543.2021.2010826?journalCode=tprs20</t>
  </si>
  <si>
    <t>Khalid, A., Khan, Z.H., Idrees, M., (...), Thoben, K.-D., Pannek, J., Understanding vulnerabilities in cyber physical production systems, International Journal of Computer Integrated Manufacturing
35(6), pp. 569-582</t>
  </si>
  <si>
    <t>https://www.tandfonline.com/doi/full/10.1080/0951192X.2021.1992656</t>
  </si>
  <si>
    <t>Xie, Q., Machine learning in human resource system of intelligent manufacturing industry, Enterprise Information Systems
16(2), pp. 264-284</t>
  </si>
  <si>
    <t>https://www.tandfonline.com/doi/abs/10.1080/17517575.2019.1710862</t>
  </si>
  <si>
    <t>FG Filip, CB Zamfirescu, C Ciurea</t>
  </si>
  <si>
    <t>Computer-supported collaborative decision-making</t>
  </si>
  <si>
    <t>Konate, J; Gueye, A; (...); Camilleri, G, 
Collaborative Decision-Making: A Proposal of an Semi-Automatic Facilitation Based on an Ontology, INTERNATIONAL JOURNAL OF INFORMATION TECHNOLOGY &amp; DECISION MAKING</t>
  </si>
  <si>
    <t>https://www.worldscientific.com/doi/10.1142/S0219622022500420</t>
  </si>
  <si>
    <t>Zoie, RC; Marius, R; (...); Radu, B, A Group Multi-Criteria approach for development of a country COVID-19 indicator, 8th International Conference on Information Technology and Quantitative Management (ITQM) - Developing Global Digital Economy after COVID-19</t>
  </si>
  <si>
    <t>https://www.sciencedirect.com/science/article/pii/S1877050922000199</t>
  </si>
  <si>
    <t>Visan, M; Negrea, SL and Mone, F, 
Towards intelligent public transport systems in Smart Cities; Collaborative decisions to be made, 8th International Conference on Information Technology and Quantitative Management (ITQM) - Developing Global Digital Economy after COVID-19</t>
  </si>
  <si>
    <t>https://www.sciencedirect.com/science/article/pii/S1877050922001569</t>
  </si>
  <si>
    <t>Vevera, AV; Cirnu, CE and RaDULESCU, CZ, A multi-criteria approach for the calculation of a complex indicator of Cyber Security and Digital Development, ROMANIAN JOURNAL OF INFORMATION TECHNOLOGY AND AUTOMATIC CONTROL-REVISTA ROMANA DE INFORMATICA SI AUTOMATICA</t>
  </si>
  <si>
    <t>https://rria.ici.ro/en/a-multi-criteria-approach-for-the-calculation-of-a-complex-indicator-of-cyber-security-anddigital-development/</t>
  </si>
  <si>
    <t>Pozna, C; Precup, RE; (...); Petriu, EM, Hybrid Particle Filter-Particle Swarm Optimization Algorithm and Application to Fuzzy Controlled Servo Systems, IEEE TRANSACTIONS ON FUZZY SYSTEMS</t>
  </si>
  <si>
    <t>https://ieeexplore.ieee.org/document/9697415</t>
  </si>
  <si>
    <t>Improvement of K-means cluster quality by post processing resulted clusters
ID Borlea, RE Precup, AB Borlea - Procedia Computer Science, 2022 - Elsevie</t>
  </si>
  <si>
    <t>https://www.sciencedirect.com/science/article/pii/S1877050922000096</t>
  </si>
  <si>
    <t>Augmented reality situated visualization in decision-making
NC Martins, B Marques, J Alves, T Araújo… - Multimedia Tools and …, 2022 - Springer</t>
  </si>
  <si>
    <t>https://link.springer.com/article/10.1007/s11042-021-10971-4</t>
  </si>
  <si>
    <t>Responsible cognitive digital clones as decision-makers: a design science research study
M Golovianko, S Gryshko, V Terziyan… - European Journal of …, 2022 - Taylor &amp; Francis</t>
  </si>
  <si>
    <t>https://www.tandfonline.com/doi/full/10.1080/0960085X.2022.2073278</t>
  </si>
  <si>
    <t>Iterative feedback tuning algorithm for tower crane systems
RC Roman, RE Precup, EL Hedrea, S Preitl… - Procedia Computer …, 2022 - Elsevier</t>
  </si>
  <si>
    <t>https://www.sciencedirect.com/science/article/pii/S1877050922000205</t>
  </si>
  <si>
    <t>A multi-criteria decision support and application to the evaluation of the fourth wave of COVID-19 pandemic
CZ Radulescu, M Radulescu, R Boncea - Entropy, 2022 - mdpi.com</t>
  </si>
  <si>
    <t>https://www.mdpi.com/1099-4300/24/5/642</t>
  </si>
  <si>
    <t>A multi-objective location decision making model for emergency shelters giving priority to subjective evaluation of residents
Y Wang, Z Xu - International Journal of Computers Communications &amp; …, 2022 - univagora.ro</t>
  </si>
  <si>
    <t>https://www.univagora.ro/jour/index.php/ijccc/article/view/4749</t>
  </si>
  <si>
    <t>Fuzzy association rules mining based on Type-2 fuzzy sets over data stream
J Chen, P Li, W Fang, N Zhou, Y Yin, H Xu… - Procedia Computer …, 2022 - Elsevier</t>
  </si>
  <si>
    <t>https://www.sciencedirect.com/science/article/pii/S1877050922000552</t>
  </si>
  <si>
    <t>Doctor/Data Scientist/Artificial Intelligence Communication Model. Case Study.
S Belciug, RC Ivanescu, SD Popa, DG Iliescu - Procedia Computer Science, 2022 - Elsevier</t>
  </si>
  <si>
    <t>https://www.sciencedirect.com/science/article/pii/S1877050922018506</t>
  </si>
  <si>
    <t>Myths and Facts About Smart City Development
M Vişan, A Ioniţă - Advances in Intelligent Data Analysis and Applications …, 2022 - Springer</t>
  </si>
  <si>
    <t>https://link.springer.com/chapter/10.1007/978-981-16-5036-9_26</t>
  </si>
  <si>
    <t>Data Science in Social Politics with Particular Emphasis on Sentiment Analysis
RFP Aramburo, MÂL Moreira, LPL Fávero… - Procedia Computer …, 2022 - Elsevier</t>
  </si>
  <si>
    <t>https://www.sciencedirect.com/science/article/pii/S1877050922019044</t>
  </si>
  <si>
    <t>AI shapes the future of web conferencing platforms
AM Suduc, M Bizoi - Procedia Computer Science, 2022 - Elsevier</t>
  </si>
  <si>
    <t>https://www.sciencedirect.com/science/article/pii/S1877050922018877</t>
  </si>
  <si>
    <t>CB ZAMFIRESCU (ULBS, DFKI), BC PÂRVU (DFKI), J SCHLICK (DFKI), D ZÜHLKE (DFKI)</t>
  </si>
  <si>
    <t>Preliminary Insides for an Anthropocentric Cyber-physical Reference Architecture of the Smart Factory, Studies in Informatics and Control-ICI Bucharest 22 (3), 269-278</t>
  </si>
  <si>
    <t>CB Zamfirescu (ULBS, DFKI), BC Pirvu (DFKI), D Gorecky (DFKI), H Chakravarthy (DFKI)</t>
  </si>
  <si>
    <t>Human-centred assembly: a case study for an anthropocentric cyber-physical system, Procedia Technology 15, 90-98</t>
  </si>
  <si>
    <t>Multi-criterial algorithm for the efficient and ergonomic manual assembly process
M Turk, M Šimic, M Pipan, N Herakovič - International journal of …, 2022 - mdpi.com</t>
  </si>
  <si>
    <t>https://www.mdpi.com/1660-4601/19/6/3496</t>
  </si>
  <si>
    <t>Evaluation of 5G-capable framework for highly mobile, scalable human-machine interfaces in cyber-physical production systems
J Mertes, D Lindenschmitt, M Amirrezai… - Journal of Manufacturing …, 2022 - Elsevier</t>
  </si>
  <si>
    <t>https://www.sciencedirect.com/science/article/pii/S0278612522001376</t>
  </si>
  <si>
    <t>A framework for cyber-physical production system management and digital twin feedback monitoring for fast failure recovery
P Franceschi, S Mutti, K Ottogalli… - … Journal of Computer …, 2022 - Taylor &amp; Francis</t>
  </si>
  <si>
    <t>https://www.tandfonline.com/doi/abs/10.1080/0951192X.2021.1992666</t>
  </si>
  <si>
    <t>CB Zamfirescu (ULBS, DFKI), BC Pirvu (DFKI), M Loskyll (DFKI), D Zuehlke (DFKI)</t>
  </si>
  <si>
    <t>Do not cancel my race with cyber-physical systems, IFAC Proceedings Volumes 47 (3), 4346-4351</t>
  </si>
  <si>
    <t>Circular Economy and Information Technologies: Identifying and Ranking the Factors of Successful Practices
W Naveed, M Ammouriova, N Naveed, AA Juan - Sustainability, 2022 - mdpi.com</t>
  </si>
  <si>
    <t>https://www.mdpi.com/2071-1050/14/23/15587</t>
  </si>
  <si>
    <t>CB Zamfirescu, L Duţă, B Iantovics</t>
  </si>
  <si>
    <t>The cognitive complexity in modelling the group decision process, BRAIN. Broad Research in Artificial Intelligence and Neuroscience 1, 69-79</t>
  </si>
  <si>
    <t>The energy importance of additional information
AB Edina, R Zoltán - Interdisciplinary Description of Complex Systems …, 2022 - hrcak.srce.hr</t>
  </si>
  <si>
    <t>https://hrcak.srce.hr/272656</t>
  </si>
  <si>
    <t>M Neghina, CB Zamfirescu, K Pierce (UNEW)</t>
  </si>
  <si>
    <t>Early-stage analysis of cyber-physical production systems through collaborative modelling, Software and Systems Modeling 19, 581-600</t>
  </si>
  <si>
    <t>A systematic mapping of semi-formal and formal methods in requirements engineering of industrial cyber-physical systems
F Zahid, A Tanveer, MMY Kuo, R Sinha - Journal of Intelligent …, 2022 - Springer</t>
  </si>
  <si>
    <t>https://link.springer.com/article/10.1007/s10845-021-01753-8</t>
  </si>
  <si>
    <t>Human-computer interaction in industry: A systematic review on the applicability and value-added of operator assistance systems
M Moencks, E Roth, T Bohné… - … and Trends® in …, 2022 - nowpublishers.com</t>
  </si>
  <si>
    <t>https://www.nowpublishers.com/article/Details/HCI-088</t>
  </si>
  <si>
    <t>Runtime verification of correct-by-construction driving maneuvers
A Kittelmann, T Runge, T Bordis, I Schaefer - Leveraging Applications of …, 2022 - Springer</t>
  </si>
  <si>
    <t>https://link.springer.com/chapter/10.1007/978-3-031-19849-6_15</t>
  </si>
  <si>
    <t>A hierarchical structure of cyber-physical production systems based on heterogeneous multi-agent systems
J Fan, L Yue, S Zheng - 2022 China Automation Congress …, 2022 - ieeexplore.ieee.org</t>
  </si>
  <si>
    <t>https://ieeexplore.ieee.org/abstract/document/10055603</t>
  </si>
  <si>
    <t>A Gellert, SA Precup, BC Pirvu, CB Zamfirescu</t>
  </si>
  <si>
    <t>Prediction-based assembly assistance system, 2020 25th IEEE International Conference on Emerging Technologies and Factory …</t>
  </si>
  <si>
    <t>Human-centered adaptive assistance systems for the shop floor
H Oestreich, M Heinz-Jakobs, P Sehr… - … Interaction: Shaping the …, 2022 - Springer</t>
  </si>
  <si>
    <t>Marco Franke, Bogdan-Constantin Pirvu, Dennis Lappe, Bala-Constantin Zamfirescu, Marius Veigt, Konstantin Klein, Karl Hribernik, Klaus-Dieter Thoben, Matthias Loskyll</t>
  </si>
  <si>
    <t>Interaction Mechanism of Humans in a Cyber-Physical Environment, Dynamics in Logistics: Proceedings of the 4th International Conference LDIC</t>
  </si>
  <si>
    <t>Govoreanu, VC [ULBS]; Neghina, M [ULBS]</t>
  </si>
  <si>
    <t>Speech Emotion Recognition method using time-stretching in the Preprocessing Phase and Artificial Neural Network Classifiers</t>
  </si>
  <si>
    <t>Fusing traditionally extracted features with deep learned features from the speech spectrogram for anger and stress detection using convolution neural network. Kapoor, Shalinia;Kumar, Tarunb. Multimedia Tools and Applications
81(21), pp. 31107-31128</t>
  </si>
  <si>
    <t>https://link.springer.com/article/10.1007/s11042-022-12886-0</t>
  </si>
  <si>
    <t>https://www.webofscience.com/wos/woscc/full-record/WOS:000781336500008</t>
  </si>
  <si>
    <t>Real-Time Assembly Support System with Hidden Markov Model and Hybrid Extensions. Gellert, Arpad ; Precup, Stefan-Alexandru ; Matei, Alexandru ; Pirvu, Bogdan-Constantin ; Zamfirescu, Constantin-Bala. Mathematics
10(15),2725</t>
  </si>
  <si>
    <t>Robust Assembly Assistance Using Informed Tree Search with Markov Chains. Gellert, Arpad; Sorostinean, Radu ; Pirvu, Bogdan-Constantin. Sensors
22(2),495</t>
  </si>
  <si>
    <t>Neghina, M. [ULBS], Zamfirescu, C.-B. [ULBS], Pierce, K. [U Newcastle, UK]</t>
  </si>
  <si>
    <t>Early-stage analysis of cyber-physical production systems through collaborative modelling</t>
  </si>
  <si>
    <t>A systematic mapping of semi-formal and formal methods in requirements engineering of industrial Cyber-Physical systems. Zahid, F., Tanveer, A., Kuo, M.M.Y., Sinha R. J Intell Manuf 33, 1603–1638 (2022)</t>
  </si>
  <si>
    <t>https://www.webofscience.com/wos/woscc/full-record/WOS:000635874100001</t>
  </si>
  <si>
    <t>A feasibility assessment of multi-modelling approaches for rail decarbonisation systems simulation. Proceedings of the Institution of Mechanical Engineers, Part F: Journal of Rail and Rapid Transit. Golightly D, Pierce K, Palacin R, Gamble C. 2022;236(6):715-732</t>
  </si>
  <si>
    <t>https://journals.sagepub.com/doi/full/10.1177/09544097211039395</t>
  </si>
  <si>
    <t>https://www.scopus.com/record/display.uri?eid=2-s2.0-85114396067&amp;origin=resultslist&amp;sort=plf-f&amp;src=s&amp;citedAuthorId=25227824300&amp;imp=t&amp;sid=a93f7a62f1e90f453f826d3f76f61d7f&amp;sot=cite&amp;sdt=cite&amp;cluster=scopubyr%2c%222022%22%2ct&amp;sl=0&amp;relpos=2&amp;citeCnt=1&amp;searchTerm=</t>
  </si>
  <si>
    <t>Runtime Verification of Correct-by-Construction Driving Maneuvers. Kittelmann, Alexander;Runge, Tobias;Bordis, Tabe;Schaefer, Ina. ISoLA 2022. LNCS vol 13701 pp. 242–263</t>
  </si>
  <si>
    <t>https://www.scopus.com/record/display.uri?eid=2-s2.0-85142740369&amp;origin=resultslist&amp;sort=plf-f</t>
  </si>
  <si>
    <t>Matei, A., Ţocu, N.-A., Zamfirescu, C.-B., Gellert, A., Neghină, M. [ULBS]</t>
  </si>
  <si>
    <t>Engineering a Digital Twin for Manual Assembling</t>
  </si>
  <si>
    <t xml:space="preserve"> Towards an Assembly Support System with Dynamic Bayesian Network. Applied Sciences. Precup S-A, Gellert A, Matei A, Gita M, Zamfirescu C-B. 2022; 12(3):985.</t>
  </si>
  <si>
    <t>https://www.scopus.com/record/display.uri?eid=2-s2.0-85123108287&amp;origin=resultslist&amp;sort=plf-f&amp;src=s&amp;citedAuthorId=25227824300&amp;imp=t&amp;sid=a93f7a62f1e90f453f826d3f76f61d7f&amp;sot=cite&amp;sdt=cite&amp;cluster=scopubyr%2c%222022%22%2ct&amp;sl=0&amp;relpos=3&amp;citeCnt=2&amp;searchTerm=</t>
  </si>
  <si>
    <t>Digital Twin in a Dairy Factory. Salimbeni, S., Romera, N., Redchuk, A. In: Matt, D.T., Vidoni, R., Rauch, E., Dallasega, P. (eds) Managing and Implementing the Digital Transformation. ISIEA 2022. Lecture Notes in Networks and Systems, vol 525</t>
  </si>
  <si>
    <t>https://link.springer.com/chapter/10.1007/978-3-031-14317-5_9#citeas</t>
  </si>
  <si>
    <t>https://www.scopus.com/record/display.uri?eid=2-s2.0-85136935243&amp;origin=resultslist&amp;sort=plf-f</t>
  </si>
  <si>
    <t>Neghina, M. [ULBS], Rasche, C. [UPB], Ciuc, M. [UPB], Sultana, A. [UPB] Tiganesteanu, C. [UPB]</t>
  </si>
  <si>
    <t>Automatic detection
of cervical cells in pap-smear images using polar transform and k-means segmentation</t>
  </si>
  <si>
    <t>A literature survey of automated detection of cervical
cancer cell in Pap smear images . N. Lavanya Devi; P. Thirumurugan. World Review of Science, Technology and Sust. Development, Vol. 18, No. 1, 2022</t>
  </si>
  <si>
    <t>http://www.inderscience.com/storage/f114312610975812.pdf</t>
  </si>
  <si>
    <t>https://www.scopus.com/record/display.uri?eid=2-s2.0-85120802635&amp;origin=resultslist&amp;sort=plf-f</t>
  </si>
  <si>
    <t>Neagoe V. [UPB], Neghina M. [ULBS]</t>
  </si>
  <si>
    <t>A NN approach to pedestrian detection</t>
  </si>
  <si>
    <t>Scale illumination rotation affine invariant mask R-CNN for pedestrian detection. Gawande, U., Hajari, K. &amp; Golhar, Y. Appl Intell 52, 10398–10416</t>
  </si>
  <si>
    <t>https://link.springer.com/article/10.1007/s10489-021-03073-z</t>
  </si>
  <si>
    <t>https://www.webofscience.com/wos/woscc/full-record/WOS:000742279800001</t>
  </si>
  <si>
    <t>Panu Mihai</t>
  </si>
  <si>
    <r>
      <rPr>
        <sz val="10"/>
        <color theme="1"/>
        <rFont val="Arial Narrow"/>
      </rPr>
      <t xml:space="preserve">Sanjay Kumar Roy, Kamal Kumar Sharma, Brahmadeo Prasad Singh, </t>
    </r>
    <r>
      <rPr>
        <sz val="10"/>
        <color rgb="FF000000"/>
        <rFont val="Arial Narrow"/>
      </rPr>
      <t>Mathematical Modeling of Twin -T Notch Filter using Floating Admittance Matrix, International Journal of Circuits, Systems and Signal Processing, Volume 16, 2022</t>
    </r>
  </si>
  <si>
    <t>Pitic Antoniu</t>
  </si>
  <si>
    <t>Toader D. (UP Timisoara), Greconici M. (UPT), Vesa D.(UPT), Vintan M., Solea C.(UPT), Maghet A.(UPT), Tatai I.(UPT)</t>
  </si>
  <si>
    <t>The influence of the characteristics of the medium voltage network on the single line-to-ground fault current in the resistor grounded neutral networks</t>
  </si>
  <si>
    <t>Sosnina, E., Kralin, A. Asabin,A. Kryukov, E., Medium- Voltage Distribution Network ParameterOptimization Using a Thyristor Voltage Regulator, Energies, 15, 5756
Kralin, A. Asabin,A. Kryukov, E., Medium- Voltage Distribution Network ParameterOptimization Using a Thyristor Voltage Regulator, Energies, 15, 5756</t>
  </si>
  <si>
    <t>https://www.mdpi.com/1996-1073/15/15/5756 , https://www.scopus.com/record/display.uri?eid=2-s2.0-85136457825&amp;origin=resultslist&amp;sort=plf-f&amp;src=s&amp;citedAuthorId=23391009700&amp;imp=t&amp;sid=24e52b5636d47e0a205046054798c4fc&amp;sot=cite&amp;sdt=cite&amp;cluster=scopubyr%2c%222022%22%2ct&amp;sl=0&amp;relpos=0&amp;citeCnt=0&amp;searchTerm=</t>
  </si>
  <si>
    <t>Scopus, SCIE (Web of Science), Ei Compendex, RePEc, Inspec, CAPlus / SciFinder, and other databases</t>
  </si>
  <si>
    <t>Toader, D.  (UP Timisoara), Greconici, M. (UPT), Vesa, D. (UPT), Vintan, M., Solea, C.(UPT)</t>
  </si>
  <si>
    <t>Analysis of the influence of the insulation parameters of medium voltage electrical networks and of the petersen coil on the single-phase-to-ground fault current</t>
  </si>
  <si>
    <t>Chang Yongle, Tang Jinrui, Li Yang, 
Xiong Binyu, Lu Xiaotian
Liu Jianchao, A Novel Single-Phase-to-Ground Fault Location Method Based on Phase Current Differences in Power Distribution Systems. 4th International Conference on Smart Power and Internet Energy Systems, SPIES 2022, Pages 1196 - 1201</t>
  </si>
  <si>
    <t>https://ieeexplore.ieee.org/abstract/document/10082394/authors , Scopus - Document details - A Novel Single-Phase-to-Ground Fault Location Method Based on Phase Current Differences in Power Distribution Systems | Signed in</t>
  </si>
  <si>
    <t>Bancioiu, C., Vintan, M., Vintan, L.</t>
  </si>
  <si>
    <t>Efficiency optimizations for koller and Sahami's feature selection algorithm</t>
  </si>
  <si>
    <t xml:space="preserve">Băncioiu, C., Brad, R., Analyzing Markov Boundary Discovery Algorithms in Ideal Conditions Using the d-Separation Criterion, Algorithms, 15 (4),105 </t>
  </si>
  <si>
    <t>https://www.mdpi.com/1999-4893/15/4/105 , https://www.scopus.com/record/display.uri?eid=2-s2.0-85127720815&amp;origin=resultslist&amp;sort=plf-f&amp;src=s&amp;citedAuthorId=23391009700&amp;imp=t&amp;sid=24e52b5636d47e0a205046054798c4fc&amp;sot=cite&amp;sdt=cite&amp;cluster=scopubyr%2c%222022%22%2ct&amp;sl=0&amp;relpos=2&amp;citeCnt=0&amp;searchTerm=</t>
  </si>
  <si>
    <t>Toader, D.(UP Timisoara), Vintan, M., Solea, C.(UPT), Vesa, D.(UPT), Greconici, M.(UPT)</t>
  </si>
  <si>
    <t>Analysis of the possibilities of selective detection of a single line-to-ground fault in a medium voltage network with isolated neutral</t>
  </si>
  <si>
    <t>Tabrez, M., Sadhu, P.K., Lipu,M.S.H., Husain, M.A., Ansari, S., Power conversion techniques using multi-phase transformer: Configurations, applications, issues and recommendations, Machines, 10(1),13</t>
  </si>
  <si>
    <t>https://www.mdpi.com/2075-1702/10/1/13, https://www.scopus.com/record/display.uri?eid=2-s2.0-85121602243&amp;origin=resultslist&amp;sort=plf-f&amp;src=s&amp;citedAuthorId=23391009700&amp;imp=t&amp;sid=24e52b5636d47e0a205046054798c4fc&amp;sot=cite&amp;sdt=cite&amp;cluster=scopubyr%2c%222022%22%2ct&amp;sl=0&amp;relpos=6&amp;citeCnt=6&amp;searchTerm=</t>
  </si>
  <si>
    <t>Gellert, A.,  Vintan M., Vintan L.</t>
  </si>
  <si>
    <t>Perceptron-based selective load value prediction in a multicore architecture</t>
  </si>
  <si>
    <t>Buduleci C., Gellert A,  Florea A, Matei A., Extending Sniper with Support to Access Operand Values: A Case Study on Reusability Measurement, 23rd International Carpathian Control Conference, ICCC 2022, Pages 70 - 75</t>
  </si>
  <si>
    <t>https://ieeexplore.ieee.org/document/9805869  , Scopus - Document details - Extending Sniper with Support to Access Operand Values: A Case Study on Reusability Measurement | Signed in</t>
  </si>
  <si>
    <t>Malafeev, S.I, Mikryukov, V.I., Malafeeva, A.A, High-voltage mobile station in open pit mine: Electrosafety analysis, Mining Informationaland Analytical Bulletin, pp. 143-153</t>
  </si>
  <si>
    <t>https://www.giab-online.ru/en/user/author/mikryukov-v-i/view, https://www.scopus.com/record/display.uri?eid=2-s2.0-85126595990&amp;origin=resultslist&amp;sort=plf-f&amp;src=s&amp;citedAuthorId=23391009700&amp;imp=t&amp;sid=24e52b5636d47e0a205046054798c4fc&amp;sot=cite&amp;sdt=cite&amp;cluster=scopubyr%2c%222022%22%2ct&amp;sl=0&amp;relpos=5&amp;citeCnt=1&amp;searchTerm=</t>
  </si>
  <si>
    <t>, L., Chis R., Vintan M., Vintan L.</t>
  </si>
  <si>
    <t xml:space="preserve"> Multi-objective DSE algorithms’ evaluations on processor optimization</t>
  </si>
  <si>
    <t>5.	Veronika Lesch, Marius Hadry, Samuel Kounev, Christian Krupitzer  - Self-Aware Optimization of Adaptation Planning Strategies, ACM Transactions on Autonomous and Adaptive Systems, 2022</t>
  </si>
  <si>
    <t>https://dl.acm.org/doi/abs/10.1145/3568680, https://doi.org/10.1145/3568680 , https://dl.acm.org/journal/taas/indexing</t>
  </si>
  <si>
    <t xml:space="preserve">Scopus, Clarivate / ISI: JCR  </t>
  </si>
  <si>
    <t>Viorel Alina (ULBS), 
Strete Larisa  
Viorel I.A - pensionar</t>
  </si>
  <si>
    <t>Transverse flux generators a
solution for stand-alone wind mill</t>
  </si>
  <si>
    <t>Benedikt Kaiser, Nejila Parspour, Transverse Flux Machine—A Review,IEEE Xplorer, vol.10, pp. 18395 - 18419, 2022. https://ieeexplore.ieee.org/document/9709772</t>
  </si>
  <si>
    <t>https://www.mdpi.com/2504-2289/6/3/98</t>
  </si>
  <si>
    <t>Viorel Alina</t>
  </si>
  <si>
    <t>Strete Larisa,                         Viorel I.A.,                                  Viorel Alina (ULBS)</t>
  </si>
  <si>
    <t>On the designing procedure of
a permanent magnet transverse flux generator (PMTFG) with specific
topology,’</t>
  </si>
  <si>
    <t>https://www.nature.com/articles/s41598-022-09056-5</t>
  </si>
  <si>
    <t>Cocan Nicolae(ULBS),   Palade Horatiu Constantin(ULBS),  Nicolaescu Sergiu Stefan(ULBS), Volovici Daniel(ULBS)</t>
  </si>
  <si>
    <t>A Newborn/Infant Monitoring Approach using Medical IOT Devices</t>
  </si>
  <si>
    <r>
      <rPr>
        <sz val="10"/>
        <color rgb="FF333333"/>
        <rFont val="Arial"/>
      </rPr>
      <t>J. Dhanasony, S. Vijayalakshmi, A. Paramasivam, N. Ezhilarasi and P. Pavithra, "Internet of Things based Portable Preterm Baby Incubator," </t>
    </r>
    <r>
      <rPr>
        <i/>
        <sz val="10"/>
        <color rgb="FF333333"/>
        <rFont val="Arial"/>
      </rPr>
      <t>2022 International Conference on Recent Trends in Microelectronics, Automation, Computing and Communications Systems (ICMACC)</t>
    </r>
    <r>
      <rPr>
        <sz val="10"/>
        <color rgb="FF333333"/>
        <rFont val="Arial"/>
      </rPr>
      <t>, Hyderabad, India, 2022, pp. 541-546, doi: 10.1109/ICMACC54824.2022.10093264.</t>
    </r>
  </si>
  <si>
    <t>https://www.scopus.com/results/results.uri?sort=plf-f&amp;src=s&amp;st1=Internet+of+Things+based+Portable+Preterm+Baby+Incubator&amp;sid=3705ab03d63069b569ce4d0fffb3dc65&amp;sot=b&amp;sdt=b&amp;sl=71&amp;s=TITLE-ABS-KEY%28Internet+of+Things+based+Portable+Preterm+Baby+Incubator%29&amp;origin=searchbasic&amp;editSaveSearch=&amp;yearFrom=Before+1960&amp;yearTo=Present&amp;sessionSearchId=3705ab03d63069b569ce4d0fffb3dc65&amp;limit=10</t>
  </si>
  <si>
    <t>Anca Morar (UPB),Alin Moldoveanu (UPB),Irina Mocanu(UPB),Florica Moldoveanu (UPB), Ion Emilian Radoi(UPB), Victor Asavei(UPB), Gradinaru, Alexandru(UPB), Alex Butean(ULBS)</t>
  </si>
  <si>
    <t>A Comprehensive Survey of Indoor Localization Methods Based on Computer Vision</t>
  </si>
  <si>
    <t>Zheng, Jin; Li, Kailong; Zhang, Xing / Wi-Fi Fingerprint-Based Indoor Localization Method via Standard Particle Swarm Optimization / SENSORS</t>
  </si>
  <si>
    <t>https://1510q6qc8-y-https-www-webofscience-com.z.e-nformation.ro/wos/woscc/full-record/WOS:000822189400001</t>
  </si>
  <si>
    <t>Khan, Dawar; Cheng, Zhanglin; Uchiyama, Hideaki; Ali, Sikandar; Asshad, Muhammad; Kiyokawa, Kiyoshi / Recent advances in vision-based indoor navigation: A systematic literature review / COMPUTERS &amp; GRAPHICS-UK</t>
  </si>
  <si>
    <t>https://1510q6qc8-y-https-www-webofscience-com.z.e-nformation.ro/wos/woscc/full-record/WOS:000793254500003</t>
  </si>
  <si>
    <t>Wang, Wei-Cheng; Ng, Chow-Yong; Chen, Rongshun / Vision-Aided Path Planning Using Low-Cost Gene Encoding for a Mobile Robot / INTELLIGENT AUTOMATION AND SOFT COMPUTING</t>
  </si>
  <si>
    <t>https://1510q6qc8-y-https-www-webofscience-com.z.e-nformation.ro/wos/woscc/full-record/WOS:000724657600022</t>
  </si>
  <si>
    <t>Singh, Abhilasha; Kalaichelvi, V.; Karthikeyan, R. / A survey on vision guided robotic systems with intelligent control strategies for autonomous tasks / COGENT ENGINEERING</t>
  </si>
  <si>
    <t>https://1510q6qc8-y-https-www-webofscience-com.z.e-nformation.ro/wos/woscc/full-record/WOS:000777478200001</t>
  </si>
  <si>
    <t>Bi, Jingxue; Wang, Yunjia; Yu, Baoguo; Cao, Hongji; Shi, Tongguang; Huang, Lu / Supplementary open dataset for WiFi indoor localization based on received signal strength / SATELLITE NAVIGATION</t>
  </si>
  <si>
    <t>https://1510q6qc8-y-https-www-webofscience-com.z.e-nformation.ro/wos/woscc/full-record/WOS:000879771400001</t>
  </si>
  <si>
    <t>Bibbo, Luigi; Carotenuto, Riccardo; Della Corte, Francesco / An Overview of Indoor Localization System for Human Activity Recognition (HAR) in Healthcare / SENSORS</t>
  </si>
  <si>
    <t>https://1510q6qc8-y-https-www-webofscience-com.z.e-nformation.ro/wos/woscc/full-record/WOS:000881502900001</t>
  </si>
  <si>
    <t>Yang, Anbang; Beheshti, Mahya; Hudson, Todd E.; Vedanthan, Rajesh; Riewpaiboon, Wachara; Mongkolwat, Pattanasak; Feng, Chen; Rizzo, John-Ross / UNav: An Infrastructure-Independent Vision-Based Navigation System for People with Blindness and Low Vision / SENSORS</t>
  </si>
  <si>
    <t>https://1510q6qc8-y-https-www-webofscience-com.z.e-nformation.ro/wos/woscc/full-record/WOS:000887847400001</t>
  </si>
  <si>
    <t>Bertoni, Massimiliano; Michieletto, Stefano; Oboe, Roberto; Michieletto, Giulia / Indoor Visual-Based Localization System for Multi-Rotor UAVs / SENSORS</t>
  </si>
  <si>
    <t>https://1510q6qc8-y-https-www-webofscience-com.z.e-nformation.ro/wos/woscc/full-record/WOS:000839864400001</t>
  </si>
  <si>
    <t>Zhou, Guangbing; Xu, Shugong; Zhang, Shunqing; Wang, Yu; Xiang, Chenlu / Multi-Floor Indoor Localization Based on Multi-Modal Sensors / SENSORS</t>
  </si>
  <si>
    <t>https://1510q6qc8-y-https-www-webofscience-com.z.e-nformation.ro/wos/woscc/full-record/WOS:000809172300001</t>
  </si>
  <si>
    <t>Chandel, Kuhelee; Ahlen, Julia; Seipel, Stefan / Augmented Reality and Indoor Positioning in Context of Smart Industry: A Review / MANAGEMENT AND PRODUCTION ENGINEERING REVIEW</t>
  </si>
  <si>
    <t>https://1510q6qc8-y-https-www-webofscience-com.z.e-nformation.ro/wos/woscc/full-record/WOS:000961972800007</t>
  </si>
  <si>
    <t>Huang, Jian; Si, Haonan; Guo, Xiansheng; Zhong, Ke / Co-Occurrence Fingerprint Data-Based Heterogeneous Transfer Learning Framework for Indoor Positioning / SENSORS</t>
  </si>
  <si>
    <t>https://1510q6qc8-y-https-www-webofscience-com.z.e-nformation.ro/wos/woscc/full-record/WOS:000896909800001</t>
  </si>
  <si>
    <t>Faulkner, Nathaniel; Konings, Daniel; Alam, Fakhrul; Legg, Mathew; Demidenko, Serge / Machine Learning Techniques for Device-Free Localization Using Low-Resolution Thermopiles / IEEE INTERNET OF THINGS JOURNAL</t>
  </si>
  <si>
    <t>https://1510q6qc8-y-https-www-webofscience-com.z.e-nformation.ro/wos/woscc/full-record/WOS:000857705300042</t>
  </si>
  <si>
    <t>Choe, Chungjae; Ahn, Sangmin; Doh, Nakju; Nam, Changjoo / Reduction of LiDAR Point Cloud Maps for Localization of Resource-Constrained Robotic Systems / IEEE SYSTEMS JOURNAL</t>
  </si>
  <si>
    <t>https://1510q6qc8-y-https-www-webofscience-com.z.e-nformation.ro/wos/woscc/full-record/WOS:000788894500001</t>
  </si>
  <si>
    <t>Aparicio, Joaquin; Alvarez, Fernando J.; Hernandez, Alvaro; Holm, Sverre / A Survey on Acoustic Positioning Systems for Location-Based Services / IEEE TRANSACTIONS ON INSTRUMENTATION AND MEASUREMENT</t>
  </si>
  <si>
    <t>https://1510q6qc8-y-https-www-webofscience-com.z.e-nformation.ro/wos/woscc/full-record/WOS:000870298900008</t>
  </si>
  <si>
    <t>Grottke, Jan; Laska, Marius; Blankenbach, Jorg / An Extended Approach for Instrastructure-less Grid-based Smartphone Positioning / 2022 IEEE 12TH INTERNATIONAL CONFERENCE ON INDOOR POSITIONING AND INDOOR NAVIGATION (IPIN 2022)</t>
  </si>
  <si>
    <t>https://1510q6qc8-y-https-www-webofscience-com.z.e-nformation.ro/wos/woscc/full-record/WOS:000886646600057</t>
  </si>
  <si>
    <t>Lafuente-Arroyo, Sergio; Maldonado-Bascon, Saturnino; Javier Lopez-Sastre, Roberto; Jesus Molina-Cantero, Alberto; Martin-Martin, Pilar / LIDAR Signature Based Node Detection and Classification in Graph Topological Maps for Indoor Navigation / PATTERN RECOGNITION AND IMAGE ANALYSIS (IBPRIA 2022)</t>
  </si>
  <si>
    <t>Scavello, Giovanni; Fedele, Giuseppe; Aiello, Andrea / Line Segments Matching Algorithm for BIM Applications / PROCEEDINGS OF 2022 IEEE INTERNATIONAL WORKSHOP ON METROLOGY FOR LIVING ENVIRONMENT (IEEE METROLIVEN 2022)</t>
  </si>
  <si>
    <t>https://1510q6qc8-y-https-www-webofscience-com.z.e-nformation.ro/wos/woscc/full-record/WOS:000853070300053</t>
  </si>
  <si>
    <t>Anca Morar (UPB),Alin Moldoveanu (UPB),Anca Balutoiu(UPB),Florica Moldoveanu (UPB), Alex Butean(ULBS)</t>
  </si>
  <si>
    <t>CultReal-A Rapid Development Platform for AR Cultural Spaces, with Fused Localization</t>
  </si>
  <si>
    <t>Junyi Wang, Yue Qi / A Multi-User Collaborative AR System for Industrial Applications / Sensors</t>
  </si>
  <si>
    <t>https://1510q6qc8-y-https-www-webofscience-com.z.e-nformation.ro/wos/woscc/full-record/WOS:000764833500001</t>
  </si>
  <si>
    <t>Alexandru Butean(ULBS), Marco Olescu(ULBS), Tocu Adrian(ULBS), Florea Adrian(ULBS)</t>
  </si>
  <si>
    <t>Improving Training Methods for Industry Workers though AI Assisted Multi-Stage Virtual Reality Simulations</t>
  </si>
  <si>
    <t>Makenzie Keepers, Isabelle Nesbit,David Romero, Thorsten Wuest / Current state of research &amp; outlook of gamification for manufacturing/ Journal of Manufacturing Systems</t>
  </si>
  <si>
    <t>https://1510q6qc8-y-https-www-webofscience-com.z.e-nformation.ro/wos/woscc/full-record/WOS:000828123400007</t>
  </si>
  <si>
    <t>Anca Morar(UPB); 
Maria Anca Băluţoiu(UPB); Alin Moldoveanu(UPB); Florica Moldoveanu(UPB); Alex Butean(ULBS); Victor Asavei(UPB)</t>
  </si>
  <si>
    <t>Evaluation of the ARCore Indoor Localization Technology</t>
  </si>
  <si>
    <t>A Ayyanchira, E Mahfoud, W Wang, A Lu / Toward cross-platform immersive visualization for indoor navigation and collaboration with augmented reality/ Journal of Visualization, 2022 - Springer</t>
  </si>
  <si>
    <t>https://link.springer.com/article/10.1007/s12650-022-00852-9</t>
  </si>
  <si>
    <t>Oana Balan(UPB); 
Alin Moldoveanu(UPB); 
Florica Moldoveanu(UPB); 
Alex Butean(ULBS);</t>
  </si>
  <si>
    <t>AUDITORY AND HAPTIC SPATIAL COGNITIVE REPRESENTATION IN THE CASE OF THE VISUALLY IMPAIRED PEOPLE</t>
  </si>
  <si>
    <t>Ivascu, S ; Moldoveanu, A; Moldoveanu, F; Morar, A ; Asavei, V; Lambru, C ; Tugulea, AM / VIRTUAL REALITY GAME FOR TRAINING THE VISUALLY IMPAIRED IN SENSORY SUBSTITUTION / UPB Scientific Bulletin SERIES C, 2022</t>
  </si>
  <si>
    <t>https://1510q6tjq-y-https-www-webofscience-com.z.e-nformation.ro/wos/alldb/full-record/WOS:000805648400028</t>
  </si>
  <si>
    <t>A BUTEAN (ULBS), C BUDULECI (ULBS), A DAVID(ULBS), A DĂIAN (ULBS)</t>
  </si>
  <si>
    <t>Auxilum Medicine: A Cloud Based Platform For Real-time Monitoring Medical Devices</t>
  </si>
  <si>
    <t>RS Chandel, S Sharma, S Kaur, S Singh / Smart watches: A review of evolution in bio-medical sector / Materials Today 2022 / Elsevier</t>
  </si>
  <si>
    <t>https://1510q6tjq-y-https-www-webofscience-com.z.e-nformation.ro/wos/woscc/full-record/WOS:000753380200009</t>
  </si>
  <si>
    <t>Avrigean, E., Grecu, V.</t>
  </si>
  <si>
    <t>Zhang, Y., Kentish, S., &amp; Scholes, C. A. (2022). Compatibility of High-Density Polyethylene Piping and Associated Elastomers with the Renewable Fuels Ammonia and Dimethyl Ether. Energy &amp; Fuels, 36(23), 14500-14511.</t>
  </si>
  <si>
    <t>https://www.scopus.com/record/display.uri?eid=2-s2.0-85142480669&amp;origin=resultslist&amp;sort=lfp-t&amp;src=s&amp;st1=Compatibility+of+High-Density+Polyethylene+Piping+and+Associated+Elastomers+with+the+Renewable+Fuels+Ammonia+and+Dimethyl+Ether&amp;sid=f1ec5861064209d8efe567a2481b00cf&amp;sot=b&amp;sdt=b&amp;sl=142&amp;s=TITLE-ABS-KEY%28Compatibility+of+High-Density+Polyethylene+Piping+and+Associated+Elastomers+with+the+Renewable+Fuels+Ammonia+and+Dimethyl+Ether%29&amp;relpos=0&amp;citeCnt=0&amp;searchTerm=</t>
  </si>
  <si>
    <t>Pascu, A., Oleksik, V., Curtu, I., Avrigean, E.</t>
  </si>
  <si>
    <t>Stress and strain field distribution in Ankle-Foot Orthosis (AFO) using FEM</t>
  </si>
  <si>
    <t>Shahar, F. S., Hameed Sultan, M. T., Safri, S. N. A., Jawaid, M., Abu Talib, A. R., Basri, A. A., &amp; Md Shah, A. U. (2022). Physical, thermal and tensile behaviour of 3D printed kenaf/PLA to suggest its usability for ankle–foot orthosis–a preliminary study. Rapid Prototyping Journal, 28(8), 1573-1588.</t>
  </si>
  <si>
    <t>https://www.scopus.com/record/display.uri?eid=2-s2.0-85127291162&amp;origin=resultslist&amp;sort=plf-f&amp;src=s&amp;nlo=&amp;nlr=&amp;nls=&amp;citedAuthorId=56184609800&amp;imp=t&amp;sid=19e9dfcc5f518037df097b68e0fd311a&amp;sot=cite&amp;sdt=cl&amp;cluster=scopubyr%2c%222022%22%2ct&amp;sl=0&amp;relpos=1&amp;citeCnt=6&amp;searchTerm=</t>
  </si>
  <si>
    <t>Avrigean, E., Pascu, A.M., Oleksik, V.S.</t>
  </si>
  <si>
    <t>Study of the cardan cross using the experimental and analytical method</t>
  </si>
  <si>
    <t>Ozbakiş, M., Yeni, E. C., &amp; Kahyalar, M. C. (2022). Investigation of the similarity between physical tests and fatigue simulation of flange yoke made of C45 E material used in cardan shafts. Materialwissenschaft und Werkstofftechnik, 53(7), 798-807.</t>
  </si>
  <si>
    <t>https://www.scopus.com/record/display.uri?eid=2-s2.0-85133629588&amp;origin=resultslist&amp;sort=plf-f&amp;src=s&amp;nlo=&amp;nlr=&amp;nls=&amp;citedAuthorId=56184609800&amp;imp=t&amp;sid=19e9dfcc5f518037df097b68e0fd311a&amp;sot=cite&amp;sdt=cl&amp;cluster=scopubyr%2c%222022%22%2ct&amp;sl=0&amp;relpos=2&amp;citeCnt=0&amp;searchTerm=</t>
  </si>
  <si>
    <t>Avrigean, E.</t>
  </si>
  <si>
    <t>Determining the fatigue characteristics of the vehicle cardanic joint</t>
  </si>
  <si>
    <t>Zhang, Y., Abdellah, M. H., Kentish, S., &amp; Scholes, C. A. (2022). The compatibility of high‐density polyethylene piping and elastomers with the future fuel methanol. International Journal of Energy Research, 46(6), 8376-8388.</t>
  </si>
  <si>
    <t>https://www.scopus.com/record/display.uri?eid=2-s2.0-85124627995&amp;origin=resultslist&amp;sort=plf-f&amp;src=s&amp;nlo=&amp;nlr=&amp;nls=&amp;citedAuthorId=56184609800&amp;imp=t&amp;sid=19e9dfcc5f518037df097b68e0fd311a&amp;sot=cite&amp;sdt=cl&amp;cluster=scopubyr%2c%222022%22%2ct&amp;sl=0&amp;relpos=3&amp;citeCnt=2&amp;searchTerm=</t>
  </si>
  <si>
    <t>Cardoso, A. S. M., Pardal, J. M., Chales, R., Martins, C. H., Silva, M. M., Tavares, S. S. M., ... &amp; Barbosa, C. (2022). Fatigue resistance performance of universal cardan joint for automotive application. Engineering Failure Analysis, 106128.</t>
  </si>
  <si>
    <t>https://www.scopus.com/record/display.uri?eid=2-s2.0-85124540575&amp;origin=resultslist&amp;sort=plf-f&amp;src=s&amp;nlo=&amp;nlr=&amp;nls=&amp;citedAuthorId=56184609800&amp;imp=t&amp;sid=19e9dfcc5f518037df097b68e0fd311a&amp;sot=cite&amp;sdt=cl&amp;cluster=scopubyr%2c%222022%22%2ct&amp;sl=0&amp;relpos=4&amp;citeCnt=2&amp;searchTerm=</t>
  </si>
  <si>
    <t xml:space="preserve">Oleksik, V., Dobrota, D., Racz, S. G., Rusu, G. P., Popp, M. O.,Avrigean, E. </t>
  </si>
  <si>
    <t xml:space="preserve"> Experimental research on the behaviour of metal active gas tailor welded blanks during single point incremental forming process. </t>
  </si>
  <si>
    <t>Razak, K., Abdullah, A. B., &amp; Noor, N. M. (2022). Overview and Issues Related to Geometrical Accuracy in the Single-Point Incremental Forming (SPIF) Process of Tailor Welded Blanks. Springback Assessment and Compensation of Tailor Welded Blanks, 67-92.</t>
  </si>
  <si>
    <t>https://www.taylorfrancis.com/chapters/edit/10.1201/9781003164241-4/overview-issues-related-geometrical-accuracy-single-point-incremental-forming-spif-process-tailor-welded-blanks-kaha-razak-ab-abdullah-nm-noor</t>
  </si>
  <si>
    <t>Taylor &amp; Francis Group</t>
  </si>
  <si>
    <t>Rusu Gabriela, Alexandru Barsan, Mihai Octavian, Marosan Adrian (ULBS)</t>
  </si>
  <si>
    <t>Comparison between aluminum alloys behavior in incremental sheet metal forming process of frustum pyramid shaped parts</t>
  </si>
  <si>
    <t xml:space="preserve">Trzepieciński, T., Najm, S. M., Oleksik, V., Vasilca, D., Paniti, I., Szpunar, M. (2022). Recent Developments and Future Challenges in Incremental Sheet Forming of Aluminium and Aluminium Alloy Sheets. Metals, 12(1), 124.  doi:10.3390/met12010124 </t>
  </si>
  <si>
    <t>Bârsan, A., Popp, M. O., Rusu, G. P., Maroșan, A. I. (ULBS)</t>
  </si>
  <si>
    <t>Robot-based incremental sheet forming–the tool path planning</t>
  </si>
  <si>
    <t>Ben Said, L. (2022). The incremental sheet forming; technology, modeling and formability: A brief review. Proceedings of the Institution of Mechanical Engineers, Part E: Journal of Process Mechanical Engineering, 09544089221093306.
https://doi.org/10.1177/09544089221093306</t>
  </si>
  <si>
    <t>https://www.webofscience.com/wos/woscc/full-record/WOS:000786631800001</t>
  </si>
  <si>
    <t>Crenganiș, M., Bârsan, A., Racz, S. G. (ULBS), Iordache, M. D (UPIT)</t>
  </si>
  <si>
    <t xml:space="preserve"> Single point incremental forming using Kuka KR6-2 industrial Robot-a dynamic approach</t>
  </si>
  <si>
    <t>Stejskal, T., Svetlík, J., &amp; Ondočko, Š. (2022). Mapping Robot Singularities through the Monte Carlo Method. Applied Sciences, 12(16), 8330.</t>
  </si>
  <si>
    <t>https://www.webofscience.com/wos/woscc/full-record/WOS:000847052600001</t>
  </si>
  <si>
    <t>Racz, S.-G., Crenganis, M., Barsan, A., Adrian, M.(ULBS)</t>
  </si>
  <si>
    <t xml:space="preserve"> Omnidirectional autonomous mobile robot with mecanum wheel</t>
  </si>
  <si>
    <t>Galati, R., Mantriota, G. &amp; Reina, G. Adaptive heading correction for an industrial heavy-duty omnidirectional robot. Sci Rep 12, 19608 (2022). https://doi.org/10.1038/s41598-022-24270-x</t>
  </si>
  <si>
    <t>https://www.webofscience.com/wos/woscc/full-record/WOS:000885139000052</t>
  </si>
  <si>
    <t>Bârsan, A.</t>
  </si>
  <si>
    <t>Position Control of a Mobile Robot through PID Controller</t>
  </si>
  <si>
    <t>Goud, H., Chandra Sharma, P., Nisar, K., Haque, M. R., Ibrahim, A., Asri, A., ... &amp; Chand, L. (2022). Metaheuristics Algorithm for Tuning of PID Controller of Mobile Robot System. Computers, Materials &amp; Continua, 72(2), 3481-3492.</t>
  </si>
  <si>
    <t>https://www.webofscience.com/wos/woscc/full-record/WOS:000779567700005</t>
  </si>
  <si>
    <t>Bârsan, A. (ULBS)</t>
  </si>
  <si>
    <t>Al-Momani, F., Al-Tamimi, A., Al-Jarrah, A., Al-Jarrah, A., &amp; Salah, M. (2022). Tracking Control for a Two-Wheel Differentially Driven Nonholonomic Mobile Robot: Performance Comparison. International Journal of Mechanical Engineering and Robotics Research, 11(10).</t>
  </si>
  <si>
    <t>https://www.scopus.com/record/display.uri?eid=2-s2.0-85138119811&amp;origin=resultslist&amp;sort=lfp-t&amp;src=s&amp;st1=Tracking+Control+for+a+Two-Wheel+Differentially+Driven+Nonholonomic+Mobile+Robot%3a+Performance+Comparison&amp;sid=22e740015e9091474c7d0717fbc4074d&amp;sot=b&amp;sdt=b&amp;sl=119&amp;s=TITLE-ABS-KEY%28Tracking+Control+for+a+Two-Wheel+Differentially+Driven+Nonholonomic+Mobile+Robot%3a+Performance+Comparison%29&amp;relpos=0&amp;citeCnt=0&amp;searchTerm=</t>
  </si>
  <si>
    <t>M. Waqas, Z. Ali, M. Waqas and A. Zulafqar, "Development of Localization-Based Waiter Robot Using RP-LIDAR," 2022 16th International Conference on Open Source Systems and Technologies (ICOSST), Lahore, Pakistan, 2022, pp. 1-6, doi: 10.1109/ICOSST57195.2022.10016804.</t>
  </si>
  <si>
    <t>https://www.scopus.com/record/display.uri?eid=2-s2.0-85147695101&amp;origin=resultslist&amp;sort=lfp-t&amp;src=s&amp;st1=Development+of+Localization-Based+Waiter+Robot+Using+RP-LIDAR&amp;sid=e2b31fec5276d958c96260c256053d2e&amp;sot=b&amp;sdt=b&amp;sl=76&amp;s=TITLE-ABS-KEY%28Development+of+Localization-Based+Waiter+Robot+Using+RP-LIDAR%29&amp;relpos=0&amp;citeCnt=0&amp;searchTerm=</t>
  </si>
  <si>
    <t>Crenganis, M., Barsan, A., Tera, M., Chicea, A. (ULBS)</t>
  </si>
  <si>
    <t>Dynamic analysis of a five degree of freedom robotic arm using MATLAB-Simulink Simscape</t>
  </si>
  <si>
    <t>Hadha Afrisal,Ahmad Didik Setiyadi,Munawar Agus Riyadi,Rifky Ismail,Olimjon Toirov and Iwan Setiawan,"Performance Analysis of 4-DOF RPRR Robot Manipulator Actuation Strategy for Pick and Place Application in Healthcare Environment," International Journal on Advanced Science, Engineering and Information Technology, vol. 12, no. 6, pp. 2258-2265, 2022. [Online]. Available: http://dx.doi.org/10.18517/ijaseit.12.6.16591.</t>
  </si>
  <si>
    <t>https://www.scopus.com/record/display.uri?eid=2-s2.0-85144699714&amp;origin=resultslist&amp;sort=lfp-t&amp;src=s&amp;st1=Performance+Analysis+of+4-DOF+RPRR+Robot+Manipulator+Actuation+Strategy+for+Pick+and+Place+Application+in+Healthcare+Environment&amp;sid=63fe0c7e10abd3f1ae68c8f2f694fa99&amp;sot=b&amp;sdt=b&amp;sl=143&amp;s=TITLE-ABS-KEY%28Performance+Analysis+of+4-DOF+RPRR+Robot+Manipulator+Actuation+Strategy+for+Pick+and+Place+Application+in+Healthcare+Environment%29&amp;relpos=0&amp;citeCnt=1&amp;searchTerm=</t>
  </si>
  <si>
    <t>Breaz, R.-E., Târnovean, S., Biriş, C., Bologa, O.-C.</t>
  </si>
  <si>
    <t>Improving the dynamic behavior and working accuracy of the CNC laser cutting machines</t>
  </si>
  <si>
    <t>Nayeeif, A.A., Ali, H.A.K., Farhan, M.F., Structural vibration effect of digital controlled CNC machines on the precision of laser work, 	AIP Conference Proceedings
2415,060003</t>
  </si>
  <si>
    <t>https://www.scopus.com/record/display.uri?eid=2-s2.0-85145603142&amp;origin=resultslist&amp;sort=plf-f&amp;cite=2-s2.0-84876059136&amp;src=s&amp;imp=t&amp;sid=959c0835ce8b719a2901720576c72ba0&amp;sot=cite&amp;sdt=a&amp;sl=0&amp;relpos=0&amp;citeCnt=0&amp;searchTerm=</t>
  </si>
  <si>
    <t>Biris C., Racz G.</t>
  </si>
  <si>
    <t>Researches regarding the reducing of burr size by optimising the cutting parameters on a CNC milling machine</t>
  </si>
  <si>
    <t>Wozniak, Marek, Zadzimski, Tomasz,  Rylski, Adam, Makówka, Marcin, Kubiak, Przemysław; Siczek, Krzysztof, Studies on Wear of a Milling Chuck for a Production Line of Specialized Elements Used in Lockstitch Machines, Materials
15(9),3402</t>
  </si>
  <si>
    <t>https://www.scopus.com/record/display.uri?eid=2-s2.0-85130268562&amp;origin=resultslist&amp;sort=plf-f&amp;cite=2-s2.0-85023603489&amp;src=s&amp;imp=t&amp;sid=26a0ec3bfc101d8a2eefe808bb4302cf&amp;sot=cite&amp;sdt=a&amp;sl=0&amp;relpos=0&amp;citeCnt=0&amp;searchTerm=</t>
  </si>
  <si>
    <r>
      <rPr>
        <sz val="10"/>
        <color rgb="FFFF0000"/>
        <rFont val="Arial Narrow"/>
      </rPr>
      <t>WoS/</t>
    </r>
    <r>
      <rPr>
        <sz val="10"/>
        <color rgb="FFFF0000"/>
        <rFont val="Arial Narrow"/>
      </rPr>
      <t xml:space="preserve">
</t>
    </r>
    <r>
      <rPr>
        <sz val="10"/>
        <color rgb="FFFF0000"/>
        <rFont val="Arial Narrow"/>
      </rPr>
      <t>Scopus</t>
    </r>
  </si>
  <si>
    <t>Paltan R.D., Biri C., Radulescu L.A.M.</t>
  </si>
  <si>
    <t>Industrial processes efficiency and lower energy consumption initiatives through advanced retrofitting in the wood industry</t>
  </si>
  <si>
    <t>Červený, L., Sloup, R., Červená, T., Riedl, M., Palátová, P., 	Industry 4.0 as an Opportunity and Challenge for the Furniture Industry—A Case Study, Sustainability (Switzerland)
14(20),13325</t>
  </si>
  <si>
    <t>https://www.scopus.com/record/display.uri?eid=2-s2.0-85141001826&amp;origin=resultslist&amp;sort=plf-f&amp;cite=2-s2.0-85076204605&amp;src=s&amp;imp=t&amp;sid=05a17e4a0bedc67085083cff9ca7da1b&amp;sot=cite&amp;sdt=a&amp;sl=0&amp;relpos=0&amp;citeCnt=1&amp;searchTerm=</t>
  </si>
  <si>
    <r>
      <rPr>
        <sz val="10"/>
        <color rgb="FFFF0000"/>
        <rFont val="Arial Narrow"/>
      </rPr>
      <t>WoS/</t>
    </r>
    <r>
      <rPr>
        <sz val="10"/>
        <color rgb="FFFF0000"/>
        <rFont val="Arial Narrow"/>
      </rPr>
      <t xml:space="preserve">
</t>
    </r>
    <r>
      <rPr>
        <sz val="10"/>
        <color rgb="FFFF0000"/>
        <rFont val="Arial Narrow"/>
      </rPr>
      <t>Scopus</t>
    </r>
  </si>
  <si>
    <t>Popp M.O., Rusu G.P., Oleksik V., Biris C.</t>
  </si>
  <si>
    <t>Influence of vertical step on forces and dimensional accuracy of SPIF parts - A numerical investigation</t>
  </si>
  <si>
    <t>Bârsan, A., Racz, S.-G., Breaz, R., Crenganiș, M., Dynamic analysis of a robot-based incremental sheet forming using Matlab-Simulink Simscape™ environment, Materials Today: Proceedings
62, pp. 2538-2542</t>
  </si>
  <si>
    <t>https://www.scopus.com/record/display.uri?eid=2-s2.0-85127569219&amp;origin=resultslist&amp;sort=plf-f&amp;cite=2-s2.0-85096480213&amp;src=s&amp;imp=t&amp;sid=1cdef38d9b2515d883c3496d929725b7&amp;sot=cite&amp;sdt=a&amp;sl=0&amp;relpos=0&amp;citeCnt=0&amp;searchTerm=</t>
  </si>
  <si>
    <t>Crenganis M., Breaz R.E., Racz S.G., Biris C.M., Girjob C.E., Marosan A.I.</t>
  </si>
  <si>
    <t>Development of a lightweight multipurpose high mobility vehicle for use in confined spaces</t>
  </si>
  <si>
    <t>Pizá, R., Carbonell, R., Casanova, V., Cuenca, Á., Salt Llobregat, J.J., Nonuniform Dual-Rate Extended Kalman-Filter-Based Sensor Fusion for Path-Following Control of a Holonomic Mobile Robot with Four Mecanum Wheels, Applied Sciences (Switzerland)
12(7),3560</t>
  </si>
  <si>
    <t>https://www.scopus.com/record/display.uri?eid=2-s2.0-85128233351&amp;origin=resultslist&amp;sort=plf-f&amp;cite=2-s2.0-85123944028&amp;src=s&amp;imp=t&amp;sid=b1dc9cc9a90214e12a5f55aa3fe35ad2&amp;sot=cite&amp;sdt=a&amp;sl=0&amp;relpos=0&amp;citeCnt=3&amp;searchTerm=</t>
  </si>
  <si>
    <t>Crenganis M., Tera M., Biris C., Girjob C.</t>
  </si>
  <si>
    <t>Dynamic Analysis of a 7 DOF Robot Using Fuzzy Logic for Inverse Kinematics Problem</t>
  </si>
  <si>
    <t>Emami, P., Ghiasi, A.R., Ghavifekr, A.A., Survey of Multi-Agent Reinforcement Learning to Solve Inverse Kinematic Problems of Redundant Robotic Manipulators, 2022 8th International Conference on Control, Instrumentation and Automation, ICCIA 2022</t>
  </si>
  <si>
    <t>https://www.scopus.com/record/display.uri?eid=2-s2.0-85127541311&amp;origin=resultslist&amp;sort=plf-f&amp;cite=2-s2.0-85081055133&amp;src=s&amp;imp=t&amp;sid=54ae3b2a0248bdd52d62f9f6f33e339e&amp;sot=cite&amp;sdt=a&amp;sl=0&amp;relpos=1&amp;citeCnt=0&amp;searchTerm=</t>
  </si>
  <si>
    <t>Pecolt, S., Blazejewski, A., Królikowski, T., Katafiasz, D.,Passenger rover model in Matlab-SimMechanics environment, Procedia Computer Science
207, pp. 1360-1368</t>
  </si>
  <si>
    <t>https://www.scopus.com/record/display.uri?eid=2-s2.0-85143365758&amp;origin=resultslist&amp;sort=plf-f&amp;cite=2-s2.0-85081055133&amp;src=s&amp;imp=t&amp;sid=54ae3b2a0248bdd52d62f9f6f33e339e&amp;sot=cite&amp;sdt=a&amp;sl=0&amp;relpos=0&amp;citeCnt=0&amp;searchTerm=</t>
  </si>
  <si>
    <t>Racz S.G., Breaz R.E., Tera M., Girjob C., Biris C., Chicea A.L., Bologa O.</t>
  </si>
  <si>
    <t>Incremental forming of titanium Ti6Al4V alloy for cranioplasty plates—decision-making process and technological approaches</t>
  </si>
  <si>
    <t>Trzepieciński, T., Szpunar, M., Ostrowski, R., Split-Plot I-Optimal Design Optimisation of Combined Oil-Based and Friction Stir Rotation-Assisted Heating in SPIF of Ti-6Al-4V Titanium Alloy Sheet under Variable Oil Pressure, Metals
12(1),113</t>
  </si>
  <si>
    <t>https://www.scopus.com/record/display.uri?eid=2-s2.0-85122257702&amp;origin=resultslist&amp;sort=plf-f&amp;cite=2-s2.0-85051457933&amp;src=s&amp;imp=t&amp;sid=7436e535464cc4717180d07461997527&amp;sot=cite&amp;sdt=a&amp;sl=0&amp;relpos=1&amp;citeCnt=2&amp;searchTerm=</t>
  </si>
  <si>
    <t>WoS/
Scopus</t>
  </si>
  <si>
    <t>https://www.scopus.com/record/display.uri?eid=2-s2.0-85127569219&amp;origin=resultslist&amp;sort=plf-f&amp;cite=2-s2.0-85051457933&amp;src=s&amp;imp=t&amp;sid=7436e535464cc4717180d07461997527&amp;sot=cite&amp;sdt=a&amp;sl=0&amp;relpos=0&amp;citeCnt=0&amp;searchTerm=</t>
  </si>
  <si>
    <t>Li, RX, Wang, T., Research on Single Point Incremental Forming Characteristics of Perforated TA1 Sheet, Volume12, Issue11, Article Number1944, DOI10.3390/met12111944</t>
  </si>
  <si>
    <t>https://www.webofscience.com/wos/woscc/full-record/WOS:000895165300001</t>
  </si>
  <si>
    <t xml:space="preserve">WoS
</t>
  </si>
  <si>
    <t>Racz, S. G., Breaz, R. E., Tera, M., Gîrjob, C., Biriș, C., Chicea, A. L., Bologa, O.</t>
  </si>
  <si>
    <t>Incremental Forming of Titanium Ti6Al4V Alloy for Cranioplasty Plates-Decision-Making Process and Technological Approaches</t>
  </si>
  <si>
    <t>Trzepieciński, T., Najm, S. M., Oleksik, V., Vasilca, D., Paniti, I., &amp; Szpunar, M. (2022). Recent developments and future challenges in incremental sheet forming of aluminium and aluminium alloy sheets. Metals, 12(1), 124.</t>
  </si>
  <si>
    <t>https://www.webofscience.com/wos/woscc/full-record/WOS:000757017000001</t>
  </si>
  <si>
    <t>RE Breaz, SG Racz, CE Girjob, M Tera, C Biriş</t>
  </si>
  <si>
    <t>Using open source software CNC controllers and modular multi-axis mechanical structure as integrated teaching environment for CAD/CAM/CAE training</t>
  </si>
  <si>
    <t>Medina-Triviño, P., Triviño-Tarradas, P., Ortiz-Cordero, R., Gonzalez-Redondo, M. (2023). Design and Creation of an Economical Camera Slider for Photography. In: Gerbino, S., Lanzotti, A., Martorelli, M., Mirálbes Buil, R., Rizzi, C., Roucoules, L. (eds) Advances on Mechanics, Design Engineering and Manufacturing IV. JCM 2022. Lecture Notes in Mechanical Engineering. Springer, Cham. https://doi.org/10.1007/978-3-031-15928-2_97</t>
  </si>
  <si>
    <t>https://link.springer.com/chapter/10.1007/978-3-031-15928-2_97#citeas</t>
  </si>
  <si>
    <t>Crenganis, M., Biris, C., Girjob, C.</t>
  </si>
  <si>
    <t>Mechatronic Design of a Four-Wheel drive mobile robot and differential steering</t>
  </si>
  <si>
    <t>Varghese, D., &amp; Mohan, A. (2022). Binman: An autonomous beach cleaning robot. Paper presented at the MysuruCon 2022 - 2022 IEEE 2nd Mysore Sub Section International Conference, doi:10.1109/MysuruCon55714.2022.9972499</t>
  </si>
  <si>
    <t>https://www.scopus.com/record/display.uri?eid=2-s2.0-85145349559&amp;origin=resultslist&amp;sort=plf-f&amp;src=s&amp;st1=Binman%3a+An+Autonomous+Beach+Cleaning+Robot&amp;sid=bc4c9bcd6cb92e3f5d887bfa514a0ed5&amp;sot=b&amp;sdt=b&amp;sl=57&amp;s=TITLE-ABS-KEY%28Binman%3a+An+Autonomous+Beach+Cleaning+Robot%29&amp;relpos=0&amp;citeCnt=0&amp;searchTerm=</t>
  </si>
  <si>
    <r>
      <rPr>
        <sz val="10"/>
        <color theme="1"/>
        <rFont val="Arial Narrow"/>
      </rPr>
      <t>E. Viana, V. H. Pinto, J. Lima and G. Gonçalves, "Mecanum Wheel Robotic Platform for Educational Purposes: A Cost-Effective Approach," </t>
    </r>
    <r>
      <rPr>
        <i/>
        <sz val="10"/>
        <color theme="1"/>
        <rFont val="Arial Narrow"/>
      </rPr>
      <t>2022 10th International Conference on Control, Mechatronics and Automation (ICCMA)</t>
    </r>
    <r>
      <rPr>
        <sz val="10"/>
        <color theme="1"/>
        <rFont val="Arial Narrow"/>
      </rPr>
      <t>, Belval, Luxembourg, 2022, pp. 71-75, doi: 10.1109/ICCMA56665.2022.10011588.</t>
    </r>
  </si>
  <si>
    <t>https://www.scopus.com/record/display.uri?eid=2-s2.0-85147545786&amp;origin=resultslist&amp;sort=cp-f&amp;src=s&amp;st1=Mecanum+Wheel+Robotic+Platform+for+Educational+Purposes%3a+A+Cost-Effective+Approach&amp;sid=472497ff529ebcef47bf75c4bc031e20&amp;sot=b&amp;sdt=b&amp;sl=97&amp;s=TITLE-ABS-KEY%28Mecanum+Wheel+Robotic+Platform+for+Educational+Purposes%3a+A+Cost-Effective+Approach%29&amp;relpos=0&amp;citeCnt=0&amp;searchTerm=</t>
  </si>
  <si>
    <t>Y. Lei, V. Shkolnikov and D. Xin, "Spatially Isotropic 3D Volumetric Reconstruction of Live Biological Cells with Multi-View Geometry," 2022 IEEE 5th International Conference on Multimedia Information Processing and Retrieval (MIPR), CA, USA, 2022, pp. 109-114, doi: 10.1109/MIPR54900.2022.00026.</t>
  </si>
  <si>
    <t>Blaga A., Bologa O., Oleksik V., Breaz, R</t>
  </si>
  <si>
    <t>Influence of tool path on main strains, thickness reduction and forces in single point incremental forming process</t>
  </si>
  <si>
    <t>Bhandari K.S., Murugesan M., Sijia L., Wenning C., Moon J., Jung, D.W., Incremental Sheet Forming Simulation of Aluminum Alloys for Industry Level Production, Materials Science Forum, Volume 1054 MSF, Pages 129 – 133, DOI 10.4028/p-bgl4ij, 2022</t>
  </si>
  <si>
    <t>https://doi.org/10.4028/p-bgl4ij, https://www.scientific.net/MSF.1054.129</t>
  </si>
  <si>
    <t>Golakiya, V.D., Chudasama, M.K., Raval, H.K. (2022). Analyze and Optimize Thinning and Forming Force in Single Point Incremental Forming on AA6061-T6 Using the Finite Element Method. In: Kumar, S., Ramkumar, J., Kyratsis, P. (eds) Recent Advances in Manufacturing Modelling and Optimization. Lecture Notes in Mechanical Engineering. Springer, Singapore.</t>
  </si>
  <si>
    <t>https://doi.org/10.1007/978-981-16-9952-8_32, https://link.springer.com/chapter/10.1007/978-981-16-9952-8_32</t>
  </si>
  <si>
    <t>Bologa O., Breaz R. E., Racz S. G., Crenganis M.</t>
  </si>
  <si>
    <t>Decision-making tool for moving from 3-axes to 5-axes CNC machine-tool</t>
  </si>
  <si>
    <t>Gresova Z., Izol P., Vrabel M., Kascak L., Brindza J., Demko M., Influence of Ball-End Milling Strategy on the Accuracy and Roughness of Free Form Surfaces, Applied Sciences-Basel, Volume 12, Issue 9, Article Number 4421, DOI10.3390/app12094421, May 2022</t>
  </si>
  <si>
    <t>https://www.mdpi.com/2076-3417/12/9/4421, https://doi.org/10.3390/app12094421</t>
  </si>
  <si>
    <t>WoS, WOS:000799280400001</t>
  </si>
  <si>
    <t>Sebbe N. P. V., Fernandes. F., Sousa, V. F. C., Silva F. J. G., Hybrid Manufacturing Processes Used in the Production of Complex Parts: A Comprehensive Review, Metals, Volume 12, Issue 11, Article Number 1874, DOI10.3390/met12111874, Nov. 2022</t>
  </si>
  <si>
    <t>https://www.mdpi.com/2075-4701/12/11/1874, https://doi.org/10.3390/met12111874</t>
  </si>
  <si>
    <t>WoS, WOS:000881186700001</t>
  </si>
  <si>
    <t>Bologa O., Breaz R.E., Racz S.G.</t>
  </si>
  <si>
    <t>Using the Analytic Hierarchy Process (AHP) and fuzzy logic to evaluate the possibility of introducing single point incremental forming on industrial scale</t>
  </si>
  <si>
    <t>Erni Krisnaningsih, Yandra Arkeman, Erliza Hambali and Marimin, Decision Model for Determining the Feasibility of Rice-Based Bioenergy Supply Chain Development Area with Fuzzy Logic-AHP Approach, IOP Conference Series: Earth and Environmental Science Open Access Volume 1034, DOI10.1088/1755-1315/1034/1/012007, Issue 1, 2022, Article number 012007</t>
  </si>
  <si>
    <t>https://iopscience.iop.org/article/10.1088/1755-1315/1034/1/012007, https://doi.org/10.1088/1755-1315/1034/1/012007</t>
  </si>
  <si>
    <t>Tabit S., Soulhi A., Industrial Performance Control with Fuzzy Logic and AHP Methods, Journal of Theoretical and Applied Information Technology, Volume 100, Issue 3, pages 648 – 66015, Feb. 2022</t>
  </si>
  <si>
    <t>http://www.jatit.org/volumes/Vol100No3/6Vol100No3.pdf</t>
  </si>
  <si>
    <t>Wang ZP., Mo XY., Qin PJ., Zhao ZK., Ouyang TC, Multi-dimensional assessment and multi-objective optimization of electricity-cooling cogeneration system driven by marine diesel engine waste heat, Journal of Cleaner Production, Volume 334, Article Number 130187, DOI10.1016/j.jclepro.2021.130187, Feb. 2022</t>
  </si>
  <si>
    <t>https://www.sciencedirect.com/science/article/pii/S0959652621043523?via%3Dihub, https://doi.org/10.1016/j.jclepro.2021.130187</t>
  </si>
  <si>
    <t>WoS, WOS:000772757100002</t>
  </si>
  <si>
    <t>Breaz R. E., Bologa O., Racz S. G.</t>
  </si>
  <si>
    <t>Selecting between CNC milling, robot milling and DMLS processes using a combined AHP and fuzzy approach</t>
  </si>
  <si>
    <t>Anushraj, B., Brintha, N.C., Chella Ganesh, D., Ajithram, A. (2022). Electrochemical Corrosion Behavior of Heat Treated Inconel 718 Superalloy Manufactured by Direct Metal Laser Sintering (DMLS) in 3.5% NaCl Solution. In: Khan, M.A., Jappes, J.T.W. (eds) Innovations in Additive Manufacturing. Springer Tracts in Additive Manufacturing. Springer, Cham.</t>
  </si>
  <si>
    <t>https://doi.org/10.1007/978-3-030-89401-6_12, https://link.springer.com/chapter/10.1007/978-3-030-89401-6_12</t>
  </si>
  <si>
    <t>B, A., Winowlin Jappes, J.T., Khan, A., Vijayakumar, D., Nc, B., Solid particle erosion studies on heat treated SU718 alloy developed through DMLS processed additive manufacturing, Advances in Materials and Processing Technologies, Volume 8, Issue 3, DOI 10.1080/2374068X.2021.1939550 Pages 2672 – 2683, 2022</t>
  </si>
  <si>
    <t>https://www.tandfonline.com/doi/full/10.1080/2374068X.2021.1939550, https://doi.org/10.1080/2374068X.2021.1939550</t>
  </si>
  <si>
    <t>Krishna Kumar K., Karthikeyan A., Elango M., Selection of a Best Humanoid Robot Using “TOPSIS” for Rescue Operation, Lecture Notes in Mechanical Engineering, Pages 943 – 953, DOI 10.1007/978-981-16-2794-1_83, 2022</t>
  </si>
  <si>
    <t>https://link.springer.com/chapter/10.1007/978-981-16-2794-1_83, https://doi.org/10.1007/978-981-16-2794-1_83</t>
  </si>
  <si>
    <t>Verma R., Kaushal G., High temperature oxidation behavior and characterization of DMLS fabricated Ni based superalloys, MATERIALS TODAY-PROCEEDINGS, Volume 62, page 7364-7372, Special Issue SI, Part 14, DOI10.1016/j.matpr.2022.02.072, 2022</t>
  </si>
  <si>
    <t>https://www.sciencedirect.com/science/article/pii/S2214785322006447?via%3Dihub, https://doi.org/10.1016/j.matpr.2022.02.072</t>
  </si>
  <si>
    <t>WoS, WOS:000823369000005</t>
  </si>
  <si>
    <t>Selecting industrial robots for milling applications using AHP</t>
  </si>
  <si>
    <t>Chodha V., Dubey R., Kumar R., Singh S., Kaur S., Selection of industrial arc welding robot with TOPSIS and Entropy MCDM techniques, MATERIALS TODAY-PROCEEDINGS, Volume 50, page 709-715, Part 5, DOI10.1016/j.matpr.2021.04.487, 2022</t>
  </si>
  <si>
    <t>https://www.sciencedirect.com/science/article/pii/S221478532103412X?via%3Dihub, https://doi.org/10.1016/j.matpr.2021.04.487</t>
  </si>
  <si>
    <t>WoS, WOS:000753366500010</t>
  </si>
  <si>
    <t>Kumar V., Kalita K., Chatterjee P., Zavadskas E.K., Chakraborty S., A SWARA-CoCoSo-Based Approach for Spray Painting Robot Selection, Informatica, Volume 33, Issue 1, page 35-54, DOI10.15388/21-INFOR466, 2022</t>
  </si>
  <si>
    <t>https://informatica.vu.lt/journal/INFORMATICA/article/1237/info, https://doi.org/10.15388/21-INFOR466</t>
  </si>
  <si>
    <t>WoS, WOS:000766621900002</t>
  </si>
  <si>
    <t>Breaz R. E., Racz S. G., Cioca L. I.</t>
  </si>
  <si>
    <t>Evaluating Safety Systems for Machine Tools with Computer Numerical Control using Analytic Hierarchy Process</t>
  </si>
  <si>
    <t>Warren-Vega W. M., Aguilar-Hernandez D. E., Zarate-Guzman A. I., Campos-Rodriguez A., Romero-Cano L. A., Development of a Predictive Model for Agave Prices Employing Environmental, Economic, and Social Factors: Towards a Planned Supply Chain for Agave-Tequila Industry, Foods, Volume 11, Issue 8, Article Number 1138, DOI10.3390/foods11081138, Apr. 2022</t>
  </si>
  <si>
    <t>https://www.mdpi.com/2304-8158/11/8/1138, https://doi.org/10.3390/foods11081138</t>
  </si>
  <si>
    <t>WoS, WOS:000787434900001</t>
  </si>
  <si>
    <t>Breaz R.E., Bologa O., Racz S.G.</t>
  </si>
  <si>
    <t>Wenjun Xu, Zhenrui Ji, Yongli Ma, Yanping Ma, Zude Zhou, Chapter 6 - Digital twin-driven energy-efficient assessment service, Editor(s): Fei Tao, Qinglin Qi, A.Y.C. Nee, Digital Twin Driven Service, Academic Press, 2022, Pages 139-171, ISBN 9780323913003</t>
  </si>
  <si>
    <t>https://doi.org/10.1016/B978-0-323-91300-3.00007-3, https://www.sciencedirect.com/book/9780323913003/digital-twin-driven-service</t>
  </si>
  <si>
    <t>Academic Press</t>
  </si>
  <si>
    <t>Zhu YH., Jiao J., Automatic Control System Design for Industrial Robots Based on Simulated Annealing and PID Algorithms, Advances in Multimedia, Volume 2022, Article Number 9226576, DOI10.1155/2022/9226576, May 26, 2022</t>
  </si>
  <si>
    <t>https://www.hindawi.com/journals/am/2022/9226576/, https://doi.org/10.1155/2022/9226576</t>
  </si>
  <si>
    <t>WoS, WOS:000807449800001</t>
  </si>
  <si>
    <t>Breaz R. E., Racz S. G., Gîrjob C.E., Tera M.</t>
  </si>
  <si>
    <t>Medina-Triviño, P., Triviño-Tarradas, P., Ortiz-Cordero, R., Gonzalez-Redondo, M. (2023). Design and Creation of an Economical Camera Slider for Photography. In: Gerbino, S., Lanzotti, A., Martorelli, M., Mirálbes Buil, R., Rizzi, C., Roucoules, L. (eds) Advances on Mechanics, Design Engineering and Manufacturing IV. JCM 2022. Lecture Notes in Mechanical Engineering. Springer, Cham.</t>
  </si>
  <si>
    <t>https://link.springer.com/chapter/10.1007/978-3-031-15928-2_97, https://doi.org/10.1007/978-3-031-15928-2_97</t>
  </si>
  <si>
    <t>Breaz R.E., Târnovean S., Biriș C., Bologa O.</t>
  </si>
  <si>
    <t>Nayeeif A.A., Ali H.A.K., Farhan M.F., Structural vibration effect of digital controlled CNC machines on the precision of laser work, AIP Conference Proceedings, Volume 241515, December 2022, DOI 10.1063/5.0092672, Article number 060003</t>
  </si>
  <si>
    <t>https://aip.scitation.org/doi/abs/10.1063/5.0092672, https://doi.org/10.1063/5.0092672</t>
  </si>
  <si>
    <t>Crenganiș M., Breaz R. E., Racz S. G., Biriș C. M., Gîrjob C. E., Maroșan A. I.</t>
  </si>
  <si>
    <t>Pizá R., Carbonell R., Casanova V., Cuenca Á., Salt Llobregat J. J., Nonuniform Dual-Rate Extended Kalman-Filter-Based Sensor Fusion for Path-Following Control of a Holonomic Mobile Robot with Four Mecanum Wheels, Applied Sciences, Volume 12, Issue 7, Article number 3560, DOI10.3390/app12073560, Apr. 2022</t>
  </si>
  <si>
    <t>https://www.mdpi.com/2076-3417/12/7/3560, https://doi.org/10.3390/app12073560</t>
  </si>
  <si>
    <t>Crenganis M., Breaz R., Racz G., Bologa O.</t>
  </si>
  <si>
    <t>Inverse kinematics of a 7 DOF manipulator using Adaptive Neuro-Fuzzy Inference Systems</t>
  </si>
  <si>
    <t>Rong Y., Dou T., Zhang X., Zhang L., Zhao J, .A Real-time Control Method for Optimal Overall Performances of Planar Redundant Robots, Zhongguo Jixie Gongcheng/China Mechanical Engineering Volume 33, Issue 16, Pages 1928 – 193925, DOI 10.3969/j.issn.1004-132X.2022.16.006, August 2022</t>
  </si>
  <si>
    <t>https://doi.org/10.3969/j.issn.1004-132X.2022.16.006</t>
  </si>
  <si>
    <t>The inverse kinematics solutions of a 7 DOF robotic arm using fuzzy logic</t>
  </si>
  <si>
    <t>Cheng, H., Wang, M., Ma, C., Yu, C., A Review of Brain Information Processing for Robot Control, 2022 7th International Conference on Image, Vision and Computing, ICIVC 2022, DOI 10.1109/ICIVC55077.2022.9886157, Pages 866 - 8712022</t>
  </si>
  <si>
    <t>https://doi.org/10.1109/ICIVC55077.2022.9886157, https://ieeexplore.ieee.org/document/9886157</t>
  </si>
  <si>
    <t>Tiantian Liu, Zhifeng Liu, Tianyue Gan, Jingjing Xu, Exact Inverse Solution for a 7R Manipulator Based on a Novel Screw-Based Sub-problem, Advances in Mechanism, Machine Science and Engineering in China pp 1783–1795</t>
  </si>
  <si>
    <t>https://link.springer.com/chapter/10.1007/978-981-19-9398-5_109</t>
  </si>
  <si>
    <t>M Tera, RE Breaz, SG Racz, CE Girjob</t>
  </si>
  <si>
    <t>Processing strategies for single point incremental forming—a CAM approach</t>
  </si>
  <si>
    <t>Parnika Shrivastava, Puneet Tandon,Book: Metal Forming Processes, Chapter: A Review on Process Limitations and Recent Advancements in Single Point Incremental Sheet Forming, 2022, CRC Press, EBookISBN 9781003226703, 10p</t>
  </si>
  <si>
    <t>https://www.taylorfrancis.com/chapters/edit/10.1201/9781003226703-11/review-process-limitations-recent-advancements-single-point-incremental-sheet-forming-parnika-shrivastava-puneet-tandon</t>
  </si>
  <si>
    <t>Taylor &amp; Francis, CRC Press</t>
  </si>
  <si>
    <t>Sameer Vadher, Amrut Mulay Book: Metal Forming Processes, Chapter: Single-Stage to Multi-Stage Incremental Sheet Forming Technology, 2022, CRC Press, EBookISBN 9781003226703, 11p</t>
  </si>
  <si>
    <t>https://www.taylorfrancis.com/chapters/edit/10.1201/9781003226703-12/single-stage-multi-stage-incremental-sheet-forming-technology-sameer-vadher-amrut-mulay</t>
  </si>
  <si>
    <t>Melania Tera, Octavian Bologa, Radu Eugen Breaz, Sever Gabriel Racz</t>
  </si>
  <si>
    <t>Contributions Regarding Incremental Forming Process of Bimetallic Sheets</t>
  </si>
  <si>
    <t>Maji, K., Kumar, G., A Review on Formability of Tailored Sheets in Incremental Forming, Book Metal Forming Processes, 1st Edition, 2022, CRC Press, 8p, eBook ISBN9781003226703</t>
  </si>
  <si>
    <t>https://www.taylorfrancis.com/chapters/edit/10.1201/9781003226703-14/review-formability-tailored-sheets-incremental-forming-kuntal-maji-gautam-kumar</t>
  </si>
  <si>
    <t>Oleksik V., Bologa O., Breaz R., Racz G.</t>
  </si>
  <si>
    <t>Comparison between the numerical simulations of incremental sheet forming and conventional stretch forming process</t>
  </si>
  <si>
    <t>Jagtap R., Bendure S., Kumar P., Sharma A., Experimental and simulation studies on hybrid incremental sheet forming, Engineering Research Express, Volume 4, Issue 2, June 2022, DOI</t>
  </si>
  <si>
    <t>https://doi.org/10.1088/2631-8695/ac73df, https://iopscience.iop.org/article/10.1088/2631-8695/ac73df</t>
  </si>
  <si>
    <t>Racz G. S., Breaz R. E., Oleksik V. S., Bologa, O. C., Brîndașu, P. D.</t>
  </si>
  <si>
    <t>Simulated 3-axis versus 5-axis Processing Toolpaths for Single Point Incremental Forming</t>
  </si>
  <si>
    <t>Chapter, Kaha Razak, AB Abdullah, NM Noor, Overview and Issues Related to Geometrical Accuracy in the Single-Point Incremental Forming (SPIF) Process of Tailor Welded Blanks, Book: Abdullah, A., &amp; Jamaludin, M. (Eds.). (2022). Springback Assessment and Compensation of Tailor Welded Blanks (1st ed.). CRC Press.</t>
  </si>
  <si>
    <t>https://doi.org/10.1201/9781003164241, https://www.taylorfrancis.com/chapters/edit/10.1201/9781003164241-4/overview-issues-related-geometrical-accuracy-single-point-incremental-forming-spif-process-tailor-welded-blanks-kaha-razak-ab-abdullah-nm-noor</t>
  </si>
  <si>
    <t>CRC Press</t>
  </si>
  <si>
    <t>Makwana R., Modi B., Patel K., Single-stage single point incremental square hole flanging of AA5052 material, Materials and Manufacturing Processes, DOI10.1080/10426914.2022.2136377, Early Access Oct. 2022</t>
  </si>
  <si>
    <t>https://www.tandfonline.com/doi/full/10.1080/10426914.2022.2136377, https://doi.org/10.1080/10426914.2022.2136377</t>
  </si>
  <si>
    <t>WoS, WOS:000870644000001</t>
  </si>
  <si>
    <t>Racz S. G., Breaz R. E., Tera M., Gîrjob C., Biriș C., Chicea, A. L., Bologa O.</t>
  </si>
  <si>
    <t>Li RX., Wang T., Research on Single Point Incremental Forming Characteristics of Perforated TA1 Sheet, Metals, Volume 12, Issue 11, Article Number1944, DOI10.3390/met12111944, Nov. 2022</t>
  </si>
  <si>
    <t>https://www.mdpi.com/2075-4701/12/11/1944, https://doi.org/10.3390/met12111944</t>
  </si>
  <si>
    <t>WoS, WOS:000895165300001</t>
  </si>
  <si>
    <t>Trzepiecinski T., Szpunar M., Ostrowski R., Split-Plot I-Optimal Design Optimisation of Combined Oil-Based and Friction Stir Rotation-Assisted Heating in SPIF of Ti-6Al-4V Titanium Alloy Sheet under Variable Oil Pressure, Metals, Volume 12, Issue 1, Article Number 113, DOI10.3390/met12010113, Jan.  2022</t>
  </si>
  <si>
    <t>https://www.mdpi.com/2075-4701/12/1/113, https://doi.org/10.3390/met12010113</t>
  </si>
  <si>
    <t>WoS, WOS:000757017000001</t>
  </si>
  <si>
    <t>https://www.mdpi.com/2075-4701/12/1/124, https://doi.org/10.3390/met12010124</t>
  </si>
  <si>
    <t>WoS, WOS:000747631000001</t>
  </si>
  <si>
    <t>Tera M., Breaz R. E., Racz S. G., Girjob C. E.</t>
  </si>
  <si>
    <t>Zhu H., Ao C., Jung D. W., Research on the Influence of the Pitch of the Spiral Toolpath on the Forming Quality of Single Point Increment Forming, Materials Science Forum, DOI10.4028/p-3eij0f, Volume 1054 MSF, pages 117–122, 2022</t>
  </si>
  <si>
    <t>https://www.scientific.net/MSF.1054.117, https://doi.org/10.4028/p-3eij0f</t>
  </si>
  <si>
    <t>TERA, M., BOLOGA, O., BREAZ, R., CHERA, I., TÎRNOVEAN, S.,</t>
  </si>
  <si>
    <t>Study of incremental deep-drawing of bimetallic sheets, Proceedings in Manufacturing Systems, Volume 7, Issue 4, 2012 ISSN 2067-9238</t>
  </si>
  <si>
    <t>Tera, M., Bologa, O., Breaz, R.E., Racz, S.G.,</t>
  </si>
  <si>
    <t>Theoretical and experimental researches regarding multilayer materials used for incremental forming</t>
  </si>
  <si>
    <t>Maji, K., Kumar, G., A Review on Formability of Tailored Sheets in Incremental Forming, BookȘ Mettal Forming Processes, 1st Edition, 2022, CRC Press, 8p, eBook ISBN9781003226703</t>
  </si>
  <si>
    <t>Breaz, R.E., Racz, S.G., Girjob, C.E., Tera, M., Biris, C</t>
  </si>
  <si>
    <t>https://link.springer.com/chapter/10.1007/978-3-031-15928-2_96</t>
  </si>
  <si>
    <t xml:space="preserve">Racz, S.G.; Breaz, R.E.; Tera, M.; Gîrjob, C.; Biriș, C.; Chicea, A.L.; Bologa, O. </t>
  </si>
  <si>
    <t>Incremental Forming of Titanium Ti6Al4V Alloy for Cranioplasty Plates—Decision-Making Process and Technological Approaches.</t>
  </si>
  <si>
    <t>Alexandru Bârsan, Sever-Gabriel Racz, Radu Breaz, Mihai Crenganiș,Dynamic analysis of a robot-based incremental sheet forming using Matlab-Simulink Simscape™ environment, Materials Today: Proceedings, Volume 62, Part 5, 2022, Pages 2538-2542, ISSN 2214-7853, https://doi.org/10.1016/j.matpr.2022.03.134. (https://www.sciencedirect.com/science/article/pii/S2214785322014572</t>
  </si>
  <si>
    <t>WoS,</t>
  </si>
  <si>
    <t>Mihai Crenganiș, Melania Tera, Cristina Biriș, Claudia Gîrjob,</t>
  </si>
  <si>
    <t>P. Emami, A. R. Ghiasi and A. A. Ghavifekr, "Survey of Multi-Agent Reinforcement Learning to Solve Inverse Kinematic Problems of Redundant Robotic Manipulators," 2022 8th International Conference on Control, Instrumentation and Automation (ICCIA), Tehran, Iran, Islamic Republic of, 2022, pp. 1-6, doi: 10.1109/ICCIA54998.2022.9737188.</t>
  </si>
  <si>
    <t>https://ieeexplore.ieee.org/abstract/document/9737188</t>
  </si>
  <si>
    <t>Pecolt, S., Błażejewski, A., Królikowski, T.,Katafiasz, D., Passenger rover model in Matlab-SimMechanics environment, Procedia Computer Science, Volume 207, 2022, Pages 1360-1368, ISSN 1877-0509, https://doi.org/10.1016/j.procs.2022.09.192.</t>
  </si>
  <si>
    <t>https://ieeexplore.ieee.org/abstract/document/9737188/metrics#metrics</t>
  </si>
  <si>
    <t>Li R, Wang T. Research on Single Point Incremental Forming Characteristics of Perforated TA1 Sheet. Metals. 2022; 12(11):1944. https://doi.org/10.3390/met12111944</t>
  </si>
  <si>
    <t>Bârsan, A., Racz, S. G., Breaz, R., &amp; Crenganiș, M. (2022). Dynamic analysis of a robot-based incremental sheet forming using Matlab-Simulink Simscape™ environment. Materials Today: Proceedings, 62, 2538-2542.</t>
  </si>
  <si>
    <t>https://www.webofscience.com/wos/woscc/full-record/WOS:000830020400002</t>
  </si>
  <si>
    <t>Trzepieciński, T., Szpunar, M., &amp; Ostrowski, R. (2022). Split-plot I-optimal design optimisation of combined oil-based and friction stir rotation-assisted heating in SPIF of Ti-6Al-4V titanium alloy sheet under variable oil pressure. Metals, 12(1), 113.</t>
  </si>
  <si>
    <t>Romeo Micu, Anca Lucia Chicea, Dan Georgian Bratu, Paula Nita, Georgiana Nemeti, Radu Chicea</t>
  </si>
  <si>
    <t>Ultrasound and magnetic resonance imaging in the prenatal diagnosis of open spina bifida</t>
  </si>
  <si>
    <t>Gao, G., Tao, B., Chen, Y., Yang, J., Sun, M., Wang, H., ... &amp; Shang, A. (2022). Fetal magnetic resonance imaging in the diagnosis of spinal cord neural tube defects: A prospective study. Frontiers in Neurology, 13, 944666.</t>
  </si>
  <si>
    <t>https://www.webofscience.com/wos/woscc/full-record/WOS:000843314000001</t>
  </si>
  <si>
    <t>Huang, W., Gu, H., &amp; Yuan, Z. (2022). Identifying biomarkers for prenatal diagnosis of neural tube defects based on “omics”. Clinical Genetics, 101(4), 381-389.</t>
  </si>
  <si>
    <t>https://www.scopus.com/record/display.uri?eid=2-s2.0-85120627246&amp;origin=resultslist&amp;sort=plf-f&amp;src=s&amp;nlo=&amp;nlr=&amp;nls=&amp;citedAuthorId=56271998200&amp;imp=t&amp;sid=103bc0437993bedf765e1b3109b69742&amp;sot=cite&amp;sdt=cl&amp;cluster=scopubyr%2c%222022%22%2ct&amp;sl=0&amp;relpos=2&amp;citeCnt=4&amp;searchTerm=</t>
  </si>
  <si>
    <t xml:space="preserve">Grigore, M., Micu, R., Matasariu, R., Duma, O., Chicea, A. L., Chicea, R. </t>
  </si>
  <si>
    <t xml:space="preserve"> Cantrell syndrome in the first trimester of pregnancy: imagistic findings and literature review. Medical Ultrasonography</t>
  </si>
  <si>
    <t>Inukollu, P. R., Gupta, S., Solipuram, D., &amp; Shyamala, G. (2022). Diagnosis of Pentalogy of Cantrell with Craniorachischisis at 11 weeks on 2 Dimensional Ultrasound-A rare case report. Thai Journal of Obstetrics and Gynaecology, 145-149.</t>
  </si>
  <si>
    <t>https://www.scopus.com/record/display.uri?eid=2-s2.0-85128909853&amp;origin=resultslist&amp;sort=plf-f&amp;src=s&amp;nlo=&amp;nlr=&amp;nls=&amp;citedAuthorId=56271998200&amp;imp=t&amp;sid=103bc0437993bedf765e1b3109b69742&amp;sot=cite&amp;sdt=cl&amp;cluster=scopubyr%2c%222022%22%2ct&amp;sl=0&amp;relpos=3&amp;citeCnt=0&amp;searchTerm=</t>
  </si>
  <si>
    <t xml:space="preserve">RE Petruse, V Grecu, BM Chiliban  (Universitatea "Lucian Blaga" Sibiu) </t>
  </si>
  <si>
    <t>Augmented reality applications in the transition towards the sustainable organization</t>
  </si>
  <si>
    <t>FING 4</t>
  </si>
  <si>
    <t>Ł Szczekala, D Stadnicka, Knowledge Management as a Sustainable Development Supporting Method in Manufacturing Organizations – A Systematic Literature Review,  Advances in Manufacturing Processes, Intelligent Methods and Systems in Production Engineering</t>
  </si>
  <si>
    <t>Zdenka Bulková,
Milan Dedík,
Jozef Gašparík,
Peter V. Kurenkov and
Lumír Pečený, Augmented Reality as a Tool in a Train Set Processing Technology, LOGI – Scientific Journal on Transport and Logistics</t>
  </si>
  <si>
    <t>Vlad Dorin, Coldea Alina Mihaela</t>
  </si>
  <si>
    <t>Study regarding the physical-mechanical properties of knits for garments - pilling performance</t>
  </si>
  <si>
    <r>
      <rPr>
        <sz val="10"/>
        <color rgb="FF000000"/>
        <rFont val="Arial Narrow"/>
      </rPr>
      <t>Atalie, D (Atalie, Desalegn) </t>
    </r>
    <r>
      <rPr>
        <sz val="10"/>
        <color rgb="FF5D33BF"/>
        <rFont val="Arial Narrow"/>
      </rPr>
      <t>[1] </t>
    </r>
    <r>
      <rPr>
        <sz val="10"/>
        <color rgb="FF000000"/>
        <rFont val="Arial Narrow"/>
      </rPr>
      <t>; Ashagre, G (Ashagre, Gashaw) </t>
    </r>
    <r>
      <rPr>
        <sz val="10"/>
        <color rgb="FF5D33BF"/>
        <rFont val="Arial Narrow"/>
      </rPr>
      <t>[1]</t>
    </r>
    <r>
      <rPr>
        <sz val="10"/>
        <color rgb="FF000000"/>
        <rFont val="Arial Narrow"/>
      </rPr>
      <t xml:space="preserve"> - </t>
    </r>
    <r>
      <rPr>
        <i/>
        <sz val="10"/>
        <color rgb="FF000000"/>
        <rFont val="Arial Narrow"/>
      </rPr>
      <t xml:space="preserve">Abrasion, Pilling, and Snagging Properties of Half-bleached Bedsheet Fabrics Made from 100% Cotton Yarns with Various Parameters </t>
    </r>
    <r>
      <rPr>
        <sz val="10"/>
        <color rgb="FF000000"/>
        <rFont val="Arial Narrow"/>
      </rPr>
      <t>- Journal of natural Fibers, Volume19
Issue10
Page3788-3796
DOI10.1080/15440478.2020.1848727
PublishedOCT 3 2022
Document TypeArticle</t>
    </r>
  </si>
  <si>
    <t>https://www.webofscience.com/wos/woscc/full-record/WOS:000596303100001</t>
  </si>
  <si>
    <t>WoS, Scopus, Google scholar</t>
  </si>
  <si>
    <t>Coman Diana, Oancea Simona, Vrînceanu Narcisa (ULBS)</t>
  </si>
  <si>
    <t xml:space="preserve">Biofunctionalization of textile materials by antimicrobial treatments: a critical overview </t>
  </si>
  <si>
    <t>Mijas, G; Josa, M; Cayuela, D; Riba-Moliner, M, Study of Dyeing Process of Hemp/Cotton Fabrics by Using Natural Dyes Obtained from Rubia tinctorum L. and Calendula officialis, POLYMERS, 2022</t>
  </si>
  <si>
    <t>https://www.webofscience.com/wos/woscc/full-record/WOS:000881429000001</t>
  </si>
  <si>
    <t>Mondal, Md. Ibrahim H.; Islam, Md Monirul; Haque, Md Inzamamul; Ahmed, Firoz, Natural, biodegradable, biocompatible and bioresorbable medical textile materials, Medical Textiles from Natural Resources, The Textile Institute Book Series, ELSEVIER, 2022</t>
  </si>
  <si>
    <t>https://www.scopus.com/record/display.uri?eid=2-s2.0-85139278944&amp;origin=resultslist&amp;sort=plf-f&amp;cite=2-s2.0-77953496872&amp;src=s&amp;imp=t&amp;sid=28bd352ca20446f895eca77e543bc3b2&amp;sot=cite&amp;sdt=a&amp;sl=0&amp;relpos=2&amp;citeCnt=0&amp;searchTerm=</t>
  </si>
  <si>
    <t>Scopus/          Ed.internațională de prestigiu</t>
  </si>
  <si>
    <t>Rosie Broadhead, Laure Craeye, Chris Callewaert, Odour Control or Inhibition Using Antimicrobial Finishing, Book Odour in Textiles, CRC Press, Taylor&amp;Francis eBooks, 2022</t>
  </si>
  <si>
    <t>https://www.taylorfrancis.com/chapters/edit/10.1201/9781003141426-6/odour-control-inhibition-using-antimicrobial-finishing-rosie-broadhead-laure-craeye-chris-callewaert</t>
  </si>
  <si>
    <t>Ed.internațională de prestigiu</t>
  </si>
  <si>
    <t>Oancea Simona, Perju Mirabela, Coman Diana, Olosutean Horea (ULBS)</t>
  </si>
  <si>
    <t>Optimization of conventional and ultrasound assisted extraction of Paeonia officinalis
anthocyanins, as natural alternative for a green
technology of cotton dyeing</t>
  </si>
  <si>
    <t xml:space="preserve">Mughilmathi (Mughilmathi, J. Mary Isabella); Sonali, JMI; Kumar, PS ; Archana, KM ; Rajagopal, R ; Gayathri, KV, Application of copper iodide (CuI) and natural dye extracted from Hibiscus rosa-sinensis onto cotton fabric: an integrated approach, APPLIED NANOSCIENCE, 2022 </t>
  </si>
  <si>
    <t>https://www.webofscience.com/wos/woscc/full-record/WOS:000894459000005</t>
  </si>
  <si>
    <t xml:space="preserve">Zhou, X ; Wu, YT; Wang, Y; Zhou, XB ; Chen, XD; Xi, J, An efficient approach for the extraction of anthocyanins from Lycium ruthenicum using semi-continuous liquid phase pulsed electrical discharge system, INNOVATIVE FOOD SCIENCE &amp; EMERGING TECHNOLOGIES, 2022  </t>
  </si>
  <si>
    <t>https://www.webofscience.com/wos/woscc/full-record/WOS:000891810800009</t>
  </si>
  <si>
    <t>Oancea Simona, Stoia Mihaela, Coman Diana (ULBS)</t>
  </si>
  <si>
    <t>Effects of extraction conditions on bioactive anthocyanin content of Vaccinium corymbosum, in the perspective of food applications</t>
  </si>
  <si>
    <t>Azman, E.M., Nor, N.D.M., Charalampopoulos, D., Chatzifragkou, A.,  Effect of acidified water on phenolic profile and antioxidant activity of dried blackcurrant (Ribes nigrum L.) pomace extracts, LWT, 2022</t>
  </si>
  <si>
    <t>https://www.scopus.com/record/display.uri?eid=2-s2.0-85120992618&amp;origin=resultslist&amp;sort=plf-f&amp;cite=2-s2.0-84891707567&amp;src=s&amp;imp=t&amp;sid=8dfaef38d2b3d0daeef51206117d184b&amp;sot=cite&amp;sdt=a&amp;sl=0&amp;relpos=7&amp;citeCnt=3&amp;searchTerm=</t>
  </si>
  <si>
    <t xml:space="preserve">Chandra Singh, M., Probst, Y., Price, W.E., Kelso, C., Relative comparisons of extraction methods and solvent composition for Australian blueberry anthocyanins, Journal of Food Composition and Analysis, 2022 </t>
  </si>
  <si>
    <t>https://www.scopus.com/record/display.uri?eid=2-s2.0-85118503492&amp;origin=resultslist&amp;sort=plf-f&amp;cite=2-s2.0-84891707567&amp;src=s&amp;imp=t&amp;sid=8dfaef38d2b3d0daeef51206117d184b&amp;sot=cite&amp;sdt=a&amp;sl=0&amp;relpos=10&amp;citeCnt=7&amp;searchTerm=</t>
  </si>
  <si>
    <t>Idham, Z., Putra, N.R., Aziz, A.H.A., (...), Mili, N., Yunus, M.A.C., Improvement of extraction and stability of anthocyanins, the natural red pigment from roselle calyces using supercritical carbon dioxide extraction, JOURNAL OF CO2 UTILIZATION, 2022</t>
  </si>
  <si>
    <t>https://www.scopus.com/record/display.uri?eid=2-s2.0-85120860358&amp;origin=resultslist&amp;sort=plf-f&amp;cite=2-s2.0-84891707567&amp;src=s&amp;imp=t&amp;sid=8dfaef38d2b3d0daeef51206117d184b&amp;sot=cite&amp;sdt=a&amp;sl=0&amp;relpos=6&amp;citeCnt=19&amp;searchTerm=</t>
  </si>
  <si>
    <t>Kalogiouri, N.P., Karadimou, C., Avgidou, M.S., (...), Menkissoglu-Spiroudi, U., Koundouras, S., An Optimized HPLC-DAD Methodology for the Determination of Anthocyanins in Grape Skins of Red Greek Winegrape Cultivars (Vitis vinifera L.), MOLECULES, 2022</t>
  </si>
  <si>
    <t>https://www.scopus.com/record/display.uri?eid=2-s2.0-85140894644&amp;origin=resultslist&amp;sort=plf-f&amp;cite=2-s2.0-84891707567&amp;src=s&amp;imp=t&amp;sid=8dfaef38d2b3d0daeef51206117d184b&amp;sot=cite&amp;sdt=a&amp;sl=0&amp;relpos=3&amp;citeCnt=0&amp;searchTerm=</t>
  </si>
  <si>
    <t>Rajakaruna, A., Manful, C.F., Abu-Reidah, I.M., (...), Cheema, M., Thomas, R., Application of solvent pH under pressurized conditions using accelerated solvent extraction and green solvents to extract phytonutrients from wild berries, Food Bioscience, 2022</t>
  </si>
  <si>
    <t>https://www.scopus.com/record/display.uri?eid=2-s2.0-85125630652&amp;origin=resultslist&amp;sort=plf-f&amp;cite=2-s2.0-84891707567&amp;src=s&amp;imp=t&amp;sid=8dfaef38d2b3d0daeef51206117d184b&amp;sot=cite&amp;sdt=a&amp;sl=0&amp;relpos=4&amp;citeCnt=2&amp;searchTerm=</t>
  </si>
  <si>
    <t>Saha, S.K., Chakraborty, R., Deep Eutectic Solvents (DES) as the Extraction Media for Antioxidants from Various Food Sources, Deep Eutectic Solvents: Properties, Applications and Toxicity, 2022</t>
  </si>
  <si>
    <t>https://www.scopus.com/record/display.uri?eid=2-s2.0-85137872636&amp;origin=resultslist&amp;sort=plf-f&amp;cite=2-s2.0-84891707567&amp;src=s&amp;imp=t&amp;sid=8dfaef38d2b3d0daeef51206117d184b&amp;sot=cite&amp;sdt=a&amp;sl=0&amp;relpos=9&amp;citeCnt=0&amp;searchTerm=</t>
  </si>
  <si>
    <t>Sik, B., Ajtony, Z., Lakatos, E., Székelyhidi, R., The effects of extraction conditions on the antioxidant activities, total polyphenol and monomer anthocyanin contents of six edible fruits growing wild in Hungary, HELIYON,2022</t>
  </si>
  <si>
    <t>https://www.scopus.com/record/display.uri?eid=2-s2.0-85144092136&amp;origin=resultslist&amp;sort=plf-f&amp;cite=2-s2.0-84891707567&amp;src=s&amp;imp=t&amp;sid=8dfaef38d2b3d0daeef51206117d184b&amp;sot=cite&amp;sdt=a&amp;sl=0&amp;relpos=2&amp;citeCnt=0&amp;searchTerm=</t>
  </si>
  <si>
    <t xml:space="preserve">Toprakçı Yüksel, İ., Albarri, R., Kurtulbaş, E., Şahin, S., Evaluation of bioactive substances in plum juice by-products, BIOMASS CONVERSION AND BIOREFINERY, 2022
</t>
  </si>
  <si>
    <t>https://www.scopus.com/record/display.uri?eid=2-s2.0-85143628392&amp;origin=resultslist&amp;sort=plf-f&amp;cite=2-s2.0-84891707567&amp;src=s&amp;imp=t&amp;sid=8dfaef38d2b3d0daeef51206117d184b&amp;sot=cite&amp;sdt=a&amp;sl=0&amp;relpos=8&amp;citeCnt=0&amp;searchTerm=</t>
  </si>
  <si>
    <t>Tsikrika, K., Chu, B.-S., Bremner, D.H., Lemos, A., Effect of ultrasonic treatment on enzyme activity and bioactives of strawberry puree, International Journal of Food Science and Technology, 2022</t>
  </si>
  <si>
    <t>https://www.scopus.com/record/display.uri?eid=2-s2.0-85123124375&amp;origin=resultslist&amp;sort=plf-f&amp;cite=2-s2.0-84891707567&amp;src=s&amp;imp=t&amp;sid=8dfaef38d2b3d0daeef51206117d184b&amp;sot=cite&amp;sdt=a&amp;sl=0&amp;relpos=5&amp;citeCnt=0&amp;searchTerm=</t>
  </si>
  <si>
    <t>Orlandin Andrea (University of Padova), Dolcet Paolo (University of Padova), Biondi Barbara (University of Padova), Hilma Geta, Coman Diana (ULBS), Oancea Simona (L.Blaga University of Sibiu), Formaggio Fernando (University of Padova), Peggion Cristina (University of Padova)</t>
  </si>
  <si>
    <t>Covalent graft of lipopeptides and peptide dendrimers to cellulose fibres</t>
  </si>
  <si>
    <t>Khairy, M ; Kamal, R ; Mousa, MA, Anti-microbial and methylene blue dye adsorption properties of cotton fabrics modified with TiO2, Fe, Ag-doped TiO2, and graphene oxide nanomaterials, TEXTILE RESEARCH JOURNAL, 2022</t>
  </si>
  <si>
    <t>https://www.webofscience.com/wos/woscc/full-record/WOS:000738346200001</t>
  </si>
  <si>
    <t>Orlandin Andrea (University of Padova), Dolcet Paolo (University of Padova), Biondi Barbara (University of Padova), Hilma Geta, Coman Diana (ULBS), Oancea Simona (ULBS), Formaggio Fernando (University of Padova), Peggion Cristina (University of Padova)</t>
  </si>
  <si>
    <t>Freitas, ED ; Rataglioli, RA ; Oshodi, J; Beppu, MM,,Antimicrobial peptides and their potential application in antiviral coating agents, COLLOIDS AND SURFACES B-BIOINTERFACES, 2022</t>
  </si>
  <si>
    <t>https://www.webofscience.com/wos/woscc/full-record/WOS:000831646300002</t>
  </si>
  <si>
    <t>Todorov, P; Georgieva, S; Staneva, D; Peneva, P; Grozdanov, P; Nikolova, I; Vasileva-Tonkova, E; Grabchev, I,  Study of Novel Peptides for Antimicrobial Protection in Solution and on Cotton Fabric, MOLECULES, 2022</t>
  </si>
  <si>
    <t>https://www.webofscience.com/wos/woscc/full-record/WOS:000839687100001</t>
  </si>
  <si>
    <t>Ouerfelli Noureddine (University of Tunis El Manar,Tunisia), Vrînceanu Narcisa (ULBS), Coman Diana (ULBS), Cioca Adriana Lavinia (CMI)</t>
  </si>
  <si>
    <t>Lee, TH; Do, B; Dantzinger, L ; Holmes, J; Chyba, M; Hankins, S; Mersereau, E; Hara, K; Fan, VY, Mitigation Planning and Policies Informed by COVID-19 Modeling: A Framework and Case Study of the State of Hawaii, INTERNATIONAL JOURNAL OF ENVIRONMENTAL RESEARCH AND PUBLIC HEALTH, 2022</t>
  </si>
  <si>
    <t>https://www.webofscience.com/wos/woscc/full-record/WOS:000803213900001</t>
  </si>
  <si>
    <t>Tanasa Diana (A.I.Cuza University of Iasi),  Vrinceanu Narcisa  (L.Blaga University of Sibiu),  Nistor Alexandra,  Hristodor Claudia Mihaela,  Popovici Eveline, Bistricianu Ionut Lucian,  Brinza Florin, Chicet Daniela-Lucia, Coman Diana  (L.Blaga University of Sibiu), Pui Aurel, Grigoriu Ana Maria, Broasca Gianina</t>
  </si>
  <si>
    <t>Zinc oxide-linen fibrous composites: morphological, structural, chemical and humidity adsorptive attributes</t>
  </si>
  <si>
    <t xml:space="preserve">Kamal, M (Kamal, Mustafa); Sulaiman, M (Sulaiman, Muhammad); Alshammari, FS (Alshammari, Fahad Sameer),Quantitative features analysis of a model for separation of dissolved substances from a fluid flow by using a hybrid heuristic,EUROPEAN PHYSICAL JOURNAL PLUS, 2022 </t>
  </si>
  <si>
    <t>https://www.webofscience.com/wos/woscc/full-record/WOS:000854852200005</t>
  </si>
  <si>
    <t xml:space="preserve">Raha, S;Ahmaruzzaman, M,  ZnO nanostructured materials and their potential applications: progress, challenges andperspectives, NANOSCALE ADVANCES, 2022   </t>
  </si>
  <si>
    <t>https://www.webofscience.com/wos/woscc/full-record/WOS:000774058600001</t>
  </si>
  <si>
    <t>Tanasa Diana (Al.I.Cuza Univ.Iasi),  Vrinceanu Narcisa  (ULBS),  Nistor Alexandra,  Hristodor Claudia Mihaela (AI.I.Cuza Univ Iasi),  Popovici Eveline (AI.I.Cuza Univ Iasi), Bistricianu Ionut Lucian (Gh. Asachi Tech Univ, Iasi),  Brinza Florin (Al.I.Cuza Univ.Iasi), Chicet Daniela-Lucia  (Gh. Asachi Tech Univ, Iasi), Coman Diana  (ULBS), Pui Aurel (Gh.Asachi Tech Univ, Iasi), Grigoriu Ana Maria (Gh. Asachi Tech Univ, Iasi), Broasca Gianina (Gh. Asachi Tech Univ. Iasi)</t>
  </si>
  <si>
    <t xml:space="preserve">Ayoub, I; Kumar, V ; Abolhassani, R ; Sehgal, R; Sharma, V; Sehgal ; Swart, HC; Mishra, YK , Advances in ZnO: Manipulation of defects for enhancing their technological potentials,NANOTECHNOLOGY REVIEWS, 2022 </t>
  </si>
  <si>
    <t>https://www.webofscience.com/wos/woscc/full-record/WOS:000750830900001</t>
  </si>
  <si>
    <t>Vrinceanu Narcisa (ULBS), Iorgoaiea Guignard Mirela, Campagne Christine (University of Lille France), Giraud Stephane (ENSAIT, Lab Genie Mat Text Gemtex, Roubaix, France), Prepelita Raluca Ioana,  Coman Diana (ULBS), Petrescu Valentin Dan (ULBS), Dumitrascu Dan Dumitru (ULBS),  Ouerfelli Noureddine (University of Tunis El Manar,Tunisia), Suchea Mirela Petruta (IMT- Bucharest)</t>
  </si>
  <si>
    <t>Correlation between surface engineering and deformation response of some natural polymer fibrous systems</t>
  </si>
  <si>
    <t>Elaissi, A., Ghith, A., Alibi, H., Analysis of silica and silicon carbide abrasives characteristics on denim wear, POLYMER COMPOSITES, 2022</t>
  </si>
  <si>
    <t>https://www.scopus.com/record/display.uri?eid=2-s2.0-85137598351&amp;origin=resultslist&amp;sort=plf-f&amp;cite=2-s2.0-85047917917&amp;src=s&amp;imp=t&amp;sid=b7928cb135977b12220260d9f97b80c5&amp;sot=cite&amp;sdt=a&amp;sl=0&amp;relpos=0&amp;citeCnt=0&amp;searchTerm=</t>
  </si>
  <si>
    <t>Vrinceanu Narcisa (ULBS), Iorgoaiea Guignard Mirela, Campagne Christine (University of Lille France), Giraud Stephane (ENSAIT, Lab Genie Mat Text Gemtex, Roubaix, France), Prepelita Raluca Ioana,  Coman Diana (ULBS), Petrescu Valentin Dan (ULBS), Dumitrascu Dan Dumitru (ULBS),  Ouerfelli Noureddine (University of Tunis El Manar,Tunisia), Suchea Mirela Petruta (IMT-Bucharest)</t>
  </si>
  <si>
    <t>Elaissi, A., Ghith, A., Alibi, H., Legrand, X., Study of the mechanical, chemical, and surface behaviors of non-woven abrasive made from waste chemically modified tow fibers, JOURNAL OF INDUSTRIAL TEXTILES, 2022</t>
  </si>
  <si>
    <t>https://www.webofscience.com/wos/woscc/full-record/WOS:000922865700070</t>
  </si>
  <si>
    <t>Vrinceanu Narcisa (ULBS), Petre Alina Brîndușa (Al.I.Cuza Univ.Iasi), Hristodor Claudia Mihaela,  Popovici Eveline, Pui Aurel (Al.I.Cuza Univ.Iasi),  Coman Diana (ULBS), Tanasa Diana (Al.I.Cuza Univ.Iasi)</t>
  </si>
  <si>
    <t>Zinc Oxide—Linen Fibrous Composites: Morphological, Structural, Chemical, Humidity Adsorptive and Thermal Barrier Attributes</t>
  </si>
  <si>
    <t>Raí Felipe Pereira Junio, Lucas de Mendonça Neuba, Andressa Teixeira Souza, Artur Camposo Pereira, Lucio Fabio Cassiano Nascimento, Sergio Neves Monteiro, Thermochemical and structural characterization of promising carnauba novel leaf fiber (Copernicia prunifera), JOURNAL OF MATERIALS RESEARCH AND TECHNOLOGY, 2022</t>
  </si>
  <si>
    <t>https://www.webofscience.com/wos/woscc/full-record/WOS:000802892800010</t>
  </si>
  <si>
    <t xml:space="preserve">Xiao Zhu, Shasha Feng, Yuanyuan Rao, Shengui Ju, Zhaoxiang Zhong, Weihong Xing, A novel semi-dry method for rapidly synthesis ZnO nanorods on SiO2@PTFE nanofiber membrane for efficient air cleaning, JOURNAL OF MEMBRANE SCIENCE, 2022 </t>
  </si>
  <si>
    <t>https://www.webofscience.com/wos/woscc/full-record/WOS:000788110000002</t>
  </si>
  <si>
    <t>Vrînceanu Narcisa, Coman Diana (ULBS)</t>
  </si>
  <si>
    <t xml:space="preserve">UV protection: Historical perspectives and state-of-the-art achievements </t>
  </si>
  <si>
    <t xml:space="preserve">Olesik, Piotr, Stępień, Krzysztof; Peryt, Aleksander;Siejka, Piotr;Waluś, Szymon;Witczak, Karolina;Wójcik, Weronika;Wolanin,Anna, Selected properties of polypropylene-BaSO4 composites after UV exposure, COMPOSITES THEORY AND PRACTICE, 2022  </t>
  </si>
  <si>
    <t>https://www.scopus.com/record/display.uri?eid=2-s2.0-85129188560&amp;origin=resultslist&amp;sort=plf-f&amp;cite=2-s2.0-85129186345&amp;src=s&amp;imp=t&amp;sid=d8d4bf25655da7775027611c010ff2a3&amp;sot=cite&amp;sdt=a&amp;sl=0&amp;relpos=0&amp;citeCnt=0&amp;searchTerm=</t>
  </si>
  <si>
    <t>WoS, WOS:000799280400001, 
Scopus</t>
  </si>
  <si>
    <t>WoS, WOS:000881186700001, 
Scopus</t>
  </si>
  <si>
    <t>Kumar, A., Banga, V.K., Kumar, D., Yingthawornsuk, T., Modeling and Inverse Kinematics of Kuka Manipulator, Proceedings - 16th International Conference on Signal-Image Technology and Internet-Based Systems, SITIS 2022
pp. 639-645</t>
  </si>
  <si>
    <t>https://www.scopus.com/record/display.uri?eid=2-s2.0-85154035307&amp;origin=resultslist&amp;sort=plf-f&amp;src=s&amp;citedAuthorId=42861335100&amp;imp=t&amp;sid=3635e2d1f824b7fbb4db4050686eafbd&amp;sot=cite&amp;sdt=cite&amp;cluster=scopubyr%2c%222022%22%2ct&amp;sl=0&amp;relpos=4&amp;citeCnt=0&amp;searchTerm=</t>
  </si>
  <si>
    <t>Mihai Crenganiș, Alexandru Bârsan, Sever-Gabriel Racz, Monica Daniela Iordache</t>
  </si>
  <si>
    <t>Single point incremental forming using KUKA KR6-2 industrial robot-a dynamic approach</t>
  </si>
  <si>
    <t>Stejskal, T.; Svetlík, J.; Ondočko, Š. Mapping Robot Singularities through the Monte Carlo Method. Appl. Sci. 2022, 12, 8330. https://doi.org/10.3390/app12168330</t>
  </si>
  <si>
    <t>https://www.mdpi.com/2076-3417/12/16/8330</t>
  </si>
  <si>
    <t>16,66</t>
  </si>
  <si>
    <t>Mueller, C., Mezhuyev, V. (2022). AI Models and Methods in Automotive Manufacturing: A Systematic Literature Review. In: Al-Emran, M., Shaalan, K. (eds) Recent Innovations in Artificial Intelligence and Smart Applications. Studies in Computational Intelligence, vol 1061, pp 1-25. Springer, Cham. https://doi.org/10.1007/978-3-031-14748-7_1</t>
  </si>
  <si>
    <t>A Bucur (ULBS), G Dobrotă (Constantin Brâncu¸si University of Târgu-Jiu), O Dumitraşcu (ULBS)</t>
  </si>
  <si>
    <t>Implications of fiscal pressure on the sustainability of the equilibrium and performance of companies. Evidences in the rubber and plastic industry from Romania</t>
  </si>
  <si>
    <t xml:space="preserve">Ümit Şengel, Merve Işkın, Mustafa Çevrimkaya, Gökhan Genç, Fiscal and monetary policies supporting the tourism industry during COVID-19, Journal of Hospitality and Tourism Insights, Vol. ahead-of-print No. ahead-of-print. </t>
  </si>
  <si>
    <t>https://doi.org/10.1108/JHTI-08-2021-0209</t>
  </si>
  <si>
    <t>A Bucur (ULBS), G Dobrotă (Constantin Brâncusi University of Târgu-Jiu), O Dumitraşcu (ULBS)</t>
  </si>
  <si>
    <r>
      <rPr>
        <sz val="10"/>
        <color theme="1"/>
        <rFont val="Arial Narrow"/>
      </rPr>
      <t>Herteliu, C</t>
    </r>
    <r>
      <rPr>
        <sz val="8"/>
        <color rgb="FF000000"/>
        <rFont val="Arial Narrow"/>
      </rPr>
      <t>; </t>
    </r>
    <r>
      <rPr>
        <sz val="11"/>
        <color theme="1"/>
        <rFont val="Arial Narrow"/>
      </rPr>
      <t>Jianu, I</t>
    </r>
    <r>
      <rPr>
        <sz val="8"/>
        <color theme="1"/>
        <rFont val="Arial Narrow"/>
      </rPr>
      <t>; (...); </t>
    </r>
    <r>
      <rPr>
        <sz val="11"/>
        <color theme="1"/>
        <rFont val="Arial Narrow"/>
      </rPr>
      <t>Luchian, I, Testing Benford’s Laws (non)conformity within disclosed companies’ financial statements among hospitality industry in Romania, Physica A: Statistical Mechanics and its Applications 582(3):126221</t>
    </r>
  </si>
  <si>
    <t>10.1016/j.physa.2021.126221</t>
  </si>
  <si>
    <t xml:space="preserve">Mohamad, AHH and Zainuddin, MRKV, Belt and Road Initiatives and the Competitiveness of Natural Rubber Exports: Evidence from the BRI Region, Journal of Asian Finance Economics and Business 8(11):145-155
</t>
  </si>
  <si>
    <t>DOI: 10.13106/jafeb.2021.vol8.no11.0145</t>
  </si>
  <si>
    <t>O Dumitrascu (ULBS), CM Hila (ULBS)</t>
  </si>
  <si>
    <t>Actual state of knowledge in the field of Supply Chain Management</t>
  </si>
  <si>
    <t>Radu Rugiubei and
Florina Pînzaru,The digitalization of supply chain management in Romanian companies: an introductive research, Proceedings of the International Conference on Business Excellence, Volume 16 (2022) - Issue 1 (August 2022)</t>
  </si>
  <si>
    <t>https://sciendo.com/article/10.2478/picbe-2022-0118</t>
  </si>
  <si>
    <t>O Dumitrascu (ULBS), R Ciudin (ULBS)</t>
  </si>
  <si>
    <t>Modeling factors with influence on sustainable university management</t>
  </si>
  <si>
    <r>
      <rPr>
        <sz val="10"/>
        <color theme="1"/>
        <rFont val="Arial Narrow"/>
      </rPr>
      <t>Yadav, R., Shiva, A. and Narula, S. (2022), "Exploring private university attractiveness from students’ perspective to ensure sustainable institutes: an empirical investigation from Indian perspective", </t>
    </r>
    <r>
      <rPr>
        <i/>
        <sz val="11"/>
        <color rgb="FF007377"/>
        <rFont val="Open Sans"/>
      </rPr>
      <t>Asia-Pacific Journal of Business Administration</t>
    </r>
  </si>
  <si>
    <t>https://doi.org/10.1108/APJBA-04-2021-0165</t>
  </si>
  <si>
    <t>Goyal, A; Gupta, S; Chauhan, AK, Prioritizing the factors determining the quality in higher educational institutions—An application of fuzzy analytic hierarchy process, Journal of Public Affairs, Volume 22,
Issue 4</t>
  </si>
  <si>
    <t>https://doi.org/10.1002/pa.2647</t>
  </si>
  <si>
    <t>CM HILA (ULBS), O DUMITRAŞCU (ULBS)</t>
  </si>
  <si>
    <t>Outsourcing within a supply chain management framework</t>
  </si>
  <si>
    <t>Mohammed Alkahtani, Mathematical Modelling of Inventory and Process Outsourcing for Optimization of Supply Chain Management, Mathematics 2022, 10(7), 1142;</t>
  </si>
  <si>
    <t xml:space="preserve"> https://doi.org/10.3390/math10071142</t>
  </si>
  <si>
    <t>Zsolt Tibor Koszty,  Zoltan Kovacs, Mathematical Methods and Operation Research in Logistics,Project Planning,and Scheduling, Mathematics, Volume11
Issue1</t>
  </si>
  <si>
    <t>DOI: 10.3390/math11010232</t>
  </si>
  <si>
    <t>Oana Dumitrascu, Manuel Dumitrascu, Dan Dobrota</t>
  </si>
  <si>
    <t>Performance Evaluation for a Sustainable Supply Chain Management System in the Automotive Industry Using Artificial Intelligence</t>
  </si>
  <si>
    <t>Md Maruf Hossain Shuvo, Edge AI: Leveraging the Full Potential of Deep Learning, Recent Innovations in Artificial Intelligence and Smart Applications</t>
  </si>
  <si>
    <t>10.1007/978-3-031-14748-7_2</t>
  </si>
  <si>
    <t xml:space="preserve">Scopus </t>
  </si>
  <si>
    <t>Mostafa Al-Emran, Khaled Shaalan, AI Models and Methods in Automotive Manufacturing: A Systematic Literature Review, Recent Innovations in Artificial Intelligence and Smart Applications</t>
  </si>
  <si>
    <t>10.1007/978-3-031-14748-7_1</t>
  </si>
  <si>
    <t>Emanoil Muscalu, Oana Dumitrascu</t>
  </si>
  <si>
    <t>Determination of Students’ Satisfaction Regarding Extracurricular Activities Conducted in The University. Comparative Study Romania-Germany</t>
  </si>
  <si>
    <t>Garimidi Siva Sree, P. Ramlal, Impact of Industry-Academia Collaboration on Student Satisfaction in Vocational Education and Training, Research Anthology on Vocational Education and Preparing Future Workers</t>
  </si>
  <si>
    <t>10.4018/978-1-6684-5696-5.ch031</t>
  </si>
  <si>
    <t>Study upon the kinematic simulation of the incremental forming carried-on using a serial industrial robot</t>
  </si>
  <si>
    <r>
      <rPr>
        <sz val="10"/>
        <color theme="1"/>
        <rFont val="Arial Narrow"/>
      </rPr>
      <t>E. Viana, V. H. Pinto, J. Lima and G. Gonçalves, "Mecanum Wheel Robotic Platform for Educational Purposes: A Cost-Effective Approach," </t>
    </r>
    <r>
      <rPr>
        <i/>
        <sz val="10"/>
        <color theme="1"/>
        <rFont val="Arial Narrow"/>
      </rPr>
      <t>2022 10th International Conference on Control, Mechatronics and Automation (ICCMA)</t>
    </r>
    <r>
      <rPr>
        <sz val="10"/>
        <color theme="1"/>
        <rFont val="Arial Narrow"/>
      </rPr>
      <t>, Belval, Luxembourg, 2022, pp. 71-75, doi: 10.1109/ICCMA56665.2022.10011588.</t>
    </r>
  </si>
  <si>
    <t>https://ieeexplore.ieee.org/abstract/document/10011588</t>
  </si>
  <si>
    <t>Girjob C, Racz G</t>
  </si>
  <si>
    <t xml:space="preserve">Study of the formability of laminated lightweight metallic materials. </t>
  </si>
  <si>
    <t xml:space="preserve">Liu, ZB, Cheng, K, Peng, KR,Exploring the deformation potential of composite materials processed by incremental sheet forming: a review, International Journal of Advanced Manufacturing Technology, Volume118, Issue7-8, Page 2099-2137, DOI10.1007/s00170-021-08081-4, PublishedFEB 2022
</t>
  </si>
  <si>
    <t>https://link.springer.com/article/10.1007/s00170-021-08081-4</t>
  </si>
  <si>
    <t>Mihai Crenganiş; Radu E. Breaz; Sever G. Racz; Cristina M. Biriş; Claudia E. Gîrjob; Adrian I. Maroşan( Departamentul de Mașini și Echipamente Industriale, Facultatea de Inginerie, Universitatea Lucian Blaga din Sibiu, Victoriei 10, 550024 Sibiu, România)</t>
  </si>
  <si>
    <t xml:space="preserve">Ricardo Pizá , Rafael Carbonell , Vicente Casanova , Ángel Cuenca * and Julián J. Salt Llobrega , Nonuniform Dual-Rate Extended Kalman-Filter-Based Sensor
Fusion for Path-Following Control of a Holonomic Mobile
Robot with Four Mecanum Wheels,  Appl. Sci. 2022, 12(7), 3560; https://doi.org/10.3390/app12073560 </t>
  </si>
  <si>
    <t>https://www.mdpi.com/2076-3417/12/7/3560</t>
  </si>
  <si>
    <t>G P Rusu, A Bârsan1, M O Popp, A. Maroșan(Departamentul de Mașini și Echipamente Industriale, Facultatea de Inginerie, Universitatea Lucian Blaga din Sibiu, Victoriei 10, 550024 Sibiu, România)</t>
  </si>
  <si>
    <t>BEHERA, A.K. (Univ. Leeds), DE SOUSA, R.A. (Univ. Aveiro), INGARAO, G. (Univ. Palermo), OLEKSIK, V. (ULBS)</t>
  </si>
  <si>
    <t>Single point incremental forming: An assessment of the progress and technology trends from 2005 to 2015, Journal of Manufacturing Processes, Volume: 27  Pages: 37-62, June 2017, DOI: 10.1016/j.jmapro.2017.03.014, Accession Number: WOS:000404313900005, ISSN: 1526-6125.</t>
  </si>
  <si>
    <t>BARSAN, A., RACZ, S. G., BREAZ, R., &amp; CRENGANIS, M. (2022). Dynamic analysis of a robot-based incremental sheet forming using Matlab-Simulink Simscape (TM) environment. [Materials today-proceedings]. 37th Danubia Adria Symposium on Advances in Experimental Mechanics (DAS), JKU, Linz, AUSTRIA, Materials Today: Proceedings, 62, 2538-2542. https://doi.org/10.1016/j.matpr.2022.03.134, WOS:000830020400002.</t>
  </si>
  <si>
    <r>
      <rPr>
        <sz val="10"/>
        <color theme="1"/>
        <rFont val="Arial Narrow"/>
      </rPr>
      <t xml:space="preserve">BETAIEB, E., DUCHENE, L., &amp; HABRAKEN, A. M. (2022). Calibration of kinematic hardening parameters on sheet metal with a Computer Numerical Control machine. </t>
    </r>
    <r>
      <rPr>
        <i/>
        <sz val="10"/>
        <color theme="1"/>
        <rFont val="Arial Narrow"/>
      </rPr>
      <t>International Journal of Material Forming</t>
    </r>
    <r>
      <rPr>
        <sz val="10"/>
        <color theme="1"/>
        <rFont val="Arial Narrow"/>
      </rPr>
      <t>,</t>
    </r>
    <r>
      <rPr>
        <i/>
        <sz val="10"/>
        <color theme="1"/>
        <rFont val="Arial Narrow"/>
      </rPr>
      <t xml:space="preserve"> 15</t>
    </r>
    <r>
      <rPr>
        <sz val="10"/>
        <color theme="1"/>
        <rFont val="Arial Narrow"/>
      </rPr>
      <t>(5), Article 69. https://doi.org/10.1007/s12289-022-01714-3 WOS:000842181300001.</t>
    </r>
  </si>
  <si>
    <t>https://link.springer.com/article/10.1007/s12289-022-01714-3</t>
  </si>
  <si>
    <r>
      <rPr>
        <sz val="10"/>
        <color theme="1"/>
        <rFont val="Arial Narrow"/>
      </rPr>
      <t xml:space="preserve">BHARTI, S., GUPTA, A., KRISHNASWAMY, H., PANIGRAHI, S. K., &amp; LEE, M. G. (2022). Evaluation of uncoupled ductile damage models for fracture prediction in incremental sheet metal forming. </t>
    </r>
    <r>
      <rPr>
        <i/>
        <sz val="10"/>
        <color theme="1"/>
        <rFont val="Arial Narrow"/>
      </rPr>
      <t>CIRP Journal of Manufacturing Science and Technology</t>
    </r>
    <r>
      <rPr>
        <sz val="10"/>
        <color theme="1"/>
        <rFont val="Arial Narrow"/>
      </rPr>
      <t>,</t>
    </r>
    <r>
      <rPr>
        <i/>
        <sz val="10"/>
        <color theme="1"/>
        <rFont val="Arial Narrow"/>
      </rPr>
      <t xml:space="preserve"> 37</t>
    </r>
    <r>
      <rPr>
        <sz val="10"/>
        <color theme="1"/>
        <rFont val="Arial Narrow"/>
      </rPr>
      <t>, 499-517. https://doi.org/10.1016/j.cirpj.2022.02.023 WOS:000792117800001.</t>
    </r>
  </si>
  <si>
    <t>https://www.sciencedirect.com/science/article/pii/S175558172200044X?casa_token=1nQBpn4SJqAAAAAA:ANdmn7sFx_sYNH-gFh5m968muI286Rap4-IM6z0NrrOT8W-0pzoTEX9VfRNu8sM5SzOzYUo</t>
  </si>
  <si>
    <r>
      <rPr>
        <sz val="10"/>
        <color theme="1"/>
        <rFont val="Arial Narrow"/>
      </rPr>
      <t xml:space="preserve">CHANG, Z. D., HUANG, W. S., &amp; CHEN, J. (2022). Investigations on a novel double-surface single point incremental forming process for sharp-corner features. </t>
    </r>
    <r>
      <rPr>
        <i/>
        <sz val="10"/>
        <color theme="1"/>
        <rFont val="Arial Narrow"/>
      </rPr>
      <t>International Journal of Advanced Manufacturing Technology</t>
    </r>
    <r>
      <rPr>
        <sz val="10"/>
        <color theme="1"/>
        <rFont val="Arial Narrow"/>
      </rPr>
      <t>,</t>
    </r>
    <r>
      <rPr>
        <i/>
        <sz val="10"/>
        <color theme="1"/>
        <rFont val="Arial Narrow"/>
      </rPr>
      <t xml:space="preserve"> 120</t>
    </r>
    <r>
      <rPr>
        <sz val="10"/>
        <color theme="1"/>
        <rFont val="Arial Narrow"/>
      </rPr>
      <t>(9-10), 6909-6920. https://doi.org/10.1007/s00170-022-09217-w WOS:000784838200004.</t>
    </r>
  </si>
  <si>
    <t>https://link.springer.com/article/10.1007/s00170-022-09217-w</t>
  </si>
  <si>
    <r>
      <rPr>
        <sz val="10"/>
        <color theme="1"/>
        <rFont val="Arial Narrow"/>
      </rPr>
      <t xml:space="preserve">DA SILVA, G. C., DE SOUZA, L. M. R., &amp; PATRICIO, L. F. S. (2022). Evaluation of surface roughness in the incremental forming process with variation in the degrees of freedom of the contact tool. </t>
    </r>
    <r>
      <rPr>
        <i/>
        <sz val="10"/>
        <color theme="1"/>
        <rFont val="Arial Narrow"/>
      </rPr>
      <t>Journal of the Brazilian Society of Mechanical Sciences and Engineering</t>
    </r>
    <r>
      <rPr>
        <sz val="10"/>
        <color theme="1"/>
        <rFont val="Arial Narrow"/>
      </rPr>
      <t>,</t>
    </r>
    <r>
      <rPr>
        <i/>
        <sz val="10"/>
        <color theme="1"/>
        <rFont val="Arial Narrow"/>
      </rPr>
      <t xml:space="preserve"> 44</t>
    </r>
    <r>
      <rPr>
        <sz val="10"/>
        <color theme="1"/>
        <rFont val="Arial Narrow"/>
      </rPr>
      <t>(5), Article 168. https://doi.org/10.1007/s40430-022-03467-1 WOS:000778003400003.</t>
    </r>
  </si>
  <si>
    <t>https://link.springer.com/article/10.1007/s40430-022-03467-1</t>
  </si>
  <si>
    <r>
      <rPr>
        <sz val="10"/>
        <color theme="1"/>
        <rFont val="Arial Narrow"/>
      </rPr>
      <t xml:space="preserve">EMAMI, R., MIRNIA, M. J., ELYASI, M., &amp; ZOLFAGHARI, A. An experimental investigation into single point incremental forming of glass fiber-reinforced polyamide sheet with different fiber orientations and volume fractions at elevated temperatures. </t>
    </r>
    <r>
      <rPr>
        <i/>
        <sz val="10"/>
        <color theme="1"/>
        <rFont val="Arial Narrow"/>
      </rPr>
      <t>Journal of Thermoplastic Composite Materials</t>
    </r>
    <r>
      <rPr>
        <sz val="10"/>
        <color theme="1"/>
        <rFont val="Arial Narrow"/>
      </rPr>
      <t>, Article 08927057221074266. https://doi.org/10.1177/08927057221074266 WOS:000764248200001.</t>
    </r>
  </si>
  <si>
    <t>https://journals.sagepub.com/doi/abs/10.1177/08927057221074266</t>
  </si>
  <si>
    <r>
      <rPr>
        <sz val="10"/>
        <color theme="1"/>
        <rFont val="Arial Narrow"/>
      </rPr>
      <t xml:space="preserve">ESSA, A., ABEYRATHNA, B., ROLFE, B., &amp; WEISS, M. (2022). Prototyping of straight section components using incremental shape rolling. </t>
    </r>
    <r>
      <rPr>
        <i/>
        <sz val="10"/>
        <color theme="1"/>
        <rFont val="Arial Narrow"/>
      </rPr>
      <t>International Journal of Advanced Manufacturing Technology</t>
    </r>
    <r>
      <rPr>
        <sz val="10"/>
        <color theme="1"/>
        <rFont val="Arial Narrow"/>
      </rPr>
      <t>,</t>
    </r>
    <r>
      <rPr>
        <i/>
        <sz val="10"/>
        <color theme="1"/>
        <rFont val="Arial Narrow"/>
      </rPr>
      <t xml:space="preserve"> 121</t>
    </r>
    <r>
      <rPr>
        <sz val="10"/>
        <color theme="1"/>
        <rFont val="Arial Narrow"/>
      </rPr>
      <t>(5-6), 3883-3901. https://doi.org/10.1007/s00170-022-09600-7 WOS:000817858500003.</t>
    </r>
  </si>
  <si>
    <t>https://link.springer.com/article/10.1007/s00170-022-09600-7</t>
  </si>
  <si>
    <r>
      <rPr>
        <sz val="10"/>
        <color theme="1"/>
        <rFont val="Arial Narrow"/>
      </rPr>
      <t>ESSA, A., ABEYRATHNA, B., ROLFE, B., &amp; WEISS, M. (2022, Jun 06-10). A novel incremental sheet metal forming process for long and open section profiles.</t>
    </r>
    <r>
      <rPr>
        <i/>
        <sz val="10"/>
        <color theme="1"/>
        <rFont val="Arial Narrow"/>
      </rPr>
      <t>IOP Conference Series-Materials Science and Engineering</t>
    </r>
    <r>
      <rPr>
        <sz val="10"/>
        <color theme="1"/>
        <rFont val="Arial Narrow"/>
      </rPr>
      <t xml:space="preserve"> [International deep-drawing research group conference (iddrg 2022)]. 41st Annual Conference of the International-Deep-Drawing-Research-Group (IDDRG), Lorient, FRANCE, WOS:000894042400080.</t>
    </r>
  </si>
  <si>
    <t>https://iopscience.iop.org/article/10.1088/1757-899X/1238/1/012080/meta</t>
  </si>
  <si>
    <r>
      <rPr>
        <sz val="10"/>
        <color theme="1"/>
        <rFont val="Arial Narrow"/>
      </rPr>
      <t xml:space="preserve">FORMISANO, A., ASTARITA, A., BOCCARUSSO, L., GARLASCHE, M., &amp; DURANTE, M. (2022). Formability and surface quality of non-conventional material sheets for the manufacture of highly customized components. </t>
    </r>
    <r>
      <rPr>
        <i/>
        <sz val="10"/>
        <color theme="1"/>
        <rFont val="Arial Narrow"/>
      </rPr>
      <t>International Journal of Material Forming</t>
    </r>
    <r>
      <rPr>
        <sz val="10"/>
        <color theme="1"/>
        <rFont val="Arial Narrow"/>
      </rPr>
      <t>,</t>
    </r>
    <r>
      <rPr>
        <i/>
        <sz val="10"/>
        <color theme="1"/>
        <rFont val="Arial Narrow"/>
      </rPr>
      <t xml:space="preserve"> 15</t>
    </r>
    <r>
      <rPr>
        <sz val="10"/>
        <color theme="1"/>
        <rFont val="Arial Narrow"/>
      </rPr>
      <t>(2), Article 17. https://doi.org/10.1007/s12289-022-01663-x WOS:000762738500001.</t>
    </r>
  </si>
  <si>
    <t>https://link.springer.com/article/10.1007/s12289-022-01663-x</t>
  </si>
  <si>
    <r>
      <rPr>
        <sz val="10"/>
        <color theme="1"/>
        <rFont val="Arial Narrow"/>
      </rPr>
      <t xml:space="preserve">HAN, K., LI, X. Q., LI, Y. L., XU, P., LI, Y., LI, Q., &amp; LI, D. S. (2022). Formation mechanism and modeling of surface waviness in incremental sheet forming. </t>
    </r>
    <r>
      <rPr>
        <i/>
        <sz val="10"/>
        <color theme="1"/>
        <rFont val="Arial Narrow"/>
      </rPr>
      <t>Frontiers of Mechanical Engineering</t>
    </r>
    <r>
      <rPr>
        <sz val="10"/>
        <color theme="1"/>
        <rFont val="Arial Narrow"/>
      </rPr>
      <t>,</t>
    </r>
    <r>
      <rPr>
        <i/>
        <sz val="10"/>
        <color theme="1"/>
        <rFont val="Arial Narrow"/>
      </rPr>
      <t xml:space="preserve"> 17</t>
    </r>
    <r>
      <rPr>
        <sz val="10"/>
        <color theme="1"/>
        <rFont val="Arial Narrow"/>
      </rPr>
      <t>(2), Article 23. https://doi.org/10.1007/s11465-022-0679-1 WOS:000828100100001.</t>
    </r>
  </si>
  <si>
    <t>https://link.springer.com/article/10.1007/s11465-022-0679-1</t>
  </si>
  <si>
    <r>
      <rPr>
        <sz val="10"/>
        <color theme="1"/>
        <rFont val="Arial Narrow"/>
      </rPr>
      <t xml:space="preserve">HASSAN, A. A., KUCUKTURK, G., YAZGIN, H. V., GURUN, H., &amp; KAYA, D. (2022). Selection of Constitutive Material Model for the Finite Element Simulation of Pressure-Assisted Single-Point Incremental Forming. </t>
    </r>
    <r>
      <rPr>
        <i/>
        <sz val="10"/>
        <color theme="1"/>
        <rFont val="Arial Narrow"/>
      </rPr>
      <t>Machines</t>
    </r>
    <r>
      <rPr>
        <sz val="10"/>
        <color theme="1"/>
        <rFont val="Arial Narrow"/>
      </rPr>
      <t>,</t>
    </r>
    <r>
      <rPr>
        <i/>
        <sz val="10"/>
        <color theme="1"/>
        <rFont val="Arial Narrow"/>
      </rPr>
      <t xml:space="preserve"> 10</t>
    </r>
    <r>
      <rPr>
        <sz val="10"/>
        <color theme="1"/>
        <rFont val="Arial Narrow"/>
      </rPr>
      <t>(10), Article 941. https://doi.org/10.3390/machines10100941 WOS:000873374300001.</t>
    </r>
  </si>
  <si>
    <t>https://www.mdpi.com/2075-1702/10/10/941</t>
  </si>
  <si>
    <r>
      <rPr>
        <sz val="10"/>
        <color theme="1"/>
        <rFont val="Arial Narrow"/>
      </rPr>
      <t xml:space="preserve">JOHRA, M., COURTEILLE, E., DEBLAISE, D., &amp; GUEGAN, S. (2022). Elasto-Geometrical Model-Based Control of Industrial Manipulators Using Force Feedback: Application to Incremental Sheet Forming. </t>
    </r>
    <r>
      <rPr>
        <i/>
        <sz val="10"/>
        <color theme="1"/>
        <rFont val="Arial Narrow"/>
      </rPr>
      <t>Robotics</t>
    </r>
    <r>
      <rPr>
        <sz val="10"/>
        <color theme="1"/>
        <rFont val="Arial Narrow"/>
      </rPr>
      <t>,</t>
    </r>
    <r>
      <rPr>
        <i/>
        <sz val="10"/>
        <color theme="1"/>
        <rFont val="Arial Narrow"/>
      </rPr>
      <t xml:space="preserve"> 11</t>
    </r>
    <r>
      <rPr>
        <sz val="10"/>
        <color theme="1"/>
        <rFont val="Arial Narrow"/>
      </rPr>
      <t>(2), Article 48. https://doi.org/10.3390/robotics11020048 WOS:000785040100001.</t>
    </r>
  </si>
  <si>
    <t>https://www.mdpi.com/2218-6581/11/2/48</t>
  </si>
  <si>
    <t>KHARCHE, A., &amp; BARVE, S. (2022, Feb 18-19). Incremental sheet forming of composite material. [Materials today-proceedings]. 4th International Conference on Advances in Mechanical Engineering and Nanotechnology (ICAMEN), Electr Network, WOS:000873080400002.</t>
  </si>
  <si>
    <t>https://www.sciencedirect.com/science/article/pii/S221478532201121X?casa_token=H0qwfYwySTEAAAAA:fHVu6OA0ciMp4voHb8R9JftgwrxvlkSsQucKESwkYmwbzSe1aZx4WcX1zCbFFuGRBrtfFR0</t>
  </si>
  <si>
    <r>
      <rPr>
        <sz val="10"/>
        <color theme="1"/>
        <rFont val="Arial Narrow"/>
      </rPr>
      <t xml:space="preserve">KIM, M., LEE, H., &amp; PARK, N. (2022). Evaluation of deformation for titanium alloy sheet in single point incremental forming based on asymmetric yield function. </t>
    </r>
    <r>
      <rPr>
        <i/>
        <sz val="10"/>
        <color theme="1"/>
        <rFont val="Arial Narrow"/>
      </rPr>
      <t>International Journal of Material Forming</t>
    </r>
    <r>
      <rPr>
        <sz val="10"/>
        <color theme="1"/>
        <rFont val="Arial Narrow"/>
      </rPr>
      <t>,</t>
    </r>
    <r>
      <rPr>
        <i/>
        <sz val="10"/>
        <color theme="1"/>
        <rFont val="Arial Narrow"/>
      </rPr>
      <t xml:space="preserve"> 15</t>
    </r>
    <r>
      <rPr>
        <sz val="10"/>
        <color theme="1"/>
        <rFont val="Arial Narrow"/>
      </rPr>
      <t>(5), Article 66. https://doi.org/10.1007/s12289-022-01712-5 WOS:000836594000001.</t>
    </r>
  </si>
  <si>
    <t>https://link.springer.com/article/10.1007/s12289-022-01712-5</t>
  </si>
  <si>
    <r>
      <rPr>
        <sz val="10"/>
        <color theme="1"/>
        <rFont val="Arial Narrow"/>
      </rPr>
      <t xml:space="preserve">KIM, Y. S., TUAN, P. Q., XIAO, X., &amp; KIM, J. J. (2022). Calibration of the Flow Curve Up to Large Strain Range by Incremental Sheet Forming Coupled with FEM Simulation. </t>
    </r>
    <r>
      <rPr>
        <i/>
        <sz val="10"/>
        <color theme="1"/>
        <rFont val="Arial Narrow"/>
      </rPr>
      <t>Metals</t>
    </r>
    <r>
      <rPr>
        <sz val="10"/>
        <color theme="1"/>
        <rFont val="Arial Narrow"/>
      </rPr>
      <t>,</t>
    </r>
    <r>
      <rPr>
        <i/>
        <sz val="10"/>
        <color theme="1"/>
        <rFont val="Arial Narrow"/>
      </rPr>
      <t xml:space="preserve"> 12</t>
    </r>
    <r>
      <rPr>
        <sz val="10"/>
        <color theme="1"/>
        <rFont val="Arial Narrow"/>
      </rPr>
      <t>(2), Article 252. https://doi.org/10.3390/met12020252 WOS:000810501900001.</t>
    </r>
  </si>
  <si>
    <t>https://www.mdpi.com/2075-4701/12/2/252</t>
  </si>
  <si>
    <r>
      <rPr>
        <sz val="10"/>
        <color theme="1"/>
        <rFont val="Arial Narrow"/>
      </rPr>
      <t xml:space="preserve">KUCUKTURK, G., &amp; YAZGIN, H. V. (2022). Improvement of incremental sheet metal forming with the help of a pressurised fluid system. </t>
    </r>
    <r>
      <rPr>
        <i/>
        <sz val="10"/>
        <color theme="1"/>
        <rFont val="Arial Narrow"/>
      </rPr>
      <t>Materials Testing</t>
    </r>
    <r>
      <rPr>
        <sz val="10"/>
        <color theme="1"/>
        <rFont val="Arial Narrow"/>
      </rPr>
      <t>,</t>
    </r>
    <r>
      <rPr>
        <i/>
        <sz val="10"/>
        <color theme="1"/>
        <rFont val="Arial Narrow"/>
      </rPr>
      <t xml:space="preserve"> 64</t>
    </r>
    <r>
      <rPr>
        <sz val="10"/>
        <color theme="1"/>
        <rFont val="Arial Narrow"/>
      </rPr>
      <t>(8), 1214-1222. https://doi.org/10.1515/mt-2022-0032 WOS:000835877200011.</t>
    </r>
  </si>
  <si>
    <t>https://www.degruyter.com/document/doi/10.1515/mt-2022-0032/html?lang=de</t>
  </si>
  <si>
    <r>
      <rPr>
        <sz val="10"/>
        <color theme="1"/>
        <rFont val="Arial Narrow"/>
      </rPr>
      <t xml:space="preserve">LI, W. N., SHU, C., HASSAN, A., ATTALLAH, M. M., &amp; ESSA, K. (2022). Application of machine learning on tool path optimisation and cooling lubricant in induction heating-assisted single point incremental sheet forming of Ti-6Al-4V sheets. </t>
    </r>
    <r>
      <rPr>
        <i/>
        <sz val="10"/>
        <color theme="1"/>
        <rFont val="Arial Narrow"/>
      </rPr>
      <t>International Journal of Advanced Manufacturing Technology</t>
    </r>
    <r>
      <rPr>
        <sz val="10"/>
        <color theme="1"/>
        <rFont val="Arial Narrow"/>
      </rPr>
      <t>,</t>
    </r>
    <r>
      <rPr>
        <i/>
        <sz val="10"/>
        <color theme="1"/>
        <rFont val="Arial Narrow"/>
      </rPr>
      <t xml:space="preserve"> 123</t>
    </r>
    <r>
      <rPr>
        <sz val="10"/>
        <color theme="1"/>
        <rFont val="Arial Narrow"/>
      </rPr>
      <t>(3-4), 821-838. https://doi.org/10.1007/s00170-022-10213-3 WOS:000864312600001.</t>
    </r>
  </si>
  <si>
    <t>https://link.springer.com/article/10.1007/s00170-022-10213-3</t>
  </si>
  <si>
    <r>
      <rPr>
        <sz val="10"/>
        <color theme="1"/>
        <rFont val="Arial Narrow"/>
      </rPr>
      <t xml:space="preserve">LIU, C. X., DUAN, H. G., CHU, X. R., LI, H., ZHAO, Z. Y., &amp; AO, D. W. (2022). Formability and microstructure evolution of Ti-6Al-4 V alloy in electric hot incremental forming. </t>
    </r>
    <r>
      <rPr>
        <i/>
        <sz val="10"/>
        <color theme="1"/>
        <rFont val="Arial Narrow"/>
      </rPr>
      <t>International Journal of Advanced Manufacturing Technology</t>
    </r>
    <r>
      <rPr>
        <sz val="10"/>
        <color theme="1"/>
        <rFont val="Arial Narrow"/>
      </rPr>
      <t>,</t>
    </r>
    <r>
      <rPr>
        <i/>
        <sz val="10"/>
        <color theme="1"/>
        <rFont val="Arial Narrow"/>
      </rPr>
      <t xml:space="preserve"> 119</t>
    </r>
    <r>
      <rPr>
        <sz val="10"/>
        <color theme="1"/>
        <rFont val="Arial Narrow"/>
      </rPr>
      <t>(5-6), 2935-2944. https://doi.org/10.1007/s00170-021-08583-1 WOS:000738546100007.</t>
    </r>
  </si>
  <si>
    <t>https://link.springer.com/article/10.1007/s00170-021-08583-1</t>
  </si>
  <si>
    <r>
      <rPr>
        <sz val="10"/>
        <color theme="1"/>
        <rFont val="Arial Narrow"/>
      </rPr>
      <t xml:space="preserve">MANDALOI, G., NAGARGOJE, A., GUPTA, A. K., BANERJEE, G., SHAHARE, H. Y., &amp; TANDON, P. (2022). A Comprehensive Review on Experimental Conditions, Strategies, Performance, and Applications of Incremental Forming for Deformation Machining. </t>
    </r>
    <r>
      <rPr>
        <i/>
        <sz val="10"/>
        <color theme="1"/>
        <rFont val="Arial Narrow"/>
      </rPr>
      <t>Journal of Manufacturing Science and Engineering-Transactions of the Asme</t>
    </r>
    <r>
      <rPr>
        <sz val="10"/>
        <color theme="1"/>
        <rFont val="Arial Narrow"/>
      </rPr>
      <t>,</t>
    </r>
    <r>
      <rPr>
        <i/>
        <sz val="10"/>
        <color theme="1"/>
        <rFont val="Arial Narrow"/>
      </rPr>
      <t xml:space="preserve"> 144</t>
    </r>
    <r>
      <rPr>
        <sz val="10"/>
        <color theme="1"/>
        <rFont val="Arial Narrow"/>
      </rPr>
      <t>(11), Article 110802. https://doi.org/10.1115/1.4054683 WOS:000862043100008.</t>
    </r>
  </si>
  <si>
    <r>
      <rPr>
        <sz val="10"/>
        <color theme="1"/>
        <rFont val="Arial Narrow"/>
      </rPr>
      <t xml:space="preserve">MCPHILLIMY, M., YAKUSHINA, E., &amp; BLACKWELL, P. (2022). Tailoring Titanium Sheet Metal Using Laser Metal Deposition to Improve Room Temperature Single-Point Incremental Forming. </t>
    </r>
    <r>
      <rPr>
        <i/>
        <sz val="10"/>
        <color theme="1"/>
        <rFont val="Arial Narrow"/>
      </rPr>
      <t>Materials</t>
    </r>
    <r>
      <rPr>
        <sz val="10"/>
        <color theme="1"/>
        <rFont val="Arial Narrow"/>
      </rPr>
      <t>,</t>
    </r>
    <r>
      <rPr>
        <i/>
        <sz val="10"/>
        <color theme="1"/>
        <rFont val="Arial Narrow"/>
      </rPr>
      <t xml:space="preserve"> 15</t>
    </r>
    <r>
      <rPr>
        <sz val="10"/>
        <color theme="1"/>
        <rFont val="Arial Narrow"/>
      </rPr>
      <t>(17), Article 5985. https://doi.org/10.3390/ma15175985 WOS:000851839300001.</t>
    </r>
  </si>
  <si>
    <t>https://www.mdpi.com/1996-1944/15/17/5985</t>
  </si>
  <si>
    <r>
      <rPr>
        <sz val="10"/>
        <color theme="1"/>
        <rFont val="Arial Narrow"/>
      </rPr>
      <t xml:space="preserve">NIKOUEIFAR, M., VAHEB, A., &amp; HONARPISHEH, M. (2022). Design and manufacturing of an innovative rolling ball tool: A step forward towards the development of SPIF process. </t>
    </r>
    <r>
      <rPr>
        <i/>
        <sz val="10"/>
        <color theme="1"/>
        <rFont val="Arial Narrow"/>
      </rPr>
      <t>Proceedings of the Institution of Mechanical Engineers Part E-Journal of Process Mechanical Engineering</t>
    </r>
    <r>
      <rPr>
        <sz val="10"/>
        <color theme="1"/>
        <rFont val="Arial Narrow"/>
      </rPr>
      <t>,</t>
    </r>
    <r>
      <rPr>
        <i/>
        <sz val="10"/>
        <color theme="1"/>
        <rFont val="Arial Narrow"/>
      </rPr>
      <t xml:space="preserve"> 236</t>
    </r>
    <r>
      <rPr>
        <sz val="10"/>
        <color theme="1"/>
        <rFont val="Arial Narrow"/>
      </rPr>
      <t>(4), 1593-1603, Article 09544089211068237. https://doi.org/10.1177/09544089211068237 WOS:000740885300001.</t>
    </r>
  </si>
  <si>
    <t>https://journals.sagepub.com/doi/abs/10.1177/09544089211068237?journalCode=piea</t>
  </si>
  <si>
    <r>
      <rPr>
        <sz val="10"/>
        <color theme="1"/>
        <rFont val="Arial Narrow"/>
      </rPr>
      <t xml:space="preserve">PINARD, D., SKELTON, D. R., GUCCIARDI, M., BUFFA, G., FRATINI, L., &amp; YAMAGUCHI, H. (2022). Study of forming mechanics of magnetic field-assisted single point incremental forming. </t>
    </r>
    <r>
      <rPr>
        <i/>
        <sz val="10"/>
        <color theme="1"/>
        <rFont val="Arial Narrow"/>
      </rPr>
      <t>Journal of Manufacturing Processes</t>
    </r>
    <r>
      <rPr>
        <sz val="10"/>
        <color theme="1"/>
        <rFont val="Arial Narrow"/>
      </rPr>
      <t>,</t>
    </r>
    <r>
      <rPr>
        <i/>
        <sz val="10"/>
        <color theme="1"/>
        <rFont val="Arial Narrow"/>
      </rPr>
      <t xml:space="preserve"> 79</t>
    </r>
    <r>
      <rPr>
        <sz val="10"/>
        <color theme="1"/>
        <rFont val="Arial Narrow"/>
      </rPr>
      <t>, 28-34. https://doi.org/10.1016/j.jmapro.2022.04.038 WOS:000799776500004.</t>
    </r>
  </si>
  <si>
    <t>https://www.sciencedirect.com/science/article/pii/S1526612522002754?casa_token=9V23fHgUn0UAAAAA:ao9nw0CyZLeTAtgZF25_EluHFc9BII7tiPeXSkZlxa2XKm9CKM4ZVLomfuLYt5M41DsFXoA</t>
  </si>
  <si>
    <r>
      <rPr>
        <sz val="10"/>
        <color theme="1"/>
        <rFont val="Arial Narrow"/>
      </rPr>
      <t xml:space="preserve">RACZ, S. G., CRENGANIS, M., BREAZ, R. E., BARSAN, A., GIRJOB, C. E., BIRIS, C. M., &amp; TERA, M. (2022). Integrating Trajectory Planning with Kinematic Analysis and Joint Torques Estimation for an Industrial Robot Used in Incremental Forming Operations. </t>
    </r>
    <r>
      <rPr>
        <i/>
        <sz val="10"/>
        <color theme="1"/>
        <rFont val="Arial Narrow"/>
      </rPr>
      <t>Machines</t>
    </r>
    <r>
      <rPr>
        <sz val="10"/>
        <color theme="1"/>
        <rFont val="Arial Narrow"/>
      </rPr>
      <t>,</t>
    </r>
    <r>
      <rPr>
        <i/>
        <sz val="10"/>
        <color theme="1"/>
        <rFont val="Arial Narrow"/>
      </rPr>
      <t xml:space="preserve"> 10</t>
    </r>
    <r>
      <rPr>
        <sz val="10"/>
        <color theme="1"/>
        <rFont val="Arial Narrow"/>
      </rPr>
      <t>(7), Article 531. https://doi.org/10.3390/machines10070531 WOS:000833724900001.</t>
    </r>
  </si>
  <si>
    <r>
      <rPr>
        <sz val="10"/>
        <color theme="1"/>
        <rFont val="Arial Narrow"/>
      </rPr>
      <t xml:space="preserve">RIAZ, A. A., HUSSAIN, G., IQBAL, A., ESAT, V., ALKAHTANI, M., KHAN, A. M., ULLAH, N., XIAO, M. H., &amp; KHAN, S. (2022). Energy consumption, carbon emissions, product cost, and process time in incremental sheet forming process: A holistic review from sustainability perspective. </t>
    </r>
    <r>
      <rPr>
        <i/>
        <sz val="10"/>
        <color theme="1"/>
        <rFont val="Arial Narrow"/>
      </rPr>
      <t>Proceedings of the Institution of Mechanical Engineers Part B-Journal of Engineering Manufacture</t>
    </r>
    <r>
      <rPr>
        <sz val="10"/>
        <color theme="1"/>
        <rFont val="Arial Narrow"/>
      </rPr>
      <t>,</t>
    </r>
    <r>
      <rPr>
        <i/>
        <sz val="10"/>
        <color theme="1"/>
        <rFont val="Arial Narrow"/>
      </rPr>
      <t xml:space="preserve"> 236</t>
    </r>
    <r>
      <rPr>
        <sz val="10"/>
        <color theme="1"/>
        <rFont val="Arial Narrow"/>
      </rPr>
      <t>(13), 1683-1705, Article 09544054221093571. https://doi.org/10.1177/09544054221093571 WOS:000791290400001.</t>
    </r>
  </si>
  <si>
    <t>https://journals.sagepub.com/doi/abs/10.1177/09544054221093571?journalCode=pibb</t>
  </si>
  <si>
    <r>
      <rPr>
        <sz val="10"/>
        <color theme="1"/>
        <rFont val="Arial Narrow"/>
      </rPr>
      <t xml:space="preserve">SCHREIBER, R. G., ARALDI, A., KINIZ, M., DALEFFE, A., &amp; SCHAEFFER, L. (2022). Failure criterion for SPIF based on mean stress. </t>
    </r>
    <r>
      <rPr>
        <i/>
        <sz val="10"/>
        <color theme="1"/>
        <rFont val="Arial Narrow"/>
      </rPr>
      <t>Journal of the Brazilian Society of Mechanical Sciences and Engineering</t>
    </r>
    <r>
      <rPr>
        <sz val="10"/>
        <color theme="1"/>
        <rFont val="Arial Narrow"/>
      </rPr>
      <t>,</t>
    </r>
    <r>
      <rPr>
        <i/>
        <sz val="10"/>
        <color theme="1"/>
        <rFont val="Arial Narrow"/>
      </rPr>
      <t xml:space="preserve"> 44</t>
    </r>
    <r>
      <rPr>
        <sz val="10"/>
        <color theme="1"/>
        <rFont val="Arial Narrow"/>
      </rPr>
      <t>(5), Article 193. https://doi.org/10.1007/s40430-022-03508-9 WOS:000784989800002.</t>
    </r>
  </si>
  <si>
    <t>https://link.springer.com/article/10.1007/s40430-022-03508-9</t>
  </si>
  <si>
    <r>
      <rPr>
        <sz val="10"/>
        <color theme="1"/>
        <rFont val="Arial Narrow"/>
      </rPr>
      <t xml:space="preserve">TRZEPIECINSKI, T., SZPUNAR, M., &amp; OSTROWSKI, R. (2022). Split-Plot I-Optimal Design Optimisation of Combined Oil-Based and Friction Stir Rotation-Assisted Heating in SPIF of Ti-6Al-4V Titanium Alloy Sheet under Variable Oil Pressure. </t>
    </r>
    <r>
      <rPr>
        <i/>
        <sz val="10"/>
        <color theme="1"/>
        <rFont val="Arial Narrow"/>
      </rPr>
      <t>Metals</t>
    </r>
    <r>
      <rPr>
        <sz val="10"/>
        <color theme="1"/>
        <rFont val="Arial Narrow"/>
      </rPr>
      <t>,</t>
    </r>
    <r>
      <rPr>
        <i/>
        <sz val="10"/>
        <color theme="1"/>
        <rFont val="Arial Narrow"/>
      </rPr>
      <t xml:space="preserve"> 12</t>
    </r>
    <r>
      <rPr>
        <sz val="10"/>
        <color theme="1"/>
        <rFont val="Arial Narrow"/>
      </rPr>
      <t>(1), Article 113. https://doi.org/10.3390/met12010113 WOS:000757017000001.</t>
    </r>
  </si>
  <si>
    <t>https://www.mdpi.com/2075-4701/12/1/113</t>
  </si>
  <si>
    <r>
      <rPr>
        <sz val="10"/>
        <color theme="1"/>
        <rFont val="Arial Narrow"/>
      </rPr>
      <t xml:space="preserve">ULLAH, S., LI, Y. L., LI, X. Q., XU, P., &amp; LI, D. S. (2022). A review on the deformation mechanism and formability enhancement strategies in incremental sheet forming. </t>
    </r>
    <r>
      <rPr>
        <i/>
        <sz val="10"/>
        <color theme="1"/>
        <rFont val="Arial Narrow"/>
      </rPr>
      <t>Archives of Civil and Mechanical Engineering</t>
    </r>
    <r>
      <rPr>
        <sz val="10"/>
        <color theme="1"/>
        <rFont val="Arial Narrow"/>
      </rPr>
      <t>,</t>
    </r>
    <r>
      <rPr>
        <i/>
        <sz val="10"/>
        <color theme="1"/>
        <rFont val="Arial Narrow"/>
      </rPr>
      <t xml:space="preserve"> 23</t>
    </r>
    <r>
      <rPr>
        <sz val="10"/>
        <color theme="1"/>
        <rFont val="Arial Narrow"/>
      </rPr>
      <t>(1), Article 55. https://doi.org/10.1007/s43452-022-00585-4 WOS:000905856500001.</t>
    </r>
  </si>
  <si>
    <t>https://link.springer.com/article/10.1007/s43452-022-00585-4</t>
  </si>
  <si>
    <r>
      <rPr>
        <sz val="10"/>
        <color theme="1"/>
        <rFont val="Arial Narrow"/>
      </rPr>
      <t xml:space="preserve">ULLAH, S., XU, P., LI, X. Q., LI, Y. L., HAN, K., &amp; LI, D. S. (2022). A Review on Part Geometric Precision Improvement Strategies in Double-Sided Incremental Forming. </t>
    </r>
    <r>
      <rPr>
        <i/>
        <sz val="10"/>
        <color theme="1"/>
        <rFont val="Arial Narrow"/>
      </rPr>
      <t>Metals</t>
    </r>
    <r>
      <rPr>
        <sz val="10"/>
        <color theme="1"/>
        <rFont val="Arial Narrow"/>
      </rPr>
      <t>,</t>
    </r>
    <r>
      <rPr>
        <i/>
        <sz val="10"/>
        <color theme="1"/>
        <rFont val="Arial Narrow"/>
      </rPr>
      <t xml:space="preserve"> 12</t>
    </r>
    <r>
      <rPr>
        <sz val="10"/>
        <color theme="1"/>
        <rFont val="Arial Narrow"/>
      </rPr>
      <t>(1), Article 103. https://doi.org/10.3390/met12010103 WOS:000757656300001.</t>
    </r>
  </si>
  <si>
    <t>https://www.mdpi.com/2075-4701/12/1/103</t>
  </si>
  <si>
    <r>
      <rPr>
        <sz val="10"/>
        <color theme="1"/>
        <rFont val="Arial Narrow"/>
      </rPr>
      <t xml:space="preserve">BANSAL, A., CHENG, R., BANU, M., TAUB, A., &amp; NI, J. (2022). Prediction of Forming Forces for Incremental Micro-Forming Using Finite Element Analysis. In </t>
    </r>
    <r>
      <rPr>
        <i/>
        <sz val="10"/>
        <color theme="1"/>
        <rFont val="Arial Narrow"/>
      </rPr>
      <t>Key Engineering Materials</t>
    </r>
    <r>
      <rPr>
        <sz val="10"/>
        <color theme="1"/>
        <rFont val="Arial Narrow"/>
      </rPr>
      <t xml:space="preserve"> (Vol. 926 KEM, pp. 815-821).</t>
    </r>
  </si>
  <si>
    <t>https://www.scientific.net/KEM.926.815</t>
  </si>
  <si>
    <t>BÂRSAN, A., RACZ, S. G., BREAZ, R., &amp; CRENGANIȘ, M. (2022). EVALUATION OF THE DIMENSIONAL ACCURACY THROUGH 3D OPTICAL SCANNING IN INCREMENTAL SHEET FORMING. 38th Danubia-Adria Symposium on Advances in Experimental Mechanics, DAS 2022, Code 184091</t>
  </si>
  <si>
    <t>https://www.scopus.com/record/display.uri?eid=2-s2.0-85142357543&amp;origin=resultslist&amp;sort=plf-f&amp;src=s&amp;st1=EVALUATION+OF+THE+DIMENSIONAL+ACCURACY+THROUGH+3D+OPTICAL+SCANNING+IN+INCREMENTAL+SHEET+FORMING&amp;sid=2dc29a11313c6f78a07873b9e020830c&amp;sot=b&amp;sdt=b&amp;sl=110&amp;s=TITLE-ABS-KEY%28EVALUATION+OF+THE+DIMENSIONAL+ACCURACY+THROUGH+3D+OPTICAL+SCANNING+IN+INCREMENTAL+SHEET+FORMING%29&amp;relpos=0&amp;citeCnt=0&amp;searchTerm=</t>
  </si>
  <si>
    <r>
      <rPr>
        <sz val="10"/>
        <color theme="1"/>
        <rFont val="Arial Narrow"/>
      </rPr>
      <t xml:space="preserve">CHENG, C., HUANG, Z., HAN, C., BAI, X., MA, Z., XU, Y., HE, Z., &amp; GUO, X. (2022). State-of-art of Flexible Forming Technology Based on Three-dimensional Trajectory Control [Article]. </t>
    </r>
    <r>
      <rPr>
        <i/>
        <sz val="10"/>
        <color theme="1"/>
        <rFont val="Arial Narrow"/>
      </rPr>
      <t>Jixie Gongcheng Xuebao/Journal of Mechanical Engineering</t>
    </r>
    <r>
      <rPr>
        <sz val="10"/>
        <color theme="1"/>
        <rFont val="Arial Narrow"/>
      </rPr>
      <t>,</t>
    </r>
    <r>
      <rPr>
        <i/>
        <sz val="10"/>
        <color theme="1"/>
        <rFont val="Arial Narrow"/>
      </rPr>
      <t xml:space="preserve"> 58</t>
    </r>
    <r>
      <rPr>
        <sz val="10"/>
        <color theme="1"/>
        <rFont val="Arial Narrow"/>
      </rPr>
      <t xml:space="preserve">(16), 160-177. https://doi.org/10.3901/JME.2022.16.160 </t>
    </r>
  </si>
  <si>
    <t>https://www.scopus.com/results/results.uri?sort=plf-f&amp;src=s&amp;st1=State-of-art+of+Flexible+Forming+Technology+Based+on+Three-dimensional+Trajectory+Control&amp;sid=6990f363e2441eae3992a1271519d40d&amp;sot=b&amp;sdt=b&amp;sl=104&amp;s=TITLE-ABS-KEY%28State-of-art+of+Flexible+Forming+Technology+Based+on+Three-dimensional+Trajectory+Control%29&amp;origin=searchbasic&amp;editSaveSearch=&amp;yearFrom=Before+1960&amp;yearTo=Present</t>
  </si>
  <si>
    <r>
      <rPr>
        <sz val="10"/>
        <color theme="1"/>
        <rFont val="Arial Narrow"/>
      </rPr>
      <t xml:space="preserve">CHENG, Z., LI, Y., LI, J., LI, F., &amp; MEEHAN, P. A. (2022). Ultrasonic assisted incremental sheet forming: Constitutive modeling and deformation analysis [Article]. </t>
    </r>
    <r>
      <rPr>
        <i/>
        <sz val="10"/>
        <color theme="1"/>
        <rFont val="Arial Narrow"/>
      </rPr>
      <t>Journal of Materials Processing Technology</t>
    </r>
    <r>
      <rPr>
        <sz val="10"/>
        <color theme="1"/>
        <rFont val="Arial Narrow"/>
      </rPr>
      <t>,</t>
    </r>
    <r>
      <rPr>
        <i/>
        <sz val="10"/>
        <color theme="1"/>
        <rFont val="Arial Narrow"/>
      </rPr>
      <t xml:space="preserve"> 299</t>
    </r>
    <r>
      <rPr>
        <sz val="10"/>
        <color theme="1"/>
        <rFont val="Arial Narrow"/>
      </rPr>
      <t xml:space="preserve">, Article 117365. https://doi.org/10.1016/j.jmatprotec.2021.117365 </t>
    </r>
  </si>
  <si>
    <t>https://www.sciencedirect.com/science/article/pii/S0924013621003253?casa_token=QoEHCZjLWNkAAAAA:MuiRQ3BwQVHzRwlBNOxK_oU57iF_ijUohz3_cf2wdYlU0fUsv0RI5oHOHQJn0TmMI8e72Po</t>
  </si>
  <si>
    <r>
      <rPr>
        <sz val="10"/>
        <color theme="1"/>
        <rFont val="Arial Narrow"/>
      </rPr>
      <t xml:space="preserve">KAJAL, G., TYAGI, M., &amp; KUMAR, G. (2022). A review on the effect of residual stresses in incremental sheet metal forming used in automotive and medical sectors. </t>
    </r>
    <r>
      <rPr>
        <i/>
        <sz val="10"/>
        <color theme="1"/>
        <rFont val="Arial Narrow"/>
      </rPr>
      <t>Materials Today: Proceedings</t>
    </r>
    <r>
      <rPr>
        <sz val="10"/>
        <color theme="1"/>
        <rFont val="Arial Narrow"/>
      </rPr>
      <t>. DOI:10.1016/j.matpr.2022.11.235</t>
    </r>
  </si>
  <si>
    <t>https://www.sciencedirect.com/science/article/pii/S221478532207078X?casa_token=S9I8SLEDr5gAAAAA:t7ja6pzOtXBy2BZOS41GbXoX2PXNXayIZ8InyhOpfV6ePs9O74X6xwzqXXfJdebzbM67KTk</t>
  </si>
  <si>
    <r>
      <rPr>
        <sz val="10"/>
        <color theme="1"/>
        <rFont val="Arial Narrow"/>
      </rPr>
      <t xml:space="preserve">LIU, Z., CHENG, K., &amp; PENG, K. (2022). Exploring the deformation potential of composite materials processed by incremental sheet forming: a review [Review]. </t>
    </r>
    <r>
      <rPr>
        <i/>
        <sz val="10"/>
        <color theme="1"/>
        <rFont val="Arial Narrow"/>
      </rPr>
      <t>International Journal of Advanced Manufacturing Technology</t>
    </r>
    <r>
      <rPr>
        <sz val="10"/>
        <color theme="1"/>
        <rFont val="Arial Narrow"/>
      </rPr>
      <t>,</t>
    </r>
    <r>
      <rPr>
        <i/>
        <sz val="10"/>
        <color theme="1"/>
        <rFont val="Arial Narrow"/>
      </rPr>
      <t xml:space="preserve"> 118</t>
    </r>
    <r>
      <rPr>
        <sz val="10"/>
        <color theme="1"/>
        <rFont val="Arial Narrow"/>
      </rPr>
      <t xml:space="preserve">(7-8), 2099-2137. https://doi.org/10.1007/s00170-021-08081-4 </t>
    </r>
  </si>
  <si>
    <t xml:space="preserve">REZASOLTANI, A., CROCKER, M., RICE, J., &amp; BLACK, A. (2022). Incremental sheet forming of the WKU big red mascot. Proceedings of ASME 2022 17th International Manufacturing Science and Engineering Conference, MSEC 2022, </t>
  </si>
  <si>
    <t>https://asmedigitalcollection.asme.org/MSEC/proceedings-abstract/MSEC2022/V002T05A001/1147035</t>
  </si>
  <si>
    <r>
      <rPr>
        <sz val="10"/>
        <color theme="1"/>
        <rFont val="Arial Narrow"/>
      </rPr>
      <t xml:space="preserve">WANG, W., ZHANG, H., LI, X., &amp; LI, Z. (2022). Multipass double-sided incremental forming method for improving geometric accuracy and forming quality. </t>
    </r>
    <r>
      <rPr>
        <i/>
        <sz val="10"/>
        <color theme="1"/>
        <rFont val="Arial Narrow"/>
      </rPr>
      <t>Proceedings of the Institution of Mechanical Engineers, Part C: Journal of Mechanical Engineering Science</t>
    </r>
    <r>
      <rPr>
        <sz val="10"/>
        <color theme="1"/>
        <rFont val="Arial Narrow"/>
      </rPr>
      <t>,</t>
    </r>
    <r>
      <rPr>
        <i/>
        <sz val="10"/>
        <color theme="1"/>
        <rFont val="Arial Narrow"/>
      </rPr>
      <t xml:space="preserve"> 236</t>
    </r>
    <r>
      <rPr>
        <sz val="10"/>
        <color theme="1"/>
        <rFont val="Arial Narrow"/>
      </rPr>
      <t>(14), 7876-7884. DOI:10.1177/09544062221081999</t>
    </r>
  </si>
  <si>
    <t>https://journals.sagepub.com/doi/abs/10.1177/09544062221081999?journalCode=picb</t>
  </si>
  <si>
    <r>
      <rPr>
        <sz val="10"/>
        <color theme="1"/>
        <rFont val="Arial Narrow"/>
      </rPr>
      <t xml:space="preserve">WANG, Y., WANG, L., ZHANG, H., GU, Y., &amp; YE, Y. (2022). A Novel Algorithm for Thickness Prediction in Incremental Sheet Metal Forming. </t>
    </r>
    <r>
      <rPr>
        <i/>
        <sz val="10"/>
        <color theme="1"/>
        <rFont val="Arial Narrow"/>
      </rPr>
      <t>Materials</t>
    </r>
    <r>
      <rPr>
        <sz val="10"/>
        <color theme="1"/>
        <rFont val="Arial Narrow"/>
      </rPr>
      <t>,</t>
    </r>
    <r>
      <rPr>
        <i/>
        <sz val="10"/>
        <color theme="1"/>
        <rFont val="Arial Narrow"/>
      </rPr>
      <t xml:space="preserve"> 15</t>
    </r>
    <r>
      <rPr>
        <sz val="10"/>
        <color theme="1"/>
        <rFont val="Arial Narrow"/>
      </rPr>
      <t xml:space="preserve">(3), 1201, DOI:10.3390/ma15031201 </t>
    </r>
  </si>
  <si>
    <t>https://www.mdpi.com/1996-1944/15/3/1201</t>
  </si>
  <si>
    <r>
      <rPr>
        <sz val="10"/>
        <color theme="1"/>
        <rFont val="Arial Narrow"/>
      </rPr>
      <t xml:space="preserve">WU, J., XIONG, D., LI, X., LIU, Y., CHEN, H., WEN, L., DONG, L., ZHENG, S., XU, H., ZHANG, H., WANG, S., ZHOU, L., &amp; WEI, H. (2022). Investigation on residual stress in rotational parts formed through Incremental Sheet Forming: A novel evaluation method [Article]. </t>
    </r>
    <r>
      <rPr>
        <i/>
        <sz val="10"/>
        <color theme="1"/>
        <rFont val="Arial Narrow"/>
      </rPr>
      <t>International Journal of Lightweight Materials and Manufacture</t>
    </r>
    <r>
      <rPr>
        <sz val="10"/>
        <color theme="1"/>
        <rFont val="Arial Narrow"/>
      </rPr>
      <t>,</t>
    </r>
    <r>
      <rPr>
        <i/>
        <sz val="10"/>
        <color theme="1"/>
        <rFont val="Arial Narrow"/>
      </rPr>
      <t xml:space="preserve"> 5</t>
    </r>
    <r>
      <rPr>
        <sz val="10"/>
        <color theme="1"/>
        <rFont val="Arial Narrow"/>
      </rPr>
      <t>(1), 84-90. https://doi.org/10.1016/j.ijlmm.2021.08.001</t>
    </r>
  </si>
  <si>
    <t>https://www.sciencedirect.com/science/article/pii/S2588840421000366</t>
  </si>
  <si>
    <t>OLEKSIK, V., PASCU, A., DEAC, C., FLEACĂ, R., BOLOGA, O., RACZ, G.  (toti ULBS)</t>
  </si>
  <si>
    <t>Experimental study about the surface quality of the medical implants obtained by incremental forming. International Journal of Material Forming, Springer-Verlag France, Vol. 3, Suppl. 1, 2010, ISSN 1960-6206, DOI 10.1007/s12289-010-0922-x, p. 935-938, WOS:000208613700231</t>
  </si>
  <si>
    <t>BARSAN, A., RACZ, S. G., BREAZ, R., &amp; CRENGANIS, M. (2020, Sep 22-25). Dynamic analysis of a robot-based incremental sheet forming using Matlab-Simulink Simscape (TM) environment. [Materials today-proceedings]. 37th Danubia Adria Symposium on Advances in Experimental Mechanics (DAS), JKU, Linz, AUSTRIA, Materials Today: Proceedings, 62, 2538-2542. https://doi.org/10.1016/j.matpr.2022.03.134, WOS:000830020400002.</t>
  </si>
  <si>
    <r>
      <rPr>
        <sz val="10"/>
        <color theme="1"/>
        <rFont val="Arial Narrow"/>
      </rPr>
      <t xml:space="preserve">LIAO, J., ZHOU, S. C., &amp; XUE, X. (2022). Twist springback and microstructure analysis of PEEK sheets in ultrasonic-assisted thermal incremental forming. </t>
    </r>
    <r>
      <rPr>
        <i/>
        <sz val="10"/>
        <color theme="1"/>
        <rFont val="Arial Narrow"/>
      </rPr>
      <t>International Journal of Advanced Manufacturing Technology</t>
    </r>
    <r>
      <rPr>
        <sz val="10"/>
        <color theme="1"/>
        <rFont val="Arial Narrow"/>
      </rPr>
      <t>,</t>
    </r>
    <r>
      <rPr>
        <i/>
        <sz val="10"/>
        <color theme="1"/>
        <rFont val="Arial Narrow"/>
      </rPr>
      <t xml:space="preserve"> 121</t>
    </r>
    <r>
      <rPr>
        <sz val="10"/>
        <color theme="1"/>
        <rFont val="Arial Narrow"/>
      </rPr>
      <t>(7-8), 5269-5282. https://doi.org/10.1007/s00170-022-09674-3 WOS:000825234500002.</t>
    </r>
  </si>
  <si>
    <t>https://link.springer.com/article/10.1007/s00170-022-09674-3</t>
  </si>
  <si>
    <r>
      <rPr>
        <sz val="10"/>
        <color theme="1"/>
        <rFont val="Arial Narrow"/>
      </rPr>
      <t xml:space="preserve">MURUGESAN, M., YU, J. H., JUNG, K. S., CHO, S. M., BHANDARI, K. S., &amp; LEE, C. W. (2022). Optimization of Forming Parameters in Incremental Sheet Forming of AA3003-H18 Sheets Using Taguchi Method. </t>
    </r>
    <r>
      <rPr>
        <i/>
        <sz val="10"/>
        <color theme="1"/>
        <rFont val="Arial Narrow"/>
      </rPr>
      <t>Materials</t>
    </r>
    <r>
      <rPr>
        <sz val="10"/>
        <color theme="1"/>
        <rFont val="Arial Narrow"/>
      </rPr>
      <t>,</t>
    </r>
    <r>
      <rPr>
        <i/>
        <sz val="10"/>
        <color theme="1"/>
        <rFont val="Arial Narrow"/>
      </rPr>
      <t xml:space="preserve"> 15</t>
    </r>
    <r>
      <rPr>
        <sz val="10"/>
        <color theme="1"/>
        <rFont val="Arial Narrow"/>
      </rPr>
      <t>(4), Article 1458. https://doi.org/10.3390/ma15041458 WOS:000777460300001.</t>
    </r>
  </si>
  <si>
    <r>
      <rPr>
        <sz val="10"/>
        <color theme="1"/>
        <rFont val="Arial Narrow"/>
      </rPr>
      <t xml:space="preserve">ORAON, M., &amp; SHARMA, V. (2022). Deriving the functional relation of input parameters in single-point incremental forming through dimensional analysis. </t>
    </r>
    <r>
      <rPr>
        <i/>
        <sz val="10"/>
        <color theme="1"/>
        <rFont val="Arial Narrow"/>
      </rPr>
      <t>Frontiers in Mechanical Engineering-Switzerland</t>
    </r>
    <r>
      <rPr>
        <sz val="10"/>
        <color theme="1"/>
        <rFont val="Arial Narrow"/>
      </rPr>
      <t>,</t>
    </r>
    <r>
      <rPr>
        <i/>
        <sz val="10"/>
        <color theme="1"/>
        <rFont val="Arial Narrow"/>
      </rPr>
      <t xml:space="preserve"> 8</t>
    </r>
    <r>
      <rPr>
        <sz val="10"/>
        <color theme="1"/>
        <rFont val="Arial Narrow"/>
      </rPr>
      <t>, Article 1003456. https://doi.org/10.3389/fmech.2022.1003456 WOS:000895833900001.</t>
    </r>
  </si>
  <si>
    <r>
      <rPr>
        <sz val="10"/>
        <color theme="1"/>
        <rFont val="Arial Narrow"/>
      </rPr>
      <t xml:space="preserve">SEN, N., SIRIN, S., KIVAK, T., CIVEK, T., &amp; SECGIN, O. (2022). A new lubrication approach in the SPIF process: Evaluation of the applicability and tribological performance of MQL. </t>
    </r>
    <r>
      <rPr>
        <i/>
        <sz val="10"/>
        <color theme="1"/>
        <rFont val="Arial Narrow"/>
      </rPr>
      <t>Tribology International</t>
    </r>
    <r>
      <rPr>
        <sz val="10"/>
        <color theme="1"/>
        <rFont val="Arial Narrow"/>
      </rPr>
      <t>,</t>
    </r>
    <r>
      <rPr>
        <i/>
        <sz val="10"/>
        <color theme="1"/>
        <rFont val="Arial Narrow"/>
      </rPr>
      <t xml:space="preserve"> 171</t>
    </r>
    <r>
      <rPr>
        <sz val="10"/>
        <color theme="1"/>
        <rFont val="Arial Narrow"/>
      </rPr>
      <t>, Article 107546. https://doi.org/10.1016/j.triboint.2022.107546 WOS:000793345500003.</t>
    </r>
  </si>
  <si>
    <t>https://www.sciencedirect.com/science/article/pii/S0301679X22001190?casa_token=XO8PQD83K2sAAAAA:sPZoVHK-5Gt6bj6djQc_GfHRycG9rMMqhVy3Zhisk419ShSQBlHIxJjW37NPRSTHgA_qiEU</t>
  </si>
  <si>
    <r>
      <rPr>
        <sz val="10"/>
        <color theme="1"/>
        <rFont val="Arial Narrow"/>
      </rPr>
      <t xml:space="preserve">TRZEPIECINSKI, T., SZPUNAR, M., DZIERWA, A., &amp; ZABA, K. (2022). Investigation of Surface Roughness in Incremental Sheet Forming of Conical Drawpieces from Pure Titanium Sheets. </t>
    </r>
    <r>
      <rPr>
        <i/>
        <sz val="10"/>
        <color theme="1"/>
        <rFont val="Arial Narrow"/>
      </rPr>
      <t>Materials</t>
    </r>
    <r>
      <rPr>
        <sz val="10"/>
        <color theme="1"/>
        <rFont val="Arial Narrow"/>
      </rPr>
      <t>,</t>
    </r>
    <r>
      <rPr>
        <i/>
        <sz val="10"/>
        <color theme="1"/>
        <rFont val="Arial Narrow"/>
      </rPr>
      <t xml:space="preserve"> 15</t>
    </r>
    <r>
      <rPr>
        <sz val="10"/>
        <color theme="1"/>
        <rFont val="Arial Narrow"/>
      </rPr>
      <t>(12), Article 4278. https://doi.org/10.3390/ma15124278 WOS:000816071300001.</t>
    </r>
  </si>
  <si>
    <r>
      <rPr>
        <sz val="10"/>
        <color theme="1"/>
        <rFont val="Arial Narrow"/>
      </rPr>
      <t xml:space="preserve">SY, L. V., &amp; VIET, M. V. (2022). Influence of lubricants and lubricating methods on surface roughness in the two-point incremental sheet forming process. </t>
    </r>
    <r>
      <rPr>
        <i/>
        <sz val="10"/>
        <color theme="1"/>
        <rFont val="Arial Narrow"/>
      </rPr>
      <t>International Journal of Advanced Manufacturing Technology</t>
    </r>
    <r>
      <rPr>
        <sz val="10"/>
        <color theme="1"/>
        <rFont val="Arial Narrow"/>
      </rPr>
      <t>,</t>
    </r>
    <r>
      <rPr>
        <i/>
        <sz val="10"/>
        <color theme="1"/>
        <rFont val="Arial Narrow"/>
      </rPr>
      <t xml:space="preserve"> 121</t>
    </r>
    <r>
      <rPr>
        <sz val="10"/>
        <color theme="1"/>
        <rFont val="Arial Narrow"/>
      </rPr>
      <t>(1-2), 1365-1372. https://doi.org/10.1007/s00170-022-09435-2 WOS:000801148900006.</t>
    </r>
  </si>
  <si>
    <t>https://link.springer.com/article/10.1007/s00170-022-09435-2</t>
  </si>
  <si>
    <t>OLEKSIK, V., PASCU, A., DEAC, C., FLEACĂ, R., ROMAN, M. BOLOGA, O. (toti ULBS)</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</si>
  <si>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 1208-1215, WOS:000281912300158</t>
  </si>
  <si>
    <r>
      <rPr>
        <sz val="10"/>
        <color theme="1"/>
        <rFont val="Arial Narrow"/>
      </rPr>
      <t xml:space="preserve">BOUZIDI, S., AYADI, M., &amp; BOULILA, A. (2022). Feasibility Study of the SPIF Process Applied to Perforated Sheet Metals. </t>
    </r>
    <r>
      <rPr>
        <i/>
        <sz val="10"/>
        <color theme="1"/>
        <rFont val="Arial Narrow"/>
      </rPr>
      <t>Arabian Journal for Science and Engineering</t>
    </r>
    <r>
      <rPr>
        <sz val="10"/>
        <color theme="1"/>
        <rFont val="Arial Narrow"/>
      </rPr>
      <t>,</t>
    </r>
    <r>
      <rPr>
        <i/>
        <sz val="10"/>
        <color theme="1"/>
        <rFont val="Arial Narrow"/>
      </rPr>
      <t xml:space="preserve"> 47</t>
    </r>
    <r>
      <rPr>
        <sz val="10"/>
        <color theme="1"/>
        <rFont val="Arial Narrow"/>
      </rPr>
      <t>(7), 9225-9252. https://doi.org/10.1007/s13369-022-06570-6 WOS:000756512400002.</t>
    </r>
  </si>
  <si>
    <t>https://link.springer.com/article/10.1007/s13369-022-06570-6</t>
  </si>
  <si>
    <r>
      <rPr>
        <sz val="10"/>
        <color theme="1"/>
        <rFont val="Arial Narrow"/>
      </rPr>
      <t xml:space="preserve">GATEA, S., TAWFIQ, T. A. S., &amp; OU, H. A. (2022). Numerical and experimental investigation of formability in incremental sheet forming of particle-reinforced metal matrix composite sheets. </t>
    </r>
    <r>
      <rPr>
        <i/>
        <sz val="10"/>
        <color theme="1"/>
        <rFont val="Arial Narrow"/>
      </rPr>
      <t>International Journal of Advanced Manufacturing Technology</t>
    </r>
    <r>
      <rPr>
        <sz val="10"/>
        <color theme="1"/>
        <rFont val="Arial Narrow"/>
      </rPr>
      <t>,</t>
    </r>
    <r>
      <rPr>
        <i/>
        <sz val="10"/>
        <color theme="1"/>
        <rFont val="Arial Narrow"/>
      </rPr>
      <t xml:space="preserve"> 120</t>
    </r>
    <r>
      <rPr>
        <sz val="10"/>
        <color theme="1"/>
        <rFont val="Arial Narrow"/>
      </rPr>
      <t>(3-4), 1889-1900. https://doi.org/10.1007/s00170-022-08881-2 WOS:000757244200002.</t>
    </r>
  </si>
  <si>
    <t>https://link.springer.com/article/10.1007/s00170-022-08881-2</t>
  </si>
  <si>
    <r>
      <rPr>
        <sz val="10"/>
        <color theme="1"/>
        <rFont val="Arial Narrow"/>
      </rPr>
      <t xml:space="preserve">LI, R. X., &amp; WANG, T. (2022). Research on Single Point Incremental Forming Characteristics of Perforated TA1 Sheet. </t>
    </r>
    <r>
      <rPr>
        <i/>
        <sz val="10"/>
        <color theme="1"/>
        <rFont val="Arial Narrow"/>
      </rPr>
      <t>Metals</t>
    </r>
    <r>
      <rPr>
        <sz val="10"/>
        <color theme="1"/>
        <rFont val="Arial Narrow"/>
      </rPr>
      <t>,</t>
    </r>
    <r>
      <rPr>
        <i/>
        <sz val="10"/>
        <color theme="1"/>
        <rFont val="Arial Narrow"/>
      </rPr>
      <t xml:space="preserve"> 12</t>
    </r>
    <r>
      <rPr>
        <sz val="10"/>
        <color theme="1"/>
        <rFont val="Arial Narrow"/>
      </rPr>
      <t>(11), Article 1944. https://doi.org/10.3390/met12111944 WOS:000895165300001.</t>
    </r>
  </si>
  <si>
    <r>
      <rPr>
        <sz val="10"/>
        <color theme="1"/>
        <rFont val="Arial Narrow"/>
      </rPr>
      <t xml:space="preserve">MANDALOI, G., NAGARGOJE, A., GUPTA, A. K., BANERJEE, G., SHAHARE, H. Y., &amp; TANDON, P. (2022). A Comprehensive Review on Experimental Conditions, Strategies, Performance, and Applications of Incremental Forming for Deformation Machining. </t>
    </r>
    <r>
      <rPr>
        <i/>
        <sz val="10"/>
        <color theme="1"/>
        <rFont val="Arial Narrow"/>
      </rPr>
      <t>Journal of Manufacturing Science and Engineering-Transactions of the Asme</t>
    </r>
    <r>
      <rPr>
        <sz val="10"/>
        <color theme="1"/>
        <rFont val="Arial Narrow"/>
      </rPr>
      <t>,</t>
    </r>
    <r>
      <rPr>
        <i/>
        <sz val="10"/>
        <color theme="1"/>
        <rFont val="Arial Narrow"/>
      </rPr>
      <t xml:space="preserve"> 144</t>
    </r>
    <r>
      <rPr>
        <sz val="10"/>
        <color theme="1"/>
        <rFont val="Arial Narrow"/>
      </rPr>
      <t>(11), Article 110802. https://doi.org/10.1115/1.4054683 WOS:000862043100008.</t>
    </r>
  </si>
  <si>
    <t>PATEL, D., &amp; GANDHI, A. (2022, Feb 18-19). A review article on process parameters affecting Incremental Sheet Forming (ISF). [Materials today-proceedings]. 4th International Conference on Advances in Mechanical Engineering and Nanotechnology (ICAMEN), Electr Network, WOS:000873082000008.</t>
  </si>
  <si>
    <t>https://www.sciencedirect.com/science/article/pii/S2214785322015450?casa_token=nGAIYDM-KVQAAAAA:nKyKgMv7-Y1JUZhHHCIE97WBI2HmGeRPGw1yPXgZyjd3pNKJpuk8NeRbXgMWdAGg2ftsKQM</t>
  </si>
  <si>
    <t>VINOTH, V., SATHIYAMURTHY, S., AJAY, C. V., VARDHAN, H., SIVA, R., PRABHAKARAN, J., &amp; KUMAR, C. S. (2022). Experimental studies on single point incremental sheet forming of stainless steel 409L alloy. [Materials today-proceedings]. 2nd International Conference on Engineering Materials, Metallurgy and Manufacturing (ICEMMM), Chennai, INDIA, WOS:000828301100029.</t>
  </si>
  <si>
    <t>https://www.sciencedirect.com/science/article/pii/S2214785322019587?casa_token=qtz3FilqTqwAAAAA:tLdu6EMqLakjl8bfzWBmwe8nPrmmnBtdSqmtCYrNaLlxtu6Aqcf7f1W4QQonII5ndPIBWjA</t>
  </si>
  <si>
    <r>
      <rPr>
        <sz val="10"/>
        <color theme="1"/>
        <rFont val="Arial Narrow"/>
      </rPr>
      <t xml:space="preserve">AJAY, C. V., ELANGOVAN, S., KAMARAJA, A. S., KUMAR, K. K., &amp; KUMAR, S. P. Optimization and prediction of incremental sheet forming parameters of Titanium grade 5 sheet using a response surface methodology and artificial neural network. </t>
    </r>
    <r>
      <rPr>
        <i/>
        <sz val="10"/>
        <color theme="1"/>
        <rFont val="Arial Narrow"/>
      </rPr>
      <t>Proceedings of the Institution of Mechanical Engineers Part C-Journal of Mechanical Engineering Science</t>
    </r>
    <r>
      <rPr>
        <sz val="10"/>
        <color theme="1"/>
        <rFont val="Arial Narrow"/>
      </rPr>
      <t>. https://doi.org/10.1177/09544062221133674 WOS:000878342300001.</t>
    </r>
  </si>
  <si>
    <t>TRZEPIECIŃSKI, T. (Rzeszow University of Technology), OLEKSIK, V. (ULBS), PEPELNJAK, T. (University of Ljubljana), NAJM, SHERWAN MOHAMMED (Budapest University of Technology and Economics), PANITI, I. (Budapest University of Technology and Economics), MAJI, K. (National Institute of Technology Patna)</t>
  </si>
  <si>
    <t>Emerging Trends in Single Point Incremental Sheet Forming of Lightweight,  Metals, 11(8), Article Number 1188, 2021, doi:10.3390/met11081188, WOS:000689581800001</t>
  </si>
  <si>
    <r>
      <rPr>
        <sz val="10"/>
        <color theme="1"/>
        <rFont val="Arial Narrow"/>
      </rPr>
      <t xml:space="preserve">BOUZIDI, S., AYADI, M., &amp; BOULILA, A. (2022). Feasibility Study of the SPIF Process Applied to Perforated Sheet Metals. </t>
    </r>
    <r>
      <rPr>
        <i/>
        <sz val="10"/>
        <color theme="1"/>
        <rFont val="Arial Narrow"/>
      </rPr>
      <t>Arabian Journal for Science and Engineering</t>
    </r>
    <r>
      <rPr>
        <sz val="10"/>
        <color theme="1"/>
        <rFont val="Arial Narrow"/>
      </rPr>
      <t>,</t>
    </r>
    <r>
      <rPr>
        <i/>
        <sz val="10"/>
        <color theme="1"/>
        <rFont val="Arial Narrow"/>
      </rPr>
      <t xml:space="preserve"> 47</t>
    </r>
    <r>
      <rPr>
        <sz val="10"/>
        <color theme="1"/>
        <rFont val="Arial Narrow"/>
      </rPr>
      <t>(7), 9225-9252. https://doi.org/10.1007/s13369-022-06570-6 WOS:000756512400002.</t>
    </r>
  </si>
  <si>
    <r>
      <rPr>
        <sz val="10"/>
        <color theme="1"/>
        <rFont val="Arial Narrow"/>
      </rPr>
      <t xml:space="preserve">FORMISANO, A., ASTARITA, A., BOCCARUSSO, L., GARLASCHE, M., &amp; DURANTE, M. (2022). Formability and surface quality of non-conventional material sheets for the manufacture of highly customized components. </t>
    </r>
    <r>
      <rPr>
        <i/>
        <sz val="10"/>
        <color theme="1"/>
        <rFont val="Arial Narrow"/>
      </rPr>
      <t>International Journal of Material Forming</t>
    </r>
    <r>
      <rPr>
        <sz val="10"/>
        <color theme="1"/>
        <rFont val="Arial Narrow"/>
      </rPr>
      <t>,</t>
    </r>
    <r>
      <rPr>
        <i/>
        <sz val="10"/>
        <color theme="1"/>
        <rFont val="Arial Narrow"/>
      </rPr>
      <t xml:space="preserve"> 15</t>
    </r>
    <r>
      <rPr>
        <sz val="10"/>
        <color theme="1"/>
        <rFont val="Arial Narrow"/>
      </rPr>
      <t>(2), Article 17. https://doi.org/10.1007/s12289-022-01663-x WOS:000762738500001.</t>
    </r>
  </si>
  <si>
    <r>
      <rPr>
        <sz val="10"/>
        <color theme="1"/>
        <rFont val="Arial Narrow"/>
      </rPr>
      <t xml:space="preserve">KUMAR, G., &amp; MAJI, K. (2022). Forming limit analysis of friction stir tailor welded AA5083 and AA7075 sheets in single point incremental forming. </t>
    </r>
    <r>
      <rPr>
        <i/>
        <sz val="10"/>
        <color theme="1"/>
        <rFont val="Arial Narrow"/>
      </rPr>
      <t>International Journal of Material Forming</t>
    </r>
    <r>
      <rPr>
        <sz val="10"/>
        <color theme="1"/>
        <rFont val="Arial Narrow"/>
      </rPr>
      <t>,</t>
    </r>
    <r>
      <rPr>
        <i/>
        <sz val="10"/>
        <color theme="1"/>
        <rFont val="Arial Narrow"/>
      </rPr>
      <t xml:space="preserve"> 15</t>
    </r>
    <r>
      <rPr>
        <sz val="10"/>
        <color theme="1"/>
        <rFont val="Arial Narrow"/>
      </rPr>
      <t>(3), Article 20. https://doi.org/10.1007/s12289-022-01675-7 WOS:000766592300003.</t>
    </r>
  </si>
  <si>
    <t>https://link.springer.com/article/10.1007/s12289-022-01675-7</t>
  </si>
  <si>
    <r>
      <rPr>
        <sz val="10"/>
        <color theme="1"/>
        <rFont val="Arial Narrow"/>
      </rPr>
      <t xml:space="preserve">KVACKAJ, T., DEMJAN, I., BELLA, P., KOCISKO, R., PETROUSEK, P., FEDORIKOVA, A., BIDULSKA, J., LUPTAK, M., JANDACKA, P., &amp; LASCSAKOVA, M. (2022). THE INFLUENCE OF ANNEALING TEMPERATURE ON THE MAGNETIC PROPERTIES OF CRYO-ROLLED NON-ORIENTED ELECTRICAL STEEL. </t>
    </r>
    <r>
      <rPr>
        <i/>
        <sz val="10"/>
        <color theme="1"/>
        <rFont val="Arial Narrow"/>
      </rPr>
      <t>Acta Metallurgica Slovaca</t>
    </r>
    <r>
      <rPr>
        <sz val="10"/>
        <color theme="1"/>
        <rFont val="Arial Narrow"/>
      </rPr>
      <t>,</t>
    </r>
    <r>
      <rPr>
        <i/>
        <sz val="10"/>
        <color theme="1"/>
        <rFont val="Arial Narrow"/>
      </rPr>
      <t xml:space="preserve"> 28</t>
    </r>
    <r>
      <rPr>
        <sz val="10"/>
        <color theme="1"/>
        <rFont val="Arial Narrow"/>
      </rPr>
      <t>(2), 97-100. https://doi.org/10.36547/ams.28.2.1471 WOS:000817317600005.</t>
    </r>
  </si>
  <si>
    <t>https://journals.scicell.org/index.php/AMS/article/view/1471</t>
  </si>
  <si>
    <r>
      <rPr>
        <sz val="10"/>
        <color theme="1"/>
        <rFont val="Arial Narrow"/>
      </rPr>
      <t xml:space="preserve">LI, R. X., &amp; WANG, T. (2022). Research on Single Point Incremental Forming Characteristics of Perforated TA1 Sheet. </t>
    </r>
    <r>
      <rPr>
        <i/>
        <sz val="10"/>
        <color theme="1"/>
        <rFont val="Arial Narrow"/>
      </rPr>
      <t>Metals</t>
    </r>
    <r>
      <rPr>
        <sz val="10"/>
        <color theme="1"/>
        <rFont val="Arial Narrow"/>
      </rPr>
      <t>,</t>
    </r>
    <r>
      <rPr>
        <i/>
        <sz val="10"/>
        <color theme="1"/>
        <rFont val="Arial Narrow"/>
      </rPr>
      <t xml:space="preserve"> 12</t>
    </r>
    <r>
      <rPr>
        <sz val="10"/>
        <color theme="1"/>
        <rFont val="Arial Narrow"/>
      </rPr>
      <t>(11), Article 1944. https://doi.org/10.3390/met12111944 WOS:000895165300001.</t>
    </r>
  </si>
  <si>
    <r>
      <rPr>
        <sz val="10"/>
        <color theme="1"/>
        <rFont val="Arial Narrow"/>
      </rPr>
      <t xml:space="preserve">MCPHILLIMY, M., YAKUSHINA, E., &amp; BLACKWELL, P. (2022). Tailoring Titanium Sheet Metal Using Laser Metal Deposition to Improve Room Temperature Single-Point Incremental Forming. </t>
    </r>
    <r>
      <rPr>
        <i/>
        <sz val="10"/>
        <color theme="1"/>
        <rFont val="Arial Narrow"/>
      </rPr>
      <t>Materials</t>
    </r>
    <r>
      <rPr>
        <sz val="10"/>
        <color theme="1"/>
        <rFont val="Arial Narrow"/>
      </rPr>
      <t>,</t>
    </r>
    <r>
      <rPr>
        <i/>
        <sz val="10"/>
        <color theme="1"/>
        <rFont val="Arial Narrow"/>
      </rPr>
      <t xml:space="preserve"> 15</t>
    </r>
    <r>
      <rPr>
        <sz val="10"/>
        <color theme="1"/>
        <rFont val="Arial Narrow"/>
      </rPr>
      <t>(17), Article 5985. https://doi.org/10.3390/ma15175985 WOS:000851839300001.</t>
    </r>
  </si>
  <si>
    <r>
      <rPr>
        <sz val="10"/>
        <color theme="1"/>
        <rFont val="Arial Narrow"/>
      </rPr>
      <t xml:space="preserve">OLSZOWKA-MYALSKA, A., WRZESNIOWSKI, P., OSTACHOWSKI, P., GODZIERZ, M., &amp; KUC, D. (2022). Effect of Magnesium Powder Application on the Microstructure and Properties of Rods Extruded by the Forward-Backward Rotating Die Extrusion Method. </t>
    </r>
    <r>
      <rPr>
        <i/>
        <sz val="10"/>
        <color theme="1"/>
        <rFont val="Arial Narrow"/>
      </rPr>
      <t>Materials</t>
    </r>
    <r>
      <rPr>
        <sz val="10"/>
        <color theme="1"/>
        <rFont val="Arial Narrow"/>
      </rPr>
      <t>,</t>
    </r>
    <r>
      <rPr>
        <i/>
        <sz val="10"/>
        <color theme="1"/>
        <rFont val="Arial Narrow"/>
      </rPr>
      <t xml:space="preserve"> 15</t>
    </r>
    <r>
      <rPr>
        <sz val="10"/>
        <color theme="1"/>
        <rFont val="Arial Narrow"/>
      </rPr>
      <t>(12), Article 4094. https://doi.org/10.3390/ma15124094 WOS:000815925000001.</t>
    </r>
  </si>
  <si>
    <t>https://www.mdpi.com/1996-1944/15/12/4094</t>
  </si>
  <si>
    <r>
      <rPr>
        <sz val="10"/>
        <color theme="1"/>
        <rFont val="Arial Narrow"/>
      </rPr>
      <t xml:space="preserve">PEPELNJAK, T., SEVSEK, L., LUZANIN, O., &amp; MILUTINOVIC, M. (2022). Finite Element Simplifications and Simulation Reliability in Single Point Incremental Forming. </t>
    </r>
    <r>
      <rPr>
        <i/>
        <sz val="10"/>
        <color theme="1"/>
        <rFont val="Arial Narrow"/>
      </rPr>
      <t>Materials</t>
    </r>
    <r>
      <rPr>
        <sz val="10"/>
        <color theme="1"/>
        <rFont val="Arial Narrow"/>
      </rPr>
      <t>,</t>
    </r>
    <r>
      <rPr>
        <i/>
        <sz val="10"/>
        <color theme="1"/>
        <rFont val="Arial Narrow"/>
      </rPr>
      <t xml:space="preserve"> 15</t>
    </r>
    <r>
      <rPr>
        <sz val="10"/>
        <color theme="1"/>
        <rFont val="Arial Narrow"/>
      </rPr>
      <t>(10), Article 3707. https://doi.org/10.3390/ma15103707 WOS:000803562200001.</t>
    </r>
  </si>
  <si>
    <t>https://www.mdpi.com/1996-1944/15/10/3707</t>
  </si>
  <si>
    <r>
      <rPr>
        <sz val="10"/>
        <color theme="1"/>
        <rFont val="Arial Narrow"/>
      </rPr>
      <t xml:space="preserve">SZPUNAR, M., TRZEPIECINSKI, T., OSTROWSKI, R., &amp; ZWOLAK, M. (2022). RESEARCH ON FORMING PARAMETERS OPTIMIZATION OF INCREMENTAL SHEET FORMING PROCESS FOR COMMERCIALLY PURE TITANIUM GRADE 2 SHEETS. </t>
    </r>
    <r>
      <rPr>
        <i/>
        <sz val="10"/>
        <color theme="1"/>
        <rFont val="Arial Narrow"/>
      </rPr>
      <t>Archives of Metallurgy and Materials</t>
    </r>
    <r>
      <rPr>
        <sz val="10"/>
        <color theme="1"/>
        <rFont val="Arial Narrow"/>
      </rPr>
      <t>,</t>
    </r>
    <r>
      <rPr>
        <i/>
        <sz val="10"/>
        <color theme="1"/>
        <rFont val="Arial Narrow"/>
      </rPr>
      <t xml:space="preserve"> 67</t>
    </r>
    <r>
      <rPr>
        <sz val="10"/>
        <color theme="1"/>
        <rFont val="Arial Narrow"/>
      </rPr>
      <t>(4), 1411-1418. https://doi.org/10.24425/amm.2022.141068 WOS:000890623500026.</t>
    </r>
  </si>
  <si>
    <t>https://journals.pan.pl/dlibra/show-content?id=125086</t>
  </si>
  <si>
    <r>
      <rPr>
        <sz val="10"/>
        <color theme="1"/>
        <rFont val="Arial Narrow"/>
      </rPr>
      <t xml:space="preserve">TRZEPIECINSKI, T., SZEWCZYK, M., &amp; SZWAJKA, K. (2022). The Use of Non-Edible Green Oils to Lubricate DC04 Steel Sheets in Sheet Metal Forming Process. </t>
    </r>
    <r>
      <rPr>
        <i/>
        <sz val="10"/>
        <color theme="1"/>
        <rFont val="Arial Narrow"/>
      </rPr>
      <t>Lubricants</t>
    </r>
    <r>
      <rPr>
        <sz val="10"/>
        <color theme="1"/>
        <rFont val="Arial Narrow"/>
      </rPr>
      <t>,</t>
    </r>
    <r>
      <rPr>
        <i/>
        <sz val="10"/>
        <color theme="1"/>
        <rFont val="Arial Narrow"/>
      </rPr>
      <t xml:space="preserve"> 10</t>
    </r>
    <r>
      <rPr>
        <sz val="10"/>
        <color theme="1"/>
        <rFont val="Arial Narrow"/>
      </rPr>
      <t>(9), Article 210. https://doi.org/10.3390/lubricants10090210 WOS:000856641500001.</t>
    </r>
  </si>
  <si>
    <t>https://www.mdpi.com/2075-4442/10/9/210</t>
  </si>
  <si>
    <r>
      <rPr>
        <sz val="10"/>
        <color theme="1"/>
        <rFont val="Arial Narrow"/>
      </rPr>
      <t xml:space="preserve">TRZEPIECINSKI, T., SZPUNAR, M., DZIERWA, A., &amp; ZABA, K. (2022). Investigation of Surface Roughness in Incremental Sheet Forming of Conical Drawpieces from Pure Titanium Sheets. </t>
    </r>
    <r>
      <rPr>
        <i/>
        <sz val="10"/>
        <color theme="1"/>
        <rFont val="Arial Narrow"/>
      </rPr>
      <t>Materials</t>
    </r>
    <r>
      <rPr>
        <sz val="10"/>
        <color theme="1"/>
        <rFont val="Arial Narrow"/>
      </rPr>
      <t>,</t>
    </r>
    <r>
      <rPr>
        <i/>
        <sz val="10"/>
        <color theme="1"/>
        <rFont val="Arial Narrow"/>
      </rPr>
      <t xml:space="preserve"> 15</t>
    </r>
    <r>
      <rPr>
        <sz val="10"/>
        <color theme="1"/>
        <rFont val="Arial Narrow"/>
      </rPr>
      <t>(12), Article 4278. https://doi.org/10.3390/ma15124278 WOS:000816071300001.</t>
    </r>
  </si>
  <si>
    <r>
      <rPr>
        <sz val="10"/>
        <color theme="1"/>
        <rFont val="Arial Narrow"/>
      </rPr>
      <t xml:space="preserve">TRZEPIECINSKI, T., SZPUNAR, M., &amp; OSTROWSKI, R. (2022). Split-Plot I-Optimal Design Optimisation of Combined Oil-Based and Friction Stir Rotation-Assisted Heating in SPIF of Ti-6Al-4V Titanium Alloy Sheet under Variable Oil Pressure. </t>
    </r>
    <r>
      <rPr>
        <i/>
        <sz val="10"/>
        <color theme="1"/>
        <rFont val="Arial Narrow"/>
      </rPr>
      <t>Metals</t>
    </r>
    <r>
      <rPr>
        <sz val="10"/>
        <color theme="1"/>
        <rFont val="Arial Narrow"/>
      </rPr>
      <t>,</t>
    </r>
    <r>
      <rPr>
        <i/>
        <sz val="10"/>
        <color theme="1"/>
        <rFont val="Arial Narrow"/>
      </rPr>
      <t xml:space="preserve"> 12</t>
    </r>
    <r>
      <rPr>
        <sz val="10"/>
        <color theme="1"/>
        <rFont val="Arial Narrow"/>
      </rPr>
      <t>(1), Article 113. https://doi.org/10.3390/met12010113 WOS:000757017000001.</t>
    </r>
  </si>
  <si>
    <r>
      <rPr>
        <sz val="10"/>
        <color theme="1"/>
        <rFont val="Arial Narrow"/>
      </rPr>
      <t xml:space="preserve">ULLAH, S., XU, P., LI, X. Q., LI, Y. L., HAN, K., &amp; LI, D. S. (2022). A Review on Part Geometric Precision Improvement Strategies in Double-Sided Incremental Forming. </t>
    </r>
    <r>
      <rPr>
        <i/>
        <sz val="10"/>
        <color theme="1"/>
        <rFont val="Arial Narrow"/>
      </rPr>
      <t>Metals</t>
    </r>
    <r>
      <rPr>
        <sz val="10"/>
        <color theme="1"/>
        <rFont val="Arial Narrow"/>
      </rPr>
      <t>,</t>
    </r>
    <r>
      <rPr>
        <i/>
        <sz val="10"/>
        <color theme="1"/>
        <rFont val="Arial Narrow"/>
      </rPr>
      <t xml:space="preserve"> 12</t>
    </r>
    <r>
      <rPr>
        <sz val="10"/>
        <color theme="1"/>
        <rFont val="Arial Narrow"/>
      </rPr>
      <t>(1), Article 103. https://doi.org/10.3390/met12010103 WOS:000757656300001.</t>
    </r>
  </si>
  <si>
    <t xml:space="preserve">REZASOLTANI, A., BOEHM, R., &amp; PATTERSON, A. C. (2022). PROGRAMMING A FANUC INDUSTRIAL ROBOT FOR INCREMENTAL SHEET FORMING. ASEE Annual Conference and Exposition, Conference Proceedings, </t>
  </si>
  <si>
    <t>https://peer.asee.org/41846.pdf</t>
  </si>
  <si>
    <r>
      <rPr>
        <sz val="10"/>
        <color theme="1"/>
        <rFont val="Arial Narrow"/>
      </rPr>
      <t xml:space="preserve">SODHA, D. S., &amp; DUTT, K. (2022). Single Point Incremental Forming (SPIF) of Aluminum Alloy AA 1050: Experimental evaluation of the effect of process parameters on surface roughness [Article]. </t>
    </r>
    <r>
      <rPr>
        <i/>
        <sz val="10"/>
        <color theme="1"/>
        <rFont val="Arial Narrow"/>
      </rPr>
      <t>Journal of Integrated Science and Technology</t>
    </r>
    <r>
      <rPr>
        <sz val="10"/>
        <color theme="1"/>
        <rFont val="Arial Narrow"/>
      </rPr>
      <t>,</t>
    </r>
    <r>
      <rPr>
        <i/>
        <sz val="10"/>
        <color theme="1"/>
        <rFont val="Arial Narrow"/>
      </rPr>
      <t xml:space="preserve"> 10</t>
    </r>
    <r>
      <rPr>
        <sz val="10"/>
        <color theme="1"/>
        <rFont val="Arial Narrow"/>
      </rPr>
      <t xml:space="preserve">(3), 180-184. </t>
    </r>
  </si>
  <si>
    <t>http://pubs.iscience.in/journal/index.php/jist/article/view/1467</t>
  </si>
  <si>
    <t>OLEKSIK, V. (ULBS)</t>
  </si>
  <si>
    <t>Influence of geometrical parameters, wall angle and part shape on thickness reduction of single point incremental forming, The 11th International Conference on Technology of Plasticity – 2014, Nagoya, Japan, October 19-24, Published by Procedia Engineering, Elsevier, Vol. 81 (2014), p. 2280-2285, 2014, doi: 10.1016/j.proeng.2014.10.321, WOS:000358994000370</t>
  </si>
  <si>
    <r>
      <rPr>
        <sz val="10"/>
        <color theme="1"/>
        <rFont val="Arial Narrow"/>
      </rPr>
      <t xml:space="preserve">MALYER, E., &amp; SONMEZ, F. (2022). Analysis of the incremental sheet forming process and process parameters on aluminum sheets based on the vertical step sizes. </t>
    </r>
    <r>
      <rPr>
        <i/>
        <sz val="10"/>
        <color theme="1"/>
        <rFont val="Arial Narrow"/>
      </rPr>
      <t>Proceedings of the Institution of Mechanical Engineers Part C-Journal of Mechanical Engineering Science</t>
    </r>
    <r>
      <rPr>
        <sz val="10"/>
        <color theme="1"/>
        <rFont val="Arial Narrow"/>
      </rPr>
      <t>,</t>
    </r>
    <r>
      <rPr>
        <i/>
        <sz val="10"/>
        <color theme="1"/>
        <rFont val="Arial Narrow"/>
      </rPr>
      <t xml:space="preserve"> 236</t>
    </r>
    <r>
      <rPr>
        <sz val="10"/>
        <color theme="1"/>
        <rFont val="Arial Narrow"/>
      </rPr>
      <t>(13), 7209-7220, Article 09544062221075987. https://doi.org/10.1177/09544062221075987 WOS:000769289400001.</t>
    </r>
  </si>
  <si>
    <t>https://journals.sagepub.com/doi/abs/10.1177/09544062221075987?journalCode=picb</t>
  </si>
  <si>
    <t>GAVRUS, A. (INSA Rennes), BANU, M. (Universitatea Dunarea de Jos Galați), RAGNEAU, E. (INSA Rennes), MAIER, C. (Universitatea Dunarea de Jos Galați), OLEKSIK, V. (ULBS)</t>
  </si>
  <si>
    <t>An inverse analysis approach of the Erichsen test starting from a finite element model. International Journal of Material Forming,  (2008) 1(1), 5-8, WOS:000208613900002</t>
  </si>
  <si>
    <r>
      <rPr>
        <sz val="10"/>
        <color theme="1"/>
        <rFont val="Arial Narrow"/>
      </rPr>
      <t xml:space="preserve">ANDRADE-CAMPOS, A., COPPIETERS, S., &amp; STRANO, M. (2022). Optimization and inverse analysis in metal forming: scientific state-of-the-art and recent trends. </t>
    </r>
    <r>
      <rPr>
        <i/>
        <sz val="10"/>
        <color theme="1"/>
        <rFont val="Arial Narrow"/>
      </rPr>
      <t>International Journal of Material Forming</t>
    </r>
    <r>
      <rPr>
        <sz val="10"/>
        <color theme="1"/>
        <rFont val="Arial Narrow"/>
      </rPr>
      <t>,</t>
    </r>
    <r>
      <rPr>
        <i/>
        <sz val="10"/>
        <color theme="1"/>
        <rFont val="Arial Narrow"/>
      </rPr>
      <t xml:space="preserve"> 15</t>
    </r>
    <r>
      <rPr>
        <sz val="10"/>
        <color theme="1"/>
        <rFont val="Arial Narrow"/>
      </rPr>
      <t>(3), Article 44. https://doi.org/10.1007/s12289-022-01690-8 WOS:000788297200001.</t>
    </r>
  </si>
  <si>
    <t>https://link.springer.com/article/10.1007/s12289-022-01690-8</t>
  </si>
  <si>
    <r>
      <rPr>
        <sz val="10"/>
        <color theme="1"/>
        <rFont val="Arial Narrow"/>
      </rPr>
      <t xml:space="preserve">ZHOU, J., LIANG, B., WAN, X., GAO, X., FANG, G., &amp; JIANG, Z. (2022). Research on Dynamic Response and Fracture Properties of Metal Materials for Vehicle [Article]. </t>
    </r>
    <r>
      <rPr>
        <i/>
        <sz val="10"/>
        <color theme="1"/>
        <rFont val="Arial Narrow"/>
      </rPr>
      <t>Jixie Gongcheng Xuebao/Journal of Mechanical Engineering</t>
    </r>
    <r>
      <rPr>
        <sz val="10"/>
        <color theme="1"/>
        <rFont val="Arial Narrow"/>
      </rPr>
      <t>,</t>
    </r>
    <r>
      <rPr>
        <i/>
        <sz val="10"/>
        <color theme="1"/>
        <rFont val="Arial Narrow"/>
      </rPr>
      <t xml:space="preserve"> 58</t>
    </r>
    <r>
      <rPr>
        <sz val="10"/>
        <color theme="1"/>
        <rFont val="Arial Narrow"/>
      </rPr>
      <t>(20), 339-349. https://doi.org/10.3901/JME.2022.20.339</t>
    </r>
  </si>
  <si>
    <t>https://www.scopus.com/record/display.uri?eid=2-s2.0-85145009661&amp;origin=resultslist&amp;sort=plf-f&amp;src=s&amp;st1=Research+on+Dynamic+Response+and+Fracture+Properties+of+Metal+Materials+for+Vehicle&amp;sid=c6077238cc389801ba2135c8467ee779&amp;sot=b&amp;sdt=b&amp;sl=98&amp;s=TITLE-ABS-KEY%28Research+on+Dynamic+Response+and+Fracture+Properties+of+Metal+Materials+for+Vehicle%29&amp;relpos=0&amp;citeCnt=0&amp;searchTerm=</t>
  </si>
  <si>
    <t>Recent Developments and Future Challenges in Incremental Sheet Forming of Aluminium and Aluminium Alloy Sheets, Metals, Volume 12 (1), 2022, article number 124, doi.org/10.3390/met12010126, WOS:000747631000001</t>
  </si>
  <si>
    <r>
      <rPr>
        <sz val="10"/>
        <color theme="1"/>
        <rFont val="Arial Narrow"/>
      </rPr>
      <t xml:space="preserve">KUBIT, A., TRZEPIECINSKI, T., KLUZ, R., OCHALEK, K., &amp; SLOTA, J. (2022). Multi-Criteria Optimisation of Friction Stir Welding Parameters for EN AW-2024-T3 Aluminium Alloy Joints. </t>
    </r>
    <r>
      <rPr>
        <i/>
        <sz val="10"/>
        <color theme="1"/>
        <rFont val="Arial Narrow"/>
      </rPr>
      <t>Materials</t>
    </r>
    <r>
      <rPr>
        <sz val="10"/>
        <color theme="1"/>
        <rFont val="Arial Narrow"/>
      </rPr>
      <t>,</t>
    </r>
    <r>
      <rPr>
        <i/>
        <sz val="10"/>
        <color theme="1"/>
        <rFont val="Arial Narrow"/>
      </rPr>
      <t xml:space="preserve"> 15</t>
    </r>
    <r>
      <rPr>
        <sz val="10"/>
        <color theme="1"/>
        <rFont val="Arial Narrow"/>
      </rPr>
      <t>(15), Article 5428. https://doi.org/10.3390/ma15155428 WOS:000839200000001.</t>
    </r>
  </si>
  <si>
    <t>https://www.mdpi.com/1996-1944/15/15/5428</t>
  </si>
  <si>
    <r>
      <rPr>
        <sz val="10"/>
        <color theme="1"/>
        <rFont val="Arial Narrow"/>
      </rPr>
      <t xml:space="preserve">MAHMOODI, M., TAGIMALEK, H., MARAKI, M. R., &amp; KARIMI, S. (2022). Experimental and Numerical Investigation of the Formability of Cross and Accumulative Roll Bonded 1050 Aluminum Alloy Sheets in Single Point Incremental Forming Process. </t>
    </r>
    <r>
      <rPr>
        <i/>
        <sz val="10"/>
        <color theme="1"/>
        <rFont val="Arial Narrow"/>
      </rPr>
      <t>International Journal of Engineering</t>
    </r>
    <r>
      <rPr>
        <sz val="10"/>
        <color theme="1"/>
        <rFont val="Arial Narrow"/>
      </rPr>
      <t>,</t>
    </r>
    <r>
      <rPr>
        <i/>
        <sz val="10"/>
        <color theme="1"/>
        <rFont val="Arial Narrow"/>
      </rPr>
      <t xml:space="preserve"> 35</t>
    </r>
    <r>
      <rPr>
        <sz val="10"/>
        <color theme="1"/>
        <rFont val="Arial Narrow"/>
      </rPr>
      <t>(9), 184-191. https://doi.org/10.5829/ije.2022.35.09c.05 WOS:000791595400001.</t>
    </r>
  </si>
  <si>
    <t>https://www.ije.ir/article_148404.html</t>
  </si>
  <si>
    <r>
      <rPr>
        <sz val="10"/>
        <color theme="1"/>
        <rFont val="Arial Narrow"/>
      </rPr>
      <t xml:space="preserve">MEZHER, M. T., &amp; KOVACS, B. (2022). An Investigation of the Impact of Forming Process Parameters in Single Point Incremental Forming Using Experimental and Numerical Verification. </t>
    </r>
    <r>
      <rPr>
        <i/>
        <sz val="10"/>
        <color theme="1"/>
        <rFont val="Arial Narrow"/>
      </rPr>
      <t>Periodica Polytechnica-Mechanical Engineering</t>
    </r>
    <r>
      <rPr>
        <sz val="10"/>
        <color theme="1"/>
        <rFont val="Arial Narrow"/>
      </rPr>
      <t>,</t>
    </r>
    <r>
      <rPr>
        <i/>
        <sz val="10"/>
        <color theme="1"/>
        <rFont val="Arial Narrow"/>
      </rPr>
      <t xml:space="preserve"> 66</t>
    </r>
    <r>
      <rPr>
        <sz val="10"/>
        <color theme="1"/>
        <rFont val="Arial Narrow"/>
      </rPr>
      <t>(3), 183-196. https://doi.org/10.3311/PPme.18781 WOS:000800714000001.</t>
    </r>
  </si>
  <si>
    <t>https://pp.bme.hu/me/article/view/18781</t>
  </si>
  <si>
    <r>
      <rPr>
        <sz val="10"/>
        <color theme="1"/>
        <rFont val="Arial Narrow"/>
      </rPr>
      <t xml:space="preserve">TRZEPIECINSKI, T., SZPUNAR, M., DZIERWA, A., &amp; ZABA, K. (2022). Investigation of Surface Roughness in Incremental Sheet Forming of Conical Drawpieces from Pure Titanium Sheets. </t>
    </r>
    <r>
      <rPr>
        <i/>
        <sz val="10"/>
        <color theme="1"/>
        <rFont val="Arial Narrow"/>
      </rPr>
      <t>Materials</t>
    </r>
    <r>
      <rPr>
        <sz val="10"/>
        <color theme="1"/>
        <rFont val="Arial Narrow"/>
      </rPr>
      <t>,</t>
    </r>
    <r>
      <rPr>
        <i/>
        <sz val="10"/>
        <color theme="1"/>
        <rFont val="Arial Narrow"/>
      </rPr>
      <t xml:space="preserve"> 15</t>
    </r>
    <r>
      <rPr>
        <sz val="10"/>
        <color theme="1"/>
        <rFont val="Arial Narrow"/>
      </rPr>
      <t>(12), Article 4278. https://doi.org/10.3390/ma15124278 WOS:000816071300001.</t>
    </r>
  </si>
  <si>
    <r>
      <rPr>
        <sz val="10"/>
        <color theme="1"/>
        <rFont val="Arial Narrow"/>
      </rPr>
      <t xml:space="preserve">ZHAO, H., LI, M. J., WANG, X. D., SHI, Y. J., CHANG, Y. P., ZHANG, G. P., &amp; CAI, B. (2022). Intergranular corrosion effect on fatigue behavior of dissimilar 6005A-5083 aluminum alloys weld joints. </t>
    </r>
    <r>
      <rPr>
        <i/>
        <sz val="10"/>
        <color theme="1"/>
        <rFont val="Arial Narrow"/>
      </rPr>
      <t>Materials and Corrosion-Werkstoffe Und Korrosion</t>
    </r>
    <r>
      <rPr>
        <sz val="10"/>
        <color theme="1"/>
        <rFont val="Arial Narrow"/>
      </rPr>
      <t>,</t>
    </r>
    <r>
      <rPr>
        <i/>
        <sz val="10"/>
        <color theme="1"/>
        <rFont val="Arial Narrow"/>
      </rPr>
      <t xml:space="preserve"> 73</t>
    </r>
    <r>
      <rPr>
        <sz val="10"/>
        <color theme="1"/>
        <rFont val="Arial Narrow"/>
      </rPr>
      <t>(9), 1505-1518. https://doi.org/10.1002/maco.202213122 WOS:000790857700001.</t>
    </r>
  </si>
  <si>
    <t>https://onlinelibrary.wiley.com/doi/abs/10.1002/maco.202213122</t>
  </si>
  <si>
    <r>
      <rPr>
        <sz val="10"/>
        <color theme="1"/>
        <rFont val="Arial Narrow"/>
      </rPr>
      <t xml:space="preserve">HAQUE, M. S., ROKON, S. N., &amp; KAISER, M. S. (2022). Strengthening and softening behavior of non-heat-treatable aluminum alloys subject to deformation and annealing treatment. </t>
    </r>
    <r>
      <rPr>
        <i/>
        <sz val="10"/>
        <color theme="1"/>
        <rFont val="Arial Narrow"/>
      </rPr>
      <t>Materials Today: Proceedings</t>
    </r>
    <r>
      <rPr>
        <sz val="10"/>
        <color theme="1"/>
        <rFont val="Arial Narrow"/>
      </rPr>
      <t>. DOI: 10.1016/j.matpr.2022.12.113</t>
    </r>
  </si>
  <si>
    <t>https://www.sciencedirect.com/science/article/pii/S2214785322074867?casa_token=oNY19CgVmwUAAAAA:nCaWsAW9GyKdTcMccodE4rjoSNsCjkUJJklOrHMuVDO2NA4H0zXzYVrCQDYvjMk_3sZXX-o</t>
  </si>
  <si>
    <t>BLAGA, A. , OLEKSIK, V. (ULBS)</t>
  </si>
  <si>
    <t>A Study on the Influence of the Forming Strategy on the Main Strains, Thickness Reduction, and Forces in a Single Point Incremental Forming Process, Advances in materials science and engineering, Volume 2013, ISSN 1687-8434, Article ID 382635, p. 10, DOI: 10.1155/2013/382635, WOS:000325287100001</t>
  </si>
  <si>
    <r>
      <rPr>
        <sz val="10"/>
        <color theme="1"/>
        <rFont val="Arial Narrow"/>
      </rPr>
      <t xml:space="preserve">KAJAL, G., TYAGI, M., &amp; KUMAR, G. (2022). A review on the effect of residual stresses in incremental sheet metal forming used in automotive and medical sectors. </t>
    </r>
    <r>
      <rPr>
        <i/>
        <sz val="10"/>
        <color theme="1"/>
        <rFont val="Arial Narrow"/>
      </rPr>
      <t>Materials Today: Proceedings</t>
    </r>
    <r>
      <rPr>
        <sz val="10"/>
        <color theme="1"/>
        <rFont val="Arial Narrow"/>
      </rPr>
      <t>. DOI:10.1016/j.matpr.2022.11.235</t>
    </r>
  </si>
  <si>
    <t>https://www.sciencedirect.com/science/article/pii/S221478532207078X?casa_token=tlGzrjGRPMIAAAAA:DaoTY6cKVEOGtFgF0nHu9fsrxMkKsw3M1adja6xe0SGd40V8LjHvp-pvETMY5dqxSDEPSKY</t>
  </si>
  <si>
    <t>OLEKSIK, V., BOLOGA, O., BREAZ, R.E., RACZ G. (toti ULBS)</t>
  </si>
  <si>
    <t>Comparison between the numerical simulations of incremental sheet forming and conventional stretch forming process. The 11th ESAFORM Conference on Material Forming, 23-25 April 2008, Lyon, France, Published in International Journal of Material Forming, ISSN 1960-6206 (Print) 1960-6214 (Online), Springer Paris doi: 10.1007/s12289-008-0153-6, Vol. 1 (2008), Supplement 1, paper 433, pp. 1187-1190, 2008, WOS:000208613900296</t>
  </si>
  <si>
    <r>
      <rPr>
        <sz val="10"/>
        <color theme="1"/>
        <rFont val="Arial Narrow"/>
      </rPr>
      <t xml:space="preserve">JAGTAP, R., BENDURE, S., KUMAR, P., &amp; SHARMA, A. (2022). Experimental and simulation studies on hybrid incremental sheet forming [Article]. </t>
    </r>
    <r>
      <rPr>
        <i/>
        <sz val="10"/>
        <color theme="1"/>
        <rFont val="Arial Narrow"/>
      </rPr>
      <t>Engineering Research Express</t>
    </r>
    <r>
      <rPr>
        <sz val="10"/>
        <color theme="1"/>
        <rFont val="Arial Narrow"/>
      </rPr>
      <t>,</t>
    </r>
    <r>
      <rPr>
        <i/>
        <sz val="10"/>
        <color theme="1"/>
        <rFont val="Arial Narrow"/>
      </rPr>
      <t xml:space="preserve"> 4</t>
    </r>
    <r>
      <rPr>
        <sz val="10"/>
        <color theme="1"/>
        <rFont val="Arial Narrow"/>
      </rPr>
      <t>(2), Article 025038. https://doi.org/10.1088/2631-8695/ac73df, WOS:000971799800001</t>
    </r>
  </si>
  <si>
    <t>https://iopscience.iop.org/article/10.1088/2631-8695/ac73df/meta?casa_token=mAXyaR-8tFUAAAAA:uIUvCqwJSWEUxEKqh2R5ccMHuZVISTc4T0AIu-HU1T7_s5kmVKjNUwkaCeN8miDIvhPYe2sZZzM</t>
  </si>
  <si>
    <t>OLEKSIK, V. (ULBS) TRZEPIECIŃSKI, T., SZPUNAR, M, CHODOLA, L, FICEK, D, SZCZESNY, I. (toți Rzeszow University of Technology)</t>
  </si>
  <si>
    <t>Single-Point Incremental Forming of Titanium and Titanium Alloy Sheets, Materials, 14(21), 2021, article 6372, https://doi.org/10.3390/ma14216372, WOS:000723157900001</t>
  </si>
  <si>
    <r>
      <rPr>
        <sz val="10"/>
        <color theme="1"/>
        <rFont val="Arial Narrow"/>
      </rPr>
      <t xml:space="preserve">KIM, M., LEE, H., &amp; PARK, N. (2022). Evaluation of deformation for titanium alloy sheet in single point incremental forming based on asymmetric yield function. </t>
    </r>
    <r>
      <rPr>
        <i/>
        <sz val="10"/>
        <color theme="1"/>
        <rFont val="Arial Narrow"/>
      </rPr>
      <t>International Journal of Material Forming</t>
    </r>
    <r>
      <rPr>
        <sz val="10"/>
        <color theme="1"/>
        <rFont val="Arial Narrow"/>
      </rPr>
      <t>,</t>
    </r>
    <r>
      <rPr>
        <i/>
        <sz val="10"/>
        <color theme="1"/>
        <rFont val="Arial Narrow"/>
      </rPr>
      <t xml:space="preserve"> 15</t>
    </r>
    <r>
      <rPr>
        <sz val="10"/>
        <color theme="1"/>
        <rFont val="Arial Narrow"/>
      </rPr>
      <t>(5), Article 66. https://doi.org/10.1007/s12289-022-01712-5 WOS:000836594000001.</t>
    </r>
  </si>
  <si>
    <r>
      <rPr>
        <sz val="10"/>
        <color theme="1"/>
        <rFont val="Arial Narrow"/>
      </rPr>
      <t xml:space="preserve">LI, W. N., SHU, C., HASSAN, A., ATTALLAH, M. M., &amp; ESSA, K. (2022). Application of machine learning on tool path optimisation and cooling lubricant in induction heating-assisted single point incremental sheet forming of Ti-6Al-4V sheets. </t>
    </r>
    <r>
      <rPr>
        <i/>
        <sz val="10"/>
        <color theme="1"/>
        <rFont val="Arial Narrow"/>
      </rPr>
      <t>International Journal of Advanced Manufacturing Technology</t>
    </r>
    <r>
      <rPr>
        <sz val="10"/>
        <color theme="1"/>
        <rFont val="Arial Narrow"/>
      </rPr>
      <t>,</t>
    </r>
    <r>
      <rPr>
        <i/>
        <sz val="10"/>
        <color theme="1"/>
        <rFont val="Arial Narrow"/>
      </rPr>
      <t xml:space="preserve"> 123</t>
    </r>
    <r>
      <rPr>
        <sz val="10"/>
        <color theme="1"/>
        <rFont val="Arial Narrow"/>
      </rPr>
      <t>(3-4), 821-838. https://doi.org/10.1007/s00170-022-10213-3 WOS:000864312600001.</t>
    </r>
  </si>
  <si>
    <r>
      <rPr>
        <sz val="10"/>
        <color theme="1"/>
        <rFont val="Arial Narrow"/>
      </rPr>
      <t xml:space="preserve">MCPHILLIMY, M., YAKUSHINA, E., &amp; BLACKWELL, P. (2022). Tailoring Titanium Sheet Metal Using Laser Metal Deposition to Improve Room Temperature Single-Point Incremental Forming. </t>
    </r>
    <r>
      <rPr>
        <i/>
        <sz val="10"/>
        <color theme="1"/>
        <rFont val="Arial Narrow"/>
      </rPr>
      <t>Materials</t>
    </r>
    <r>
      <rPr>
        <sz val="10"/>
        <color theme="1"/>
        <rFont val="Arial Narrow"/>
      </rPr>
      <t>,</t>
    </r>
    <r>
      <rPr>
        <i/>
        <sz val="10"/>
        <color theme="1"/>
        <rFont val="Arial Narrow"/>
      </rPr>
      <t xml:space="preserve"> 15</t>
    </r>
    <r>
      <rPr>
        <sz val="10"/>
        <color theme="1"/>
        <rFont val="Arial Narrow"/>
      </rPr>
      <t>(17), Article 5985. https://doi.org/10.3390/ma15175985 WOS:000851839300001.</t>
    </r>
  </si>
  <si>
    <r>
      <rPr>
        <sz val="10"/>
        <color theme="1"/>
        <rFont val="Arial Narrow"/>
      </rPr>
      <t xml:space="preserve">PEPELNJAK, T., SEVSEK, L., LUZANIN, O., &amp; MILUTINOVIC, M. (2022). Finite Element Simplifications and Simulation Reliability in Single Point Incremental Forming. </t>
    </r>
    <r>
      <rPr>
        <i/>
        <sz val="10"/>
        <color theme="1"/>
        <rFont val="Arial Narrow"/>
      </rPr>
      <t>Materials</t>
    </r>
    <r>
      <rPr>
        <sz val="10"/>
        <color theme="1"/>
        <rFont val="Arial Narrow"/>
      </rPr>
      <t>,</t>
    </r>
    <r>
      <rPr>
        <i/>
        <sz val="10"/>
        <color theme="1"/>
        <rFont val="Arial Narrow"/>
      </rPr>
      <t xml:space="preserve"> 15</t>
    </r>
    <r>
      <rPr>
        <sz val="10"/>
        <color theme="1"/>
        <rFont val="Arial Narrow"/>
      </rPr>
      <t>(10), Article 3707. https://doi.org/10.3390/ma15103707 WOS:000803562200001.</t>
    </r>
  </si>
  <si>
    <r>
      <rPr>
        <sz val="10"/>
        <color theme="1"/>
        <rFont val="Arial Narrow"/>
      </rPr>
      <t xml:space="preserve">SZPUNAR, M., TRZEPIECINSKI, T., OSTROWSKI, R., &amp; ZWOLAK, M. (2022). RESEARCH ON FORMING PARAMETERS OPTIMIZATION OF INCREMENTAL SHEET FORMING PROCESS FOR COMMERCIALLY PURE TITANIUM GRADE 2 SHEETS. </t>
    </r>
    <r>
      <rPr>
        <i/>
        <sz val="10"/>
        <color theme="1"/>
        <rFont val="Arial Narrow"/>
      </rPr>
      <t>Archives of Metallurgy and Materials</t>
    </r>
    <r>
      <rPr>
        <sz val="10"/>
        <color theme="1"/>
        <rFont val="Arial Narrow"/>
      </rPr>
      <t>,</t>
    </r>
    <r>
      <rPr>
        <i/>
        <sz val="10"/>
        <color theme="1"/>
        <rFont val="Arial Narrow"/>
      </rPr>
      <t xml:space="preserve"> 67</t>
    </r>
    <r>
      <rPr>
        <sz val="10"/>
        <color theme="1"/>
        <rFont val="Arial Narrow"/>
      </rPr>
      <t>(4), 1411-1418. https://doi.org/10.24425/amm.2022.141068 WOS:000890623500026.</t>
    </r>
  </si>
  <si>
    <r>
      <rPr>
        <sz val="10"/>
        <color theme="1"/>
        <rFont val="Arial Narrow"/>
      </rPr>
      <t xml:space="preserve">TRZEPIECINSKI, T., SZPUNAR, M., DZIERWA, A., &amp; ZABA, K. (2022). Investigation of Surface Roughness in Incremental Sheet Forming of Conical Drawpieces from Pure Titanium Sheets. </t>
    </r>
    <r>
      <rPr>
        <i/>
        <sz val="10"/>
        <color theme="1"/>
        <rFont val="Arial Narrow"/>
      </rPr>
      <t>Materials</t>
    </r>
    <r>
      <rPr>
        <sz val="10"/>
        <color theme="1"/>
        <rFont val="Arial Narrow"/>
      </rPr>
      <t>,</t>
    </r>
    <r>
      <rPr>
        <i/>
        <sz val="10"/>
        <color theme="1"/>
        <rFont val="Arial Narrow"/>
      </rPr>
      <t xml:space="preserve"> 15</t>
    </r>
    <r>
      <rPr>
        <sz val="10"/>
        <color theme="1"/>
        <rFont val="Arial Narrow"/>
      </rPr>
      <t>(12), Article 4278. https://doi.org/10.3390/ma15124278 WOS:000816071300001.</t>
    </r>
  </si>
  <si>
    <r>
      <rPr>
        <sz val="10"/>
        <color theme="1"/>
        <rFont val="Arial Narrow"/>
      </rPr>
      <t xml:space="preserve">TRZEPIECINSKI, T., SZPUNAR, M., &amp; OSTROWSKI, R. (2022). Split-Plot I-Optimal Design Optimisation of Combined Oil-Based and Friction Stir Rotation-Assisted Heating in SPIF of Ti-6Al-4V Titanium Alloy Sheet under Variable Oil Pressure. </t>
    </r>
    <r>
      <rPr>
        <i/>
        <sz val="10"/>
        <color theme="1"/>
        <rFont val="Arial Narrow"/>
      </rPr>
      <t>Metals</t>
    </r>
    <r>
      <rPr>
        <sz val="10"/>
        <color theme="1"/>
        <rFont val="Arial Narrow"/>
      </rPr>
      <t>,</t>
    </r>
    <r>
      <rPr>
        <i/>
        <sz val="10"/>
        <color theme="1"/>
        <rFont val="Arial Narrow"/>
      </rPr>
      <t xml:space="preserve"> 12</t>
    </r>
    <r>
      <rPr>
        <sz val="10"/>
        <color theme="1"/>
        <rFont val="Arial Narrow"/>
      </rPr>
      <t>(1), Article 113. https://doi.org/10.3390/met12010113 WOS:000757017000001.</t>
    </r>
  </si>
  <si>
    <t>AVRIGEAN, E., PASCU, A., OLEKSIK, V. (toți ULBS)</t>
  </si>
  <si>
    <t>Study of the Cardan Cross Using the Experimental and Analytical Method, Published by Procedia Engineering, Elsevier, Vol. 100 (2015), p. 499-504, 2015, doi:10.1016/j.proeng.2015.01.396</t>
  </si>
  <si>
    <r>
      <rPr>
        <sz val="10"/>
        <color theme="1"/>
        <rFont val="Arial Narrow"/>
      </rPr>
      <t xml:space="preserve">CARDOSO, A. S. M., PARDAL, J. M., CHALES, R., MARTINS, C. H., SILVA, M. M., TAVARES, S. S. M., PEDROZA, B. C., &amp; BARBOSA, C. (2022). Fatigue resistance performance of universal cardan joint for automotive application. </t>
    </r>
    <r>
      <rPr>
        <i/>
        <sz val="10"/>
        <color theme="1"/>
        <rFont val="Arial Narrow"/>
      </rPr>
      <t>Engineering Failure Analysis</t>
    </r>
    <r>
      <rPr>
        <sz val="10"/>
        <color theme="1"/>
        <rFont val="Arial Narrow"/>
      </rPr>
      <t>,</t>
    </r>
    <r>
      <rPr>
        <i/>
        <sz val="10"/>
        <color theme="1"/>
        <rFont val="Arial Narrow"/>
      </rPr>
      <t xml:space="preserve"> 135</t>
    </r>
    <r>
      <rPr>
        <sz val="10"/>
        <color theme="1"/>
        <rFont val="Arial Narrow"/>
      </rPr>
      <t>, Article 106128. https://doi.org/10.1016/j.engfailanal.2022.106128 WOS:000799364200001.</t>
    </r>
  </si>
  <si>
    <t>https://www.sciencedirect.com/science/article/pii/S1350630722001029?casa_token=AtPzquezc4EAAAAA:dcLx9kJ83jzkl4BJ1-VM_cmQduPXpy4B2rLQX-HSJihYYvtWpnS0S8wztUgsFEDSqzNjvCs</t>
  </si>
  <si>
    <r>
      <rPr>
        <sz val="10"/>
        <color theme="1"/>
        <rFont val="Arial Narrow"/>
      </rPr>
      <t xml:space="preserve">OZBAKIS, M., YENI, E. C., &amp; KAHYALAR, M. C. (2022). Investigation of the similarity between physical tests and fatigue simulation of flange yoke made of C45 E material used in cardan shaftsUntersuchung der Vergleichbarkeit zwischen physikalischen Versuchen und Ermudungssimulation von in Gelenkwellen verwendeten Flanschmitnehmern aus dem Werkstoff C45 E. </t>
    </r>
    <r>
      <rPr>
        <i/>
        <sz val="10"/>
        <color theme="1"/>
        <rFont val="Arial Narrow"/>
      </rPr>
      <t>Materialwissenschaft Und Werkstofftechnik</t>
    </r>
    <r>
      <rPr>
        <sz val="10"/>
        <color theme="1"/>
        <rFont val="Arial Narrow"/>
      </rPr>
      <t>,</t>
    </r>
    <r>
      <rPr>
        <i/>
        <sz val="10"/>
        <color theme="1"/>
        <rFont val="Arial Narrow"/>
      </rPr>
      <t xml:space="preserve"> 53</t>
    </r>
    <r>
      <rPr>
        <sz val="10"/>
        <color theme="1"/>
        <rFont val="Arial Narrow"/>
      </rPr>
      <t>(7), 798-807. https://doi.org/10.1002/mawe.202000257 WOS:000821944100006.</t>
    </r>
  </si>
  <si>
    <t>https://onlinelibrary.wiley.com/doi/abs/10.1002/mawe.202000257</t>
  </si>
  <si>
    <t>COFARU, N. F., ROMAN, M. D., COFARU, II, OLEKSIK, V. S., FLEACA, S. R. (toți ULBS)</t>
  </si>
  <si>
    <t>Medial Opening Wedge High Tibial Osteotomy in Knee Osteoarthritis-A Biomechanical Approach. Applied Sciences-Basel, 10(24), . https://doi.org/10.3390/app10248972 WOS:000602922200001</t>
  </si>
  <si>
    <r>
      <rPr>
        <sz val="10"/>
        <color theme="1"/>
        <rFont val="Arial Narrow"/>
      </rPr>
      <t xml:space="preserve">COFARU, II, OLEKSIK, M., COFARU, N. F., BRANESCU, A. H., HASEGAN, A., ROMAN, M. D., FLEACA, S. R., &amp; DOBROTA, R. D. (2022). A Computer-Assisted Approach Regarding the Optimization of the Geometrical Planning of Medial Opening Wedge High Tibial Osteotomy. </t>
    </r>
    <r>
      <rPr>
        <i/>
        <sz val="10"/>
        <color theme="1"/>
        <rFont val="Arial Narrow"/>
      </rPr>
      <t>Applied Sciences-Basel</t>
    </r>
    <r>
      <rPr>
        <sz val="10"/>
        <color theme="1"/>
        <rFont val="Arial Narrow"/>
      </rPr>
      <t>,</t>
    </r>
    <r>
      <rPr>
        <i/>
        <sz val="10"/>
        <color theme="1"/>
        <rFont val="Arial Narrow"/>
      </rPr>
      <t xml:space="preserve"> 12</t>
    </r>
    <r>
      <rPr>
        <sz val="10"/>
        <color theme="1"/>
        <rFont val="Arial Narrow"/>
      </rPr>
      <t>(13), Article 6636. https://doi.org/10.3390/app12136636 WOS:000822293000001.</t>
    </r>
  </si>
  <si>
    <r>
      <rPr>
        <sz val="10"/>
        <color theme="1"/>
        <rFont val="Arial Narrow"/>
      </rPr>
      <t xml:space="preserve">FRYDRYSEK, K., CEPICA, D., HALO, T., SKOUPY, O., PLEVA, L., MADEJA, R., POMETLOVA, J., LOSERTOVA, M., KOUTECKY, J., MICHAL, P., HAVLAS, V., KRAUS, S., DURICA, D., DEDKOVA, K. P., PAGAC, M., KRPEC, P., &amp; OSEMLAK, P. (2022). Biomechanical Analysis of Staples for Epiphysiodesis. </t>
    </r>
    <r>
      <rPr>
        <i/>
        <sz val="10"/>
        <color theme="1"/>
        <rFont val="Arial Narrow"/>
      </rPr>
      <t>Applied Sciences-Basel</t>
    </r>
    <r>
      <rPr>
        <sz val="10"/>
        <color theme="1"/>
        <rFont val="Arial Narrow"/>
      </rPr>
      <t>,</t>
    </r>
    <r>
      <rPr>
        <i/>
        <sz val="10"/>
        <color theme="1"/>
        <rFont val="Arial Narrow"/>
      </rPr>
      <t xml:space="preserve"> 12</t>
    </r>
    <r>
      <rPr>
        <sz val="10"/>
        <color theme="1"/>
        <rFont val="Arial Narrow"/>
      </rPr>
      <t>(2), Article 614. https://doi.org/10.3390/app12020614 WOS:000757989600001.</t>
    </r>
  </si>
  <si>
    <r>
      <rPr>
        <sz val="10"/>
        <color theme="1"/>
        <rFont val="Arial Narrow"/>
      </rPr>
      <t xml:space="preserve">MOISIN, A., FAUR, M., POPA, C., GHERMAN, C. D., DUMITRESCU, V., TANASESCU, D., BOICEAN, A., BALASESCU, S., COMANDASU, M., DUMITRESCU, D., ZGURA, A., &amp; MOHOR, C. (2022). Laparoscopic versus open surgical treatment of umbilical hernia. </t>
    </r>
    <r>
      <rPr>
        <i/>
        <sz val="10"/>
        <color theme="1"/>
        <rFont val="Arial Narrow"/>
      </rPr>
      <t>Journal of Mind and Medical Sciences</t>
    </r>
    <r>
      <rPr>
        <sz val="10"/>
        <color theme="1"/>
        <rFont val="Arial Narrow"/>
      </rPr>
      <t>,</t>
    </r>
    <r>
      <rPr>
        <i/>
        <sz val="10"/>
        <color theme="1"/>
        <rFont val="Arial Narrow"/>
      </rPr>
      <t xml:space="preserve"> 9</t>
    </r>
    <r>
      <rPr>
        <sz val="10"/>
        <color theme="1"/>
        <rFont val="Arial Narrow"/>
      </rPr>
      <t>(1), 143-151, Article 15. https://doi.org/10.22543/7674.91.P143151 WOS:000786532500013.</t>
    </r>
  </si>
  <si>
    <r>
      <rPr>
        <sz val="10"/>
        <color theme="1"/>
        <rFont val="Arial Narrow"/>
      </rPr>
      <t xml:space="preserve">QUAN, P. H., ANTONIAC, I., MICULESCU, F., ANTONIAC, A., MANESCU, V., ROBU, A., BITA, A. I., MICULESCU, M., SACELEANU, A., BODOG, A. D., &amp; SACELEANU, V. (2022). Fluoride Treatment and In Vitro Corrosion Behavior of Mg-Nd-Y-Zn-Zr Alloys Type. </t>
    </r>
    <r>
      <rPr>
        <i/>
        <sz val="10"/>
        <color theme="1"/>
        <rFont val="Arial Narrow"/>
      </rPr>
      <t>Materials</t>
    </r>
    <r>
      <rPr>
        <sz val="10"/>
        <color theme="1"/>
        <rFont val="Arial Narrow"/>
      </rPr>
      <t>,</t>
    </r>
    <r>
      <rPr>
        <i/>
        <sz val="10"/>
        <color theme="1"/>
        <rFont val="Arial Narrow"/>
      </rPr>
      <t xml:space="preserve"> 15</t>
    </r>
    <r>
      <rPr>
        <sz val="10"/>
        <color theme="1"/>
        <rFont val="Arial Narrow"/>
      </rPr>
      <t>(2), Article 566. https://doi.org/10.3390/ma15020566 WOS:000757583600001.</t>
    </r>
  </si>
  <si>
    <r>
      <rPr>
        <sz val="10"/>
        <color theme="1"/>
        <rFont val="Arial Narrow"/>
      </rPr>
      <t xml:space="preserve">ROMAN, M. D., MOHOR, C. I., MELINTE, P. R., CHICEA, R., GEORGEANU, V. A., HASEGAN, A., BOICEAN, A. G., &amp; FLEACA, S. R. (2022). Meniscal Tear Management Associated with ACL Reconstruction. </t>
    </r>
    <r>
      <rPr>
        <i/>
        <sz val="10"/>
        <color theme="1"/>
        <rFont val="Arial Narrow"/>
      </rPr>
      <t>Applied Sciences-Basel</t>
    </r>
    <r>
      <rPr>
        <sz val="10"/>
        <color theme="1"/>
        <rFont val="Arial Narrow"/>
      </rPr>
      <t>,</t>
    </r>
    <r>
      <rPr>
        <i/>
        <sz val="10"/>
        <color theme="1"/>
        <rFont val="Arial Narrow"/>
      </rPr>
      <t xml:space="preserve"> 12</t>
    </r>
    <r>
      <rPr>
        <sz val="10"/>
        <color theme="1"/>
        <rFont val="Arial Narrow"/>
      </rPr>
      <t>(12), Article 6175. https://doi.org/10.3390/app12126175 WOS:000816030100001.</t>
    </r>
  </si>
  <si>
    <t>BLAGA, A., BOLOGA, O., OLEKSIK, V., PÎRVU, B. (toți ULBS)</t>
  </si>
  <si>
    <t>Experimental researches regarding the influence of geometric parameters on the principal strains and thickness reduction in single point incremental forming. UPB Scientific Bulletin, Series D: Mechanical Engineering Volume 74, Issue 2, 2012, ISSN 1454-2358, pp. 111-120</t>
  </si>
  <si>
    <r>
      <rPr>
        <sz val="10"/>
        <color theme="1"/>
        <rFont val="Arial Narrow"/>
      </rPr>
      <t xml:space="preserve">MEZHER, M. T., &amp; KOVÁCS, B. (2022). An Investigation of the Impact of Forming Process Parameters in Single Point Incremental Forming Using Experimental and Numerical Verification [Article]. </t>
    </r>
    <r>
      <rPr>
        <i/>
        <sz val="10"/>
        <color theme="1"/>
        <rFont val="Arial Narrow"/>
      </rPr>
      <t>Periodica Polytechnica Mechanical Engineering</t>
    </r>
    <r>
      <rPr>
        <sz val="10"/>
        <color theme="1"/>
        <rFont val="Arial Narrow"/>
      </rPr>
      <t>,</t>
    </r>
    <r>
      <rPr>
        <i/>
        <sz val="10"/>
        <color theme="1"/>
        <rFont val="Arial Narrow"/>
      </rPr>
      <t xml:space="preserve"> 66</t>
    </r>
    <r>
      <rPr>
        <sz val="10"/>
        <color theme="1"/>
        <rFont val="Arial Narrow"/>
      </rPr>
      <t>(3), 183-196. https://doi.org/10.3311/PPme.18781</t>
    </r>
  </si>
  <si>
    <r>
      <rPr>
        <sz val="10"/>
        <color theme="1"/>
        <rFont val="Arial Narrow"/>
      </rPr>
      <t xml:space="preserve">COFARU, II, OLEKSIK, M., COFARU, N. F., BRANESCU, A. H., HASEGAN, A., ROMAN, M. D., FLEACA, S. R., &amp; DOBROTA, R. D. (2022). A Computer-Assisted Approach Regarding the Optimization of the Geometrical Planning of Medial Opening Wedge High Tibial Osteotomy [Article]. </t>
    </r>
    <r>
      <rPr>
        <i/>
        <sz val="10"/>
        <color theme="1"/>
        <rFont val="Arial Narrow"/>
      </rPr>
      <t>Applied Sciences-Basel</t>
    </r>
    <r>
      <rPr>
        <sz val="10"/>
        <color theme="1"/>
        <rFont val="Arial Narrow"/>
      </rPr>
      <t>,</t>
    </r>
    <r>
      <rPr>
        <i/>
        <sz val="10"/>
        <color theme="1"/>
        <rFont val="Arial Narrow"/>
      </rPr>
      <t xml:space="preserve"> 12</t>
    </r>
    <r>
      <rPr>
        <sz val="10"/>
        <color theme="1"/>
        <rFont val="Arial Narrow"/>
      </rPr>
      <t>(13), 21, Article 6636. https://doi.org/10.3390/app12136636 WOS:000822293000001.</t>
    </r>
  </si>
  <si>
    <r>
      <rPr>
        <sz val="10"/>
        <color theme="1"/>
        <rFont val="Arial Narrow"/>
      </rPr>
      <t xml:space="preserve">ROMAN, M. D., RUSSU, O., MOHOR, C., NECULA, R., BOICEAN, A., TODOR, A., MOHOR, C., &amp; FLEACA, S. R. (2022). Outcomes in revision total knee arthroplasty (Review) [Review]. </t>
    </r>
    <r>
      <rPr>
        <i/>
        <sz val="10"/>
        <color theme="1"/>
        <rFont val="Arial Narrow"/>
      </rPr>
      <t>Experimental and Therapeutic Medicine</t>
    </r>
    <r>
      <rPr>
        <sz val="10"/>
        <color theme="1"/>
        <rFont val="Arial Narrow"/>
      </rPr>
      <t>,</t>
    </r>
    <r>
      <rPr>
        <i/>
        <sz val="10"/>
        <color theme="1"/>
        <rFont val="Arial Narrow"/>
      </rPr>
      <t xml:space="preserve"> 23</t>
    </r>
    <r>
      <rPr>
        <sz val="10"/>
        <color theme="1"/>
        <rFont val="Arial Narrow"/>
      </rPr>
      <t>(1), 4, Article 29. https://doi.org/10.3892/etm.2021.10951 WOS:000722315800001.</t>
    </r>
  </si>
  <si>
    <t>ŞTEȚIU, A. A. (ULBS), OLEKSIK, V. (ULBS), ŞTEȚIU, M. (ULBS), BURLIBAȘA, M. (CAROL DAVILLA BUC), TRĂISTARU, V. (CAROL DAVILLA BUC), OANCEA, L. (CAROL DAVILLA BUC), BERTESTEANU, S. (CAROL DAVILLA BUC), IONESCU, I. (CAROL DAVILLA BUC)</t>
  </si>
  <si>
    <t xml:space="preserve"> Modelling and finite element method in dentistry. Romanian Biotechnological Letters, (2015) 20(4), 10579-10584. </t>
  </si>
  <si>
    <r>
      <rPr>
        <sz val="10"/>
        <color theme="1"/>
        <rFont val="Arial Narrow"/>
      </rPr>
      <t xml:space="preserve">AJAJ AL-KORDY, N. M. T., &amp; AL-SAADI, M. H. (2022). Finite Element Study of Stress Distribution with Tooth-Supported Mandibular Overdenture Retained by Ball Attachments or Resilient Telescopic Crowns [Article]. </t>
    </r>
    <r>
      <rPr>
        <i/>
        <sz val="10"/>
        <color theme="1"/>
        <rFont val="Arial Narrow"/>
      </rPr>
      <t>European Journal of Dentistry</t>
    </r>
    <r>
      <rPr>
        <sz val="10"/>
        <color theme="1"/>
        <rFont val="Arial Narrow"/>
      </rPr>
      <t>. https://doi.org/10.1055/s-0042-1749363</t>
    </r>
  </si>
  <si>
    <t>Biomechanical Study of the Osteoporotic Spine Fracture: Optical Approach, (2021), Journal of Personalized Medicine, 11(9), article 907, https://doi.org/10.3390/jpm11090907, WOS:000700782700001</t>
  </si>
  <si>
    <r>
      <rPr>
        <sz val="10"/>
        <color theme="1"/>
        <rFont val="Arial Narrow"/>
      </rPr>
      <t xml:space="preserve">COFARU, II, OLEKSIK, M., COFARU, N. F., BRANESCU, A. H., HASEGAN, A., ROMAN, M. D., FLEACA, S. R., &amp; DOBROTA, R. D. (2022). A Computer-Assisted Approach Regarding the Optimization of the Geometrical Planning of Medial Opening Wedge High Tibial Osteotomy. </t>
    </r>
    <r>
      <rPr>
        <i/>
        <sz val="10"/>
        <color theme="1"/>
        <rFont val="Arial Narrow"/>
      </rPr>
      <t>Applied Sciences-Basel</t>
    </r>
    <r>
      <rPr>
        <sz val="10"/>
        <color theme="1"/>
        <rFont val="Arial Narrow"/>
      </rPr>
      <t>,</t>
    </r>
    <r>
      <rPr>
        <i/>
        <sz val="10"/>
        <color theme="1"/>
        <rFont val="Arial Narrow"/>
      </rPr>
      <t xml:space="preserve"> 12</t>
    </r>
    <r>
      <rPr>
        <sz val="10"/>
        <color theme="1"/>
        <rFont val="Arial Narrow"/>
      </rPr>
      <t>(13), Article 6636. https://doi.org/10.3390/app12136636 WOS:000822293000001.</t>
    </r>
  </si>
  <si>
    <r>
      <rPr>
        <sz val="10"/>
        <color theme="1"/>
        <rFont val="Arial Narrow"/>
      </rPr>
      <t xml:space="preserve">GEORGEANU, V. A., ATASIEI, T., PREDESCU, V., GHEORGHIU, N., FEIER, A. M., &amp; RUSSU, O. M. (2022). Transfemoral Approach in Revision Hip Arthroplasty: A Prospective Analysis of 36 Cases: Radiological and Functional Results at a Minimum 2 Years Follow-up. </t>
    </r>
    <r>
      <rPr>
        <i/>
        <sz val="10"/>
        <color theme="1"/>
        <rFont val="Arial Narrow"/>
      </rPr>
      <t>Medicina-Lithuania</t>
    </r>
    <r>
      <rPr>
        <sz val="10"/>
        <color theme="1"/>
        <rFont val="Arial Narrow"/>
      </rPr>
      <t>,</t>
    </r>
    <r>
      <rPr>
        <i/>
        <sz val="10"/>
        <color theme="1"/>
        <rFont val="Arial Narrow"/>
      </rPr>
      <t xml:space="preserve"> 58</t>
    </r>
    <r>
      <rPr>
        <sz val="10"/>
        <color theme="1"/>
        <rFont val="Arial Narrow"/>
      </rPr>
      <t>(2), Article 237. https://doi.org/10.3390/medicina58020237 WOS:000761150600001.</t>
    </r>
  </si>
  <si>
    <t>PASCU, A., OLEKSIK, V., CURTU, I. (Univ. Transilvania Brașov), AVRIGEAN, E. (toti ULBS sau din tara)</t>
  </si>
  <si>
    <t>Stress and Strain Field Distribution in Ankle-Foot Orthosis (AFO) using FEM. The 20th DAAAM International World Symposium, 25-28 November 2009, Vienna, Austria, ISSN 1726-9679, p. 801-802</t>
  </si>
  <si>
    <r>
      <rPr>
        <sz val="10"/>
        <color theme="1"/>
        <rFont val="Arial Narrow"/>
      </rPr>
      <t xml:space="preserve">SHAHAR, F. S., SULTAN, M. T. H., SAFRI, S. N. A., JAWAID, M., ABU TALIB, A., BASRI, A. A., &amp; SHAH, A. U. M. (2022). Physical, thermal and tensile behaviour of 3D printed kenaf/PLA to suggest its usability for ankle-foot orthosis - a preliminary study. </t>
    </r>
    <r>
      <rPr>
        <i/>
        <sz val="10"/>
        <color theme="1"/>
        <rFont val="Arial Narrow"/>
      </rPr>
      <t>Rapid Prototyping Journal</t>
    </r>
    <r>
      <rPr>
        <sz val="10"/>
        <color theme="1"/>
        <rFont val="Arial Narrow"/>
      </rPr>
      <t>,</t>
    </r>
    <r>
      <rPr>
        <i/>
        <sz val="10"/>
        <color theme="1"/>
        <rFont val="Arial Narrow"/>
      </rPr>
      <t xml:space="preserve"> 28</t>
    </r>
    <r>
      <rPr>
        <sz val="10"/>
        <color theme="1"/>
        <rFont val="Arial Narrow"/>
      </rPr>
      <t>(8), 1573-1588. https://doi.org/10.1108/rpj-08-2021-0207 WOS:000775801700001.</t>
    </r>
  </si>
  <si>
    <t>https://www.emerald.com/insight/content/doi/10.1108/RPJ-08-2021-0207/full/html</t>
  </si>
  <si>
    <t>Geometrical Planning of the Medial Opening Wedge High Tibial Osteotomy-An Experimental Approach, (2022), Applied Sciences-Basel, 12(5), article 2475, https://doi.org/10.3390/app12052475, WOS:000771333700001</t>
  </si>
  <si>
    <r>
      <rPr>
        <sz val="10"/>
        <color theme="1"/>
        <rFont val="Arial Narrow"/>
      </rPr>
      <t xml:space="preserve">COFARU, II, OLEKSIK, M., COFARU, N. F., BRANESCU, A. H., HASEGAN, A., ROMAN, M. D., FLEACA, S. R., &amp; DOBROTA, R. D. (2022). A Computer-Assisted Approach Regarding the Optimization of the Geometrical Planning of Medial Opening Wedge High Tibial Osteotomy. </t>
    </r>
    <r>
      <rPr>
        <i/>
        <sz val="10"/>
        <color theme="1"/>
        <rFont val="Arial Narrow"/>
      </rPr>
      <t>Applied Sciences-Basel</t>
    </r>
    <r>
      <rPr>
        <sz val="10"/>
        <color theme="1"/>
        <rFont val="Arial Narrow"/>
      </rPr>
      <t>,</t>
    </r>
    <r>
      <rPr>
        <i/>
        <sz val="10"/>
        <color theme="1"/>
        <rFont val="Arial Narrow"/>
      </rPr>
      <t xml:space="preserve"> 12</t>
    </r>
    <r>
      <rPr>
        <sz val="10"/>
        <color theme="1"/>
        <rFont val="Arial Narrow"/>
      </rPr>
      <t>(13), Article 6636. https://doi.org/10.3390/app12136636 WOS:000822293000001.</t>
    </r>
  </si>
  <si>
    <t xml:space="preserve">POPP, M.O.; RUSU, G.P.; OLEKSIK, V.; BIRIS, C.; (toți ULBS) </t>
  </si>
  <si>
    <t>Influence of vertical step on forces and dimensional accuracy of SPIF parts–a numerical investigation, 2020 IOP Conf. Ser.: Mater. Sci. Eng. 968 012020, DOI: 10.1088/1757-899X/968/1/012020</t>
  </si>
  <si>
    <r>
      <rPr>
        <sz val="10"/>
        <color theme="1"/>
        <rFont val="Arial Narrow"/>
      </rPr>
      <t xml:space="preserve">BÂRSAN, A., RACZ, S. G., BREAZ, R., &amp; CRENGANIȘ, M. (2022). Dynamic analysis of a robot-based incremental sheet forming using Matlab-Simulink Simscape™ environment [Article]. </t>
    </r>
    <r>
      <rPr>
        <i/>
        <sz val="10"/>
        <color theme="1"/>
        <rFont val="Arial Narrow"/>
      </rPr>
      <t>Materials Today: Proceedings</t>
    </r>
    <r>
      <rPr>
        <sz val="10"/>
        <color theme="1"/>
        <rFont val="Arial Narrow"/>
      </rPr>
      <t>,</t>
    </r>
    <r>
      <rPr>
        <i/>
        <sz val="10"/>
        <color theme="1"/>
        <rFont val="Arial Narrow"/>
      </rPr>
      <t xml:space="preserve"> 62</t>
    </r>
    <r>
      <rPr>
        <sz val="10"/>
        <color theme="1"/>
        <rFont val="Arial Narrow"/>
      </rPr>
      <t>, 2538-2542. https://doi.org/10.1016/j.matpr.2022.03.134</t>
    </r>
  </si>
  <si>
    <t>BLAGA, A., BOLOGA, O., OLEKSIK, V., BREAZ, R. (toti ULBS)</t>
  </si>
  <si>
    <t>Influence of tool path on main strains, thickness reduction and forces in single point incremental forming process, Journal Proceedings in Manufacturing Systems (ICMaS 2011), Vol. 6, Issue 4, 2011,  ISSN 2067-9238p. 191-196</t>
  </si>
  <si>
    <t>BHANDARI, K. S., MURUGESAN, M., LI, S. J., CHEN, W. N., MOON, J., &amp; JUNG, D. W. (2022). Incremental Sheet Forming Simulation of Aluminum Alloys for Industry Level Production. Materials Science Forum, (Volume 1054), 129-133, https://doi.org/10.4028/p-bgl4ij</t>
  </si>
  <si>
    <t>https://www.scientific.net/MSF.1054.129</t>
  </si>
  <si>
    <r>
      <rPr>
        <sz val="10"/>
        <color theme="1"/>
        <rFont val="Arial Narrow"/>
      </rPr>
      <t xml:space="preserve">GOLAKIYA, V. D., CHUDASAMA, M. K., &amp; RAVAL, H. K. (2022). Analyze and Optimize Thinning and Forming Force in Single Point Incremental Forming on AA6061-T6 Using the Finite Element Method. In </t>
    </r>
    <r>
      <rPr>
        <i/>
        <sz val="10"/>
        <color theme="1"/>
        <rFont val="Arial Narrow"/>
      </rPr>
      <t>Recent Advances in Manufacturing Modelling and Optimization: Select Proceedings of RAM 2021</t>
    </r>
    <r>
      <rPr>
        <sz val="10"/>
        <color theme="1"/>
        <rFont val="Arial Narrow"/>
      </rPr>
      <t xml:space="preserve"> (pp. 353-369). Springer. </t>
    </r>
  </si>
  <si>
    <t>https://link.springer.com/chapter/10.1007/978-981-16-9952-8_32</t>
  </si>
  <si>
    <t>BREAZ, R. E., BOLOGA, O. C., RACZ, G. S., OLEKSIK, V. (toți ULBS)</t>
  </si>
  <si>
    <t xml:space="preserve">Improving cnc machine tools accuracy by means of the circular test and simulation, Proceedings in Manufacturing Systems, Vol. 5 (2010), No. 3, p. 157-162 </t>
  </si>
  <si>
    <r>
      <rPr>
        <sz val="10"/>
        <color theme="1"/>
        <rFont val="Arial Narrow"/>
      </rPr>
      <t xml:space="preserve">ISMAIL, H., CHIANG, C.-H., &amp; CHIENG, W.-H. (2022). Onboard Sensor and Actuator Calibration of a Tripod Electric Vehicle Using Circular, Linear, and Cornering Motion Tests. </t>
    </r>
    <r>
      <rPr>
        <i/>
        <sz val="10"/>
        <color theme="1"/>
        <rFont val="Arial Narrow"/>
      </rPr>
      <t>SAE International Journal of Commercial Vehicles</t>
    </r>
    <r>
      <rPr>
        <sz val="10"/>
        <color theme="1"/>
        <rFont val="Arial Narrow"/>
      </rPr>
      <t>,</t>
    </r>
    <r>
      <rPr>
        <i/>
        <sz val="10"/>
        <color theme="1"/>
        <rFont val="Arial Narrow"/>
      </rPr>
      <t xml:space="preserve"> 16</t>
    </r>
    <r>
      <rPr>
        <sz val="10"/>
        <color theme="1"/>
        <rFont val="Arial Narrow"/>
      </rPr>
      <t>(02-16-01-0006).</t>
    </r>
  </si>
  <si>
    <t>https://www.sae.org/publications/technical-papers/content/02-16-01-0006/</t>
  </si>
  <si>
    <t>J. ALVES DE SOUSA, R., AFONSO, D., RUBINO, F., &amp; BEHERA, A. K. (2022). Potential of Incremental Forming Techniques for Aerospace Applications. In: Kuşhan, M.C., Gürgen, S., Sofuoğlu, M.A. (eds) Materials, Structures and Manufacturing for Aircraft. Sustainable Aviation. Springer, Cham. https://doi.org/10.1007/978-3-030-91873-6_12</t>
  </si>
  <si>
    <t>https://link.springer.com/chapter/10.1007/978-3-030-91873-6_12</t>
  </si>
  <si>
    <t>capitol carte publicată în editura Springer, Print ISBN
978-3-030-91872-9</t>
  </si>
  <si>
    <r>
      <rPr>
        <sz val="10"/>
        <color theme="1"/>
        <rFont val="Arial Narrow"/>
      </rPr>
      <t xml:space="preserve">RAZAK, K., ABDULLAH, A., &amp; NOOR, N. Overview and Issues Related to Geometrical Accuracy in the Single-Point Incremental Forming (SPIF) Process of Tailor Welded Blanks. </t>
    </r>
    <r>
      <rPr>
        <i/>
        <sz val="10"/>
        <color theme="1"/>
        <rFont val="Arial Narrow"/>
      </rPr>
      <t>Springback Assessment and Compensation of Tailor Welded Blanks</t>
    </r>
    <r>
      <rPr>
        <sz val="10"/>
        <color theme="1"/>
        <rFont val="Arial Narrow"/>
      </rPr>
      <t>, 67-92.</t>
    </r>
  </si>
  <si>
    <t>Capitol carte publicata Taylor and Francis ISBN:9781003164241 (CRC Press)</t>
  </si>
  <si>
    <r>
      <rPr>
        <sz val="10"/>
        <color theme="1"/>
        <rFont val="Arial Narrow"/>
      </rPr>
      <t xml:space="preserve">RAZAK, K., ABDULLAH, A., &amp; NOOR, N. Overview and Issues Related to Geometrical Accuracy in the Single-Point Incremental Forming (SPIF) Process of Tailor Welded Blanks. </t>
    </r>
    <r>
      <rPr>
        <i/>
        <sz val="10"/>
        <color theme="1"/>
        <rFont val="Arial Narrow"/>
      </rPr>
      <t>Springback Assessment and Compensation of Tailor Welded Blanks</t>
    </r>
    <r>
      <rPr>
        <sz val="10"/>
        <color theme="1"/>
        <rFont val="Arial Narrow"/>
      </rPr>
      <t>, 67-92.</t>
    </r>
  </si>
  <si>
    <t>A Study on the Influence of the Forming Strategy on the Main Strains, Thickness Reduction, and Forces in a Single Point Incremental Forming Process, Advances in materials science and engineering, Volume 2013, ISSN 1687-8434, Article ID 382635, p. 10, DOI: 10.1155/2013/382635</t>
  </si>
  <si>
    <r>
      <rPr>
        <sz val="10"/>
        <color theme="1"/>
        <rFont val="Arial Narrow"/>
      </rPr>
      <t xml:space="preserve">BENDURE, S., JAGTAP, R., &amp; PATEL, M. Numerical and Experimental Investigation on Thinning in Single-Point Incremental Sheet Forming. In </t>
    </r>
    <r>
      <rPr>
        <i/>
        <sz val="10"/>
        <color theme="1"/>
        <rFont val="Arial Narrow"/>
      </rPr>
      <t>Soft Computing in Materials Development and its Sustainability in the Manufacturing Sector</t>
    </r>
    <r>
      <rPr>
        <sz val="10"/>
        <color theme="1"/>
        <rFont val="Arial Narrow"/>
      </rPr>
      <t xml:space="preserve"> (pp. 167-178). CRC Press.</t>
    </r>
  </si>
  <si>
    <t>https://www.taylorfrancis.com/chapters/edit/10.1201/9781003154518-10/numerical-experimental-investigation-thinning-single-point-incremental-sheet-forming-sahil-bendure-rahul-jagtap-malaykumar-patel</t>
  </si>
  <si>
    <t>Capitol carte publicata Taylor and Francis eBook ISBN:9781003154518 (CRC Press)</t>
  </si>
  <si>
    <t>RACZ, G., BREAZ, R., OLEKSIK, V., BOLOGA, O., BRINDASU, P. D. (toți ULBS)</t>
  </si>
  <si>
    <t>Simulated 3-axis versus 5-axis Processing Toolpaths for Single Point Incremental Forming, IOP Conference Series: Materials Science and Engineering, 2019, 564, 012023</t>
  </si>
  <si>
    <r>
      <rPr>
        <sz val="10"/>
        <color theme="1"/>
        <rFont val="Arial Narrow"/>
      </rPr>
      <t xml:space="preserve">RAZAK, K., ABDULLAH, A., &amp; NOOR, N. Overview and Issues Related to Geometrical Accuracy in the Single-Point Incremental Forming (SPIF) Process of Tailor Welded Blanks. </t>
    </r>
    <r>
      <rPr>
        <i/>
        <sz val="10"/>
        <color theme="1"/>
        <rFont val="Arial Narrow"/>
      </rPr>
      <t>Springback Assessment and Compensation of Tailor Welded Blanks</t>
    </r>
    <r>
      <rPr>
        <sz val="10"/>
        <color theme="1"/>
        <rFont val="Arial Narrow"/>
      </rPr>
      <t>, 67-92.</t>
    </r>
  </si>
  <si>
    <t>OLEKSIK, V., DOBROTA, D., RACZ, S. G., RUSU, G. P., POPP, M. O., AVRIGEAN, E.</t>
  </si>
  <si>
    <t>Experimental Research on the Behaviour of Metal Active Gas Tailor Welded Blanks during Single Point Incremental Forming Process. Metals, 11(2), Article 198. https://doi.org/10.3390/met11020198, WOS:000622771200001</t>
  </si>
  <si>
    <r>
      <rPr>
        <sz val="10"/>
        <color theme="1"/>
        <rFont val="Arial Narrow"/>
      </rPr>
      <t xml:space="preserve">RAZAK, K., ABDULLAH, A., &amp; NOOR, N. Overview and Issues Related to Geometrical Accuracy in the Single-Point Incremental Forming (SPIF) Process of Tailor Welded Blanks. </t>
    </r>
    <r>
      <rPr>
        <i/>
        <sz val="10"/>
        <color theme="1"/>
        <rFont val="Arial Narrow"/>
      </rPr>
      <t>Springback Assessment and Compensation of Tailor Welded Blanks</t>
    </r>
    <r>
      <rPr>
        <sz val="10"/>
        <color theme="1"/>
        <rFont val="Arial Narrow"/>
      </rPr>
      <t>, 67-92.</t>
    </r>
  </si>
  <si>
    <r>
      <rPr>
        <sz val="10"/>
        <color theme="1"/>
        <rFont val="Arial Narrow"/>
      </rPr>
      <t xml:space="preserve">CARDOSO, A. S. M., PARDAL, J. M., CHALES, R., MARTINS, C. H., SILVA, M. M., TAVARES, S. S. M., PEDROZA, B. C., &amp; BARBOSA, C. (2022). Fatigue resistance performance of universal cardan joint for automotive application. </t>
    </r>
    <r>
      <rPr>
        <i/>
        <sz val="10"/>
        <color theme="1"/>
        <rFont val="Arial Narrow"/>
      </rPr>
      <t>Engineering Failure Analysis</t>
    </r>
    <r>
      <rPr>
        <sz val="10"/>
        <color theme="1"/>
        <rFont val="Arial Narrow"/>
      </rPr>
      <t>,</t>
    </r>
    <r>
      <rPr>
        <i/>
        <sz val="10"/>
        <color theme="1"/>
        <rFont val="Arial Narrow"/>
      </rPr>
      <t xml:space="preserve"> 135</t>
    </r>
    <r>
      <rPr>
        <sz val="10"/>
        <color theme="1"/>
        <rFont val="Arial Narrow"/>
      </rPr>
      <t>, Article 106128. https://doi.org/10.1016/j.engfailanal.2022.106128 WOS:000799364200001.</t>
    </r>
  </si>
  <si>
    <r>
      <rPr>
        <sz val="10"/>
        <color theme="1"/>
        <rFont val="Arial Narrow"/>
      </rPr>
      <t xml:space="preserve">OZBAKIS, M., YENI, E. C., &amp; KAHYALAR, M. C. (2022). Investigation of the similarity between physical tests and fatigue simulation of flange yoke made of C45 E material used in cardan shaftsUntersuchung der Vergleichbarkeit zwischen physikalischen Versuchen und Ermudungssimulation von in Gelenkwellen verwendeten Flanschmitnehmern aus dem Werkstoff C45 E. </t>
    </r>
    <r>
      <rPr>
        <i/>
        <sz val="10"/>
        <color theme="1"/>
        <rFont val="Arial Narrow"/>
      </rPr>
      <t>Materialwissenschaft Und Werkstofftechnik</t>
    </r>
    <r>
      <rPr>
        <sz val="10"/>
        <color theme="1"/>
        <rFont val="Arial Narrow"/>
      </rPr>
      <t>,</t>
    </r>
    <r>
      <rPr>
        <i/>
        <sz val="10"/>
        <color theme="1"/>
        <rFont val="Arial Narrow"/>
      </rPr>
      <t xml:space="preserve"> 53</t>
    </r>
    <r>
      <rPr>
        <sz val="10"/>
        <color theme="1"/>
        <rFont val="Arial Narrow"/>
      </rPr>
      <t>(7), 798-807. https://doi.org/10.1002/mawe.202000257 WOS:000821944100006.</t>
    </r>
  </si>
  <si>
    <r>
      <rPr>
        <sz val="10"/>
        <color theme="1"/>
        <rFont val="Arial Narrow"/>
      </rPr>
      <t xml:space="preserve">LIAO, J., ZHOU, S. C., &amp; XUE, X. (2022). Twist springback and microstructure analysis of PEEK sheets in ultrasonic-assisted thermal incremental forming. </t>
    </r>
    <r>
      <rPr>
        <i/>
        <sz val="10"/>
        <color theme="1"/>
        <rFont val="Arial Narrow"/>
      </rPr>
      <t>International Journal of Advanced Manufacturing Technology</t>
    </r>
    <r>
      <rPr>
        <sz val="10"/>
        <color theme="1"/>
        <rFont val="Arial Narrow"/>
      </rPr>
      <t>,</t>
    </r>
    <r>
      <rPr>
        <i/>
        <sz val="10"/>
        <color theme="1"/>
        <rFont val="Arial Narrow"/>
      </rPr>
      <t xml:space="preserve"> 121</t>
    </r>
    <r>
      <rPr>
        <sz val="10"/>
        <color theme="1"/>
        <rFont val="Arial Narrow"/>
      </rPr>
      <t>(7-8), 5269-5282. https://doi.org/10.1007/s00170-022-09674-3 WOS:000825234500002.</t>
    </r>
  </si>
  <si>
    <r>
      <rPr>
        <sz val="10"/>
        <color theme="1"/>
        <rFont val="Arial Narrow"/>
      </rPr>
      <t xml:space="preserve">MURUGESAN, M., YU, J. H., JUNG, K. S., CHO, S. M., BHANDARI, K. S., &amp; LEE, C. W. (2022). Optimization of Forming Parameters in Incremental Sheet Forming of AA3003-H18 Sheets Using Taguchi Method. </t>
    </r>
    <r>
      <rPr>
        <i/>
        <sz val="10"/>
        <color theme="1"/>
        <rFont val="Arial Narrow"/>
      </rPr>
      <t>Materials</t>
    </r>
    <r>
      <rPr>
        <sz val="10"/>
        <color theme="1"/>
        <rFont val="Arial Narrow"/>
      </rPr>
      <t>,</t>
    </r>
    <r>
      <rPr>
        <i/>
        <sz val="10"/>
        <color theme="1"/>
        <rFont val="Arial Narrow"/>
      </rPr>
      <t xml:space="preserve"> 15</t>
    </r>
    <r>
      <rPr>
        <sz val="10"/>
        <color theme="1"/>
        <rFont val="Arial Narrow"/>
      </rPr>
      <t>(4), Article 1458. https://doi.org/10.3390/ma15041458 WOS:000777460300001.</t>
    </r>
  </si>
  <si>
    <r>
      <rPr>
        <sz val="10"/>
        <color theme="1"/>
        <rFont val="Arial Narrow"/>
      </rPr>
      <t xml:space="preserve">ORAON, M., &amp; SHARMA, V. (2022). Deriving the functional relation of input parameters in single-point incremental forming through dimensional analysis. </t>
    </r>
    <r>
      <rPr>
        <i/>
        <sz val="10"/>
        <color theme="1"/>
        <rFont val="Arial Narrow"/>
      </rPr>
      <t>Frontiers in Mechanical Engineering-Switzerland</t>
    </r>
    <r>
      <rPr>
        <sz val="10"/>
        <color theme="1"/>
        <rFont val="Arial Narrow"/>
      </rPr>
      <t>,</t>
    </r>
    <r>
      <rPr>
        <i/>
        <sz val="10"/>
        <color theme="1"/>
        <rFont val="Arial Narrow"/>
      </rPr>
      <t xml:space="preserve"> 8</t>
    </r>
    <r>
      <rPr>
        <sz val="10"/>
        <color theme="1"/>
        <rFont val="Arial Narrow"/>
      </rPr>
      <t>, Article 1003456. https://doi.org/10.3389/fmech.2022.1003456 WOS:000895833900001.</t>
    </r>
  </si>
  <si>
    <r>
      <rPr>
        <sz val="10"/>
        <color theme="1"/>
        <rFont val="Arial Narrow"/>
      </rPr>
      <t xml:space="preserve">SEN, N., SIRIN, S., KIVAK, T., CIVEK, T., &amp; SECGIN, O. (2022). A new lubrication approach in the SPIF process: Evaluation of the applicability and tribological performance of MQL. </t>
    </r>
    <r>
      <rPr>
        <i/>
        <sz val="10"/>
        <color theme="1"/>
        <rFont val="Arial Narrow"/>
      </rPr>
      <t>Tribology International</t>
    </r>
    <r>
      <rPr>
        <sz val="10"/>
        <color theme="1"/>
        <rFont val="Arial Narrow"/>
      </rPr>
      <t>,</t>
    </r>
    <r>
      <rPr>
        <i/>
        <sz val="10"/>
        <color theme="1"/>
        <rFont val="Arial Narrow"/>
      </rPr>
      <t xml:space="preserve"> 171</t>
    </r>
    <r>
      <rPr>
        <sz val="10"/>
        <color theme="1"/>
        <rFont val="Arial Narrow"/>
      </rPr>
      <t>, Article 107546. https://doi.org/10.1016/j.triboint.2022.107546 WOS:000793345500003.</t>
    </r>
  </si>
  <si>
    <r>
      <rPr>
        <sz val="10"/>
        <color theme="1"/>
        <rFont val="Arial Narrow"/>
      </rPr>
      <t xml:space="preserve">SY, L. V., &amp; VIET, M. V. (2022). Influence of lubricants and lubricating methods on surface roughness in the two-point incremental sheet forming process. </t>
    </r>
    <r>
      <rPr>
        <i/>
        <sz val="10"/>
        <color theme="1"/>
        <rFont val="Arial Narrow"/>
      </rPr>
      <t>International Journal of Advanced Manufacturing Technology</t>
    </r>
    <r>
      <rPr>
        <sz val="10"/>
        <color theme="1"/>
        <rFont val="Arial Narrow"/>
      </rPr>
      <t>,</t>
    </r>
    <r>
      <rPr>
        <i/>
        <sz val="10"/>
        <color theme="1"/>
        <rFont val="Arial Narrow"/>
      </rPr>
      <t xml:space="preserve"> 121</t>
    </r>
    <r>
      <rPr>
        <sz val="10"/>
        <color theme="1"/>
        <rFont val="Arial Narrow"/>
      </rPr>
      <t>(1-2), 1365-1372. https://doi.org/10.1007/s00170-022-09435-2 WOS:000801148900006.</t>
    </r>
  </si>
  <si>
    <r>
      <rPr>
        <sz val="10"/>
        <color theme="1"/>
        <rFont val="Arial Narrow"/>
      </rPr>
      <t xml:space="preserve">TRZEPIECINSKI, T., SZPUNAR, M., DZIERWA, A., &amp; ZABA, K. (2022). Investigation of Surface Roughness in Incremental Sheet Forming of Conical Drawpieces from Pure Titanium Sheets. </t>
    </r>
    <r>
      <rPr>
        <i/>
        <sz val="10"/>
        <color theme="1"/>
        <rFont val="Arial Narrow"/>
      </rPr>
      <t>Materials</t>
    </r>
    <r>
      <rPr>
        <sz val="10"/>
        <color theme="1"/>
        <rFont val="Arial Narrow"/>
      </rPr>
      <t>,</t>
    </r>
    <r>
      <rPr>
        <i/>
        <sz val="10"/>
        <color theme="1"/>
        <rFont val="Arial Narrow"/>
      </rPr>
      <t xml:space="preserve"> 15</t>
    </r>
    <r>
      <rPr>
        <sz val="10"/>
        <color theme="1"/>
        <rFont val="Arial Narrow"/>
      </rPr>
      <t>(12), Article 4278. https://doi.org/10.3390/ma15124278 WOS:000816071300001.</t>
    </r>
  </si>
  <si>
    <r>
      <rPr>
        <sz val="10"/>
        <color theme="1"/>
        <rFont val="Arial Narrow"/>
      </rPr>
      <t xml:space="preserve">AJAY, C. V., ELANGOVAN, S., KAMARAJA, A. S., KUMAR, K. K., &amp; KUMAR, S. P. Optimization and prediction of incremental sheet forming parameters of Titanium grade 5 sheet using a response surface methodology and artificial neural network. </t>
    </r>
    <r>
      <rPr>
        <i/>
        <sz val="10"/>
        <color theme="1"/>
        <rFont val="Arial Narrow"/>
      </rPr>
      <t>Proceedings of the Institution of Mechanical Engineers Part C-Journal of Mechanical Engineering Science</t>
    </r>
    <r>
      <rPr>
        <sz val="10"/>
        <color theme="1"/>
        <rFont val="Arial Narrow"/>
      </rPr>
      <t>. https://doi.org/10.1177/09544062221133674 WOS:000878342300001.</t>
    </r>
  </si>
  <si>
    <r>
      <rPr>
        <sz val="10"/>
        <color theme="1"/>
        <rFont val="Arial Narrow"/>
      </rPr>
      <t xml:space="preserve">BOUZIDI, S., AYADI, M., &amp; BOULILA, A. (2022). Feasibility Study of the SPIF Process Applied to Perforated Sheet Metals. </t>
    </r>
    <r>
      <rPr>
        <i/>
        <sz val="10"/>
        <color theme="1"/>
        <rFont val="Arial Narrow"/>
      </rPr>
      <t>Arabian Journal for Science and Engineering</t>
    </r>
    <r>
      <rPr>
        <sz val="10"/>
        <color theme="1"/>
        <rFont val="Arial Narrow"/>
      </rPr>
      <t>,</t>
    </r>
    <r>
      <rPr>
        <i/>
        <sz val="10"/>
        <color theme="1"/>
        <rFont val="Arial Narrow"/>
      </rPr>
      <t xml:space="preserve"> 47</t>
    </r>
    <r>
      <rPr>
        <sz val="10"/>
        <color theme="1"/>
        <rFont val="Arial Narrow"/>
      </rPr>
      <t>(7), 9225-9252. https://doi.org/10.1007/s13369-022-06570-6 WOS:000756512400002.</t>
    </r>
  </si>
  <si>
    <r>
      <rPr>
        <sz val="10"/>
        <color theme="1"/>
        <rFont val="Arial Narrow"/>
      </rPr>
      <t xml:space="preserve">GATEA, S., TAWFIQ, T. A. S., &amp; OU, H. A. (2022). Numerical and experimental investigation of formability in incremental sheet forming of particle-reinforced metal matrix composite sheets. </t>
    </r>
    <r>
      <rPr>
        <i/>
        <sz val="10"/>
        <color theme="1"/>
        <rFont val="Arial Narrow"/>
      </rPr>
      <t>International Journal of Advanced Manufacturing Technology</t>
    </r>
    <r>
      <rPr>
        <sz val="10"/>
        <color theme="1"/>
        <rFont val="Arial Narrow"/>
      </rPr>
      <t>,</t>
    </r>
    <r>
      <rPr>
        <i/>
        <sz val="10"/>
        <color theme="1"/>
        <rFont val="Arial Narrow"/>
      </rPr>
      <t xml:space="preserve"> 120</t>
    </r>
    <r>
      <rPr>
        <sz val="10"/>
        <color theme="1"/>
        <rFont val="Arial Narrow"/>
      </rPr>
      <t>(3-4), 1889-1900. https://doi.org/10.1007/s00170-022-08881-2 WOS:000757244200002.</t>
    </r>
  </si>
  <si>
    <r>
      <rPr>
        <sz val="10"/>
        <color theme="1"/>
        <rFont val="Arial Narrow"/>
      </rPr>
      <t xml:space="preserve">LI, R. X., &amp; WANG, T. (2022). Research on Single Point Incremental Forming Characteristics of Perforated TA1 Sheet. </t>
    </r>
    <r>
      <rPr>
        <i/>
        <sz val="10"/>
        <color theme="1"/>
        <rFont val="Arial Narrow"/>
      </rPr>
      <t>Metals</t>
    </r>
    <r>
      <rPr>
        <sz val="10"/>
        <color theme="1"/>
        <rFont val="Arial Narrow"/>
      </rPr>
      <t>,</t>
    </r>
    <r>
      <rPr>
        <i/>
        <sz val="10"/>
        <color theme="1"/>
        <rFont val="Arial Narrow"/>
      </rPr>
      <t xml:space="preserve"> 12</t>
    </r>
    <r>
      <rPr>
        <sz val="10"/>
        <color theme="1"/>
        <rFont val="Arial Narrow"/>
      </rPr>
      <t>(11), Article 1944. https://doi.org/10.3390/met12111944 WOS:000895165300001.</t>
    </r>
  </si>
  <si>
    <r>
      <rPr>
        <sz val="10"/>
        <color theme="1"/>
        <rFont val="Arial Narrow"/>
      </rPr>
      <t xml:space="preserve">MANDALOI, G., NAGARGOJE, A., GUPTA, A. K., BANERJEE, G., SHAHARE, H. Y., &amp; TANDON, P. (2022). A Comprehensive Review on Experimental Conditions, Strategies, Performance, and Applications of Incremental Forming for Deformation Machining. </t>
    </r>
    <r>
      <rPr>
        <i/>
        <sz val="10"/>
        <color theme="1"/>
        <rFont val="Arial Narrow"/>
      </rPr>
      <t>Journal of Manufacturing Science and Engineering-Transactions of the Asme</t>
    </r>
    <r>
      <rPr>
        <sz val="10"/>
        <color theme="1"/>
        <rFont val="Arial Narrow"/>
      </rPr>
      <t>,</t>
    </r>
    <r>
      <rPr>
        <i/>
        <sz val="10"/>
        <color theme="1"/>
        <rFont val="Arial Narrow"/>
      </rPr>
      <t xml:space="preserve"> 144</t>
    </r>
    <r>
      <rPr>
        <sz val="10"/>
        <color theme="1"/>
        <rFont val="Arial Narrow"/>
      </rPr>
      <t>(11), Article 110802. https://doi.org/10.1115/1.4054683 WOS:000862043100008.</t>
    </r>
  </si>
  <si>
    <r>
      <rPr>
        <sz val="10"/>
        <color theme="1"/>
        <rFont val="Arial Narrow"/>
      </rPr>
      <t xml:space="preserve">SHAHAR, F. S., SULTAN, M. T. H., SAFRI, S. N. A., JAWAID, M., ABU TALIB, A., BASRI, A. A., &amp; SHAH, A. U. M. (2022). Physical, thermal and tensile behaviour of 3D printed kenaf/PLA to suggest its usability for ankle-foot orthosis - a preliminary study. </t>
    </r>
    <r>
      <rPr>
        <i/>
        <sz val="10"/>
        <color theme="1"/>
        <rFont val="Arial Narrow"/>
      </rPr>
      <t>Rapid Prototyping Journal</t>
    </r>
    <r>
      <rPr>
        <sz val="10"/>
        <color theme="1"/>
        <rFont val="Arial Narrow"/>
      </rPr>
      <t>,</t>
    </r>
    <r>
      <rPr>
        <i/>
        <sz val="10"/>
        <color theme="1"/>
        <rFont val="Arial Narrow"/>
      </rPr>
      <t xml:space="preserve"> 28</t>
    </r>
    <r>
      <rPr>
        <sz val="10"/>
        <color theme="1"/>
        <rFont val="Arial Narrow"/>
      </rPr>
      <t>(8), 1573-1588. https://doi.org/10.1108/rpj-08-2021-0207 WOS:000775801700001.</t>
    </r>
  </si>
  <si>
    <t>PETRUSE, R.E., PUȘCAȘU, S., PASCU, A., BONDREA, I, (toți ULBS)</t>
  </si>
  <si>
    <t>Key factors towards a high-quality additive manufacturing process with ABS material, Materials Today: Proceedings, volume 12, part 2, pag. 358-366 (2019), Online available since 2019/01/01, https://doi.org/10.1016/j.matpr.2019.03.136, WOS:000468465100026</t>
  </si>
  <si>
    <t xml:space="preserve">ANISKEVICH, ANDREY; ZĪLE, EDMUNDS; BULDERBERGA, OLGA; ZELENIAKIENE, DAIVA, (2022) Mechanical characterisation of some polymers used in 3D printing, ECCM 2022 - Proceedings of the 20th European Conference on Composite Materials: Composites Meet SustainabilityVolume 3, Pages 1196 - 12032022 20th European Conference on Composite Materials: Composites Meet Sustainability, ECCM 2022Lausanne26 June 2022through 30 June 2022Code 186802
</t>
  </si>
  <si>
    <t>https://www.scopus.com/record/display.uri?eid=2-s2.0-85149183254&amp;citeCnt=2_DELIM_2_DELIM_CTODS_1657200937_DELIM_1&amp;origin=resultslist&amp;sort=plf-f&amp;refeidnss=2-s2.0-85083291197&amp;src=s&amp;imp=t&amp;sid=f46b749e18bdbfa67b8fa92a3036fe72&amp;sot=ctocbw&amp;sdt=a&amp;sl=64&amp;s=PUBYEAR+AFT+2021+AND+PUBYEAR+BEF+2023+AND+NOT+AU-ID%2857197396119%29&amp;relpos=0&amp;citeCnt=0&amp;searchTerm=</t>
  </si>
  <si>
    <t>MORSIYA C.V., PANDYA S.N, Recent Advancements in Hybrid Investment Casting Process—A Review, Lecture Notes in Mechanical EngineeringPages 817 - 8312022 2nd International Conference on Recent Advances in Manufacturing, RAM 2021Surat10 June 2021through 12 June 2021Code 274439</t>
  </si>
  <si>
    <t>https://www.scopus.com/record/display.uri?eid=2-s2.0-85126386334&amp;citeCnt=2_DELIM_2_DELIM_CTODS_1657200937_DELIM_1&amp;origin=resultslist&amp;sort=plf-f&amp;refeidnss=2-s2.0-85083291197&amp;src=s&amp;imp=t&amp;sid=f46b749e18bdbfa67b8fa92a3036fe72&amp;sot=ctocbw&amp;sdt=a&amp;sl=64&amp;s=PUBYEAR+AFT+2021+AND+PUBYEAR+BEF+2023+AND+NOT+AU-ID%2857197396119%29&amp;relpos=1&amp;citeCnt=1&amp;searchTerm=</t>
  </si>
  <si>
    <t>WoS, WOS:000799280400001
Scopus</t>
  </si>
  <si>
    <t>WoS, WOS:000881186700001
Scopus</t>
  </si>
  <si>
    <r>
      <rPr>
        <sz val="10"/>
        <color theme="1"/>
        <rFont val="Arial Narrow"/>
      </rPr>
      <t xml:space="preserve">ISMAIL, H., CHIANG, C.-H., &amp; CHIENG, W.-H. (2022). Onboard Sensor and Actuator Calibration of a Tripod Electric Vehicle Using Circular, Linear, and Cornering Motion Tests. </t>
    </r>
    <r>
      <rPr>
        <i/>
        <sz val="10"/>
        <color theme="1"/>
        <rFont val="Arial Narrow"/>
      </rPr>
      <t>SAE International Journal of Commercial Vehicles</t>
    </r>
    <r>
      <rPr>
        <sz val="10"/>
        <color theme="1"/>
        <rFont val="Arial Narrow"/>
      </rPr>
      <t>,</t>
    </r>
    <r>
      <rPr>
        <i/>
        <sz val="10"/>
        <color theme="1"/>
        <rFont val="Arial Narrow"/>
      </rPr>
      <t xml:space="preserve"> 16</t>
    </r>
    <r>
      <rPr>
        <sz val="10"/>
        <color theme="1"/>
        <rFont val="Arial Narrow"/>
      </rPr>
      <t>(02-16-01-0006).</t>
    </r>
  </si>
  <si>
    <t>WoS, WOS:000772757100002
Scopus</t>
  </si>
  <si>
    <t>WoS, WOS:000823369000005
Scopus</t>
  </si>
  <si>
    <t>WoS, WOS:000766621900002
Scopus</t>
  </si>
  <si>
    <t>Zhu, YH, Jiao, J, Automatic Control System Design for Industrial Robots Based on Simulated Annealing and PID Algorithms, Advances in multimedia, vol 2022, Article Number9226576, DOI10.1155/2022/9226576</t>
  </si>
  <si>
    <t>https://www.webofscience.com/wos/woscc/full-record/WOS:000807449800001</t>
  </si>
  <si>
    <t>WoS
WOS:000807449800001
Scopus</t>
  </si>
  <si>
    <t>WoS, WOS:000787434900001
Scopus</t>
  </si>
  <si>
    <t>Academic Press
Scopus</t>
  </si>
  <si>
    <t>Chalal, H; Racz, SG , Balan, T</t>
  </si>
  <si>
    <t>Springback of thick sheet AHSS subject to bending under tension</t>
  </si>
  <si>
    <t>Yan Sun Ying Zhang, Zhiying Chen, Xinchang Lin, Xiaohu Zhao, Yingjie Li, Shuo Yao, Xuan Wang, Xuewen Zheng, Investigation on compression-springback performance of the SUS301 stainless steel gasket considering the residual stress, Materials today communications, Volume 33 , Article Number104296, DOI10.1016/j.mtcomm.2022.104296</t>
  </si>
  <si>
    <t>https://www.webofscience.com/wos/woscc/full-record/WOS:000867444700003</t>
  </si>
  <si>
    <t>WoS
WOS:000867444700003
Scopus</t>
  </si>
  <si>
    <t>Yang, Y.,  He, ZR ., Ma, J.,  Yang, H., Min, JY., Zang, SL.,Li, H ., Evolving asymmetric and anisotropic hardening of CP-Ti sheets under monotonic and reverse loading: Characterization and modeling,  International journal of plasticity., 159., Article Number103445., DOI10.1016/j.ijplas.2022.103445</t>
  </si>
  <si>
    <t>https://www.webofscience.com/wos/woscc/full-record/WOS:000868938200001</t>
  </si>
  <si>
    <t>WoS
WOS:000868938200001
Scopus</t>
  </si>
  <si>
    <t>Yang, YF., Chalal, ., Baudouin, C., Vincze, G., Balan, T., Prediction of springback after bending under tension., Imnternational Journal of material forming., 15., 3., Article Number34, DOI10.1007/s12289-022-01689-1</t>
  </si>
  <si>
    <t>https://www.webofscience.com/wos/woscc/full-record/WOS:000778983800001</t>
  </si>
  <si>
    <t>WoSWOS:000778983800001
Scopus</t>
  </si>
  <si>
    <t xml:space="preserve">Dobrotă, D.; Racz, S.-G.; Oleksik, M.; Rotaru, I.; Tomescu, M.; Simion, C.M. </t>
  </si>
  <si>
    <t>Slavov, S and Markov, O., A tool for ball burnishing with ability for wire and wireless monitoring of the deforming force values, Acta Technica Napocensis Series-Applied Mathematics Mechanics And Engineering, 65, 4, 1327-1334</t>
  </si>
  <si>
    <t>WOS 
WOS:000969679100047</t>
  </si>
  <si>
    <t>Liu, ZB, Cheng, K, Peng, KR,Exploring the deformation potential of composite materials processed by incremental sheet forming: a review, International Journal of Advanced Manufacturing Technology, Volume118, Issue7-8, Page 2099-2137, DOI10.1007/s00170-021-08081-4, PublishedFEB 2022</t>
  </si>
  <si>
    <t>Oleksik, V ., Pascu, A., Deac, C ., Fleaca, R., Bologa, O., Racz, G</t>
  </si>
  <si>
    <t>Juan Liao, Shaocong Zhou, Xin Xue, Twist springback and microstructure analysis of PEEK sheets in ultrasonic-assisted thermal incremental forming, The International Journal of Advanced Manufacturing Technology volume 121, pages5269–5282</t>
  </si>
  <si>
    <t>https://www.webofscience.com/wos/woscc/full-record/WOS:000825234500002</t>
  </si>
  <si>
    <t>WoS
WOS:000825234500002
Scopus</t>
  </si>
  <si>
    <t>Le Van Sy ,  Ma Van Viet , Influence of lubricants and lubricating methods on surface roughness in the two-point incremental sheet forming process, The International Journal of Advanced Manufacturing Technology volume 121, pages1365–1372</t>
  </si>
  <si>
    <t>https://www.webofscience.com/wos/woscc/full-record/WOS:000801148900006</t>
  </si>
  <si>
    <t>WoS
WOS:000801148900006
Scopus</t>
  </si>
  <si>
    <t>Manish Oraon, Vinay Sharma, Deriving the functional relation of input parameters in single-point incremental forming through dimensional analysis, Frontiewrs in mechanical engineering Switzerland, 8, Article Number1003456, DOI10.3389/fmech.2022.1003456</t>
  </si>
  <si>
    <t>https://www.webofscience.com/wos/woscc/full-record/WOS:000895833900001</t>
  </si>
  <si>
    <t>WoS
WOS:000895833900001
Scopus</t>
  </si>
  <si>
    <t>Murugesan, M.; Yu, J.-H.; Jung, K.-S.; Cho, S.-M.; Bhandari, K.S.; Lee, C.-W. Optimization of Forming Parameters in Incremental Sheet Forming of AA3003-H18 Sheets Using Taguchi Method. Materials 2022, 15, 1458. https://doi.org/10.3390/ma15041458</t>
  </si>
  <si>
    <t>https://www.webofscience.com/wos/woscc/full-record/WOS:000777460300001</t>
  </si>
  <si>
    <t>WoS
WOS:000777460300001
Scopus</t>
  </si>
  <si>
    <t>Nuri Şen, Şenol Şirin, Turgay Kıvak, Tolgahan Civek, Ömer Seçgin, A new lubrication approach in the SPIF process: Evaluation of the applicability and tribological performance of MQL., Tribology International
Volume 171, 107546</t>
  </si>
  <si>
    <t>https://www.webofscience.com/wos/woscc/full-record/WOS:000793345500003</t>
  </si>
  <si>
    <t>WoS
WOS:000793345500003
Scopus</t>
  </si>
  <si>
    <t>Trzepieciński, T.; Szpunar, M.; Dzierwa, A.; Żaba, K. Investigation of Surface Roughness in Incremental Sheet Forming of Conical Drawpieces from Pure Titanium Sheets. Materials 2022, 15, 4278. https://doi.org/10.3390/ma15124278</t>
  </si>
  <si>
    <t>https://www.webofscience.com/wos/woscc/full-record/WOS:000816071300001</t>
  </si>
  <si>
    <t>WoS
WOS:000816071300001
Scopus</t>
  </si>
  <si>
    <r>
      <rPr>
        <sz val="10"/>
        <color theme="1"/>
        <rFont val="Arial Narrow"/>
      </rPr>
      <t xml:space="preserve">RAZAK, K., ABDULLAH, A., &amp; NOOR, N. Overview and Issues Related to Geometrical Accuracy in the Single-Point Incremental Forming (SPIF) Process of Tailor Welded Blanks. </t>
    </r>
    <r>
      <rPr>
        <i/>
        <sz val="10"/>
        <color theme="1"/>
        <rFont val="Arial Narrow"/>
      </rPr>
      <t>Springback Assessment and Compensation of Tailor Welded Blanks</t>
    </r>
    <r>
      <rPr>
        <sz val="10"/>
        <color theme="1"/>
        <rFont val="Arial Narrow"/>
      </rPr>
      <t>, 67-92.</t>
    </r>
  </si>
  <si>
    <t>WoS, WOS:000895165300001
Scopus</t>
  </si>
  <si>
    <t>WoS, WOS:000757017000001
Scopus</t>
  </si>
  <si>
    <t>Racz, SG, Khan, S., Chalal, H., Abed-Meraim, F., Balan, T.</t>
  </si>
  <si>
    <t>Prediction of Springback After Draw-Bending Test Using Different Material Models</t>
  </si>
  <si>
    <t>Luiz, VD., Rodrigues, PCD, 
Design of a Tribo-Simulator for Investigation of the Tribological Behavior of Stainless-Steel Sheets Under Different Contact Conditions., Materials research ibero-american journal of materials, 25, 1, Article Numbere20210220, DOI10.1590/1980-5373-MR-2021-0220</t>
  </si>
  <si>
    <t>https://www.webofscience.com/wos/woscc/full-record/WOS:000723008400001</t>
  </si>
  <si>
    <t>WoS
WOS:000723008400001
Scopus</t>
  </si>
  <si>
    <t>Vlad Dorin, Cioca Lucian-Ionel</t>
  </si>
  <si>
    <r>
      <rPr>
        <sz val="10"/>
        <color theme="1"/>
        <rFont val="Arial Narrow"/>
      </rPr>
      <t xml:space="preserve">Luo, YN (Luo, Yuni) [1] ; Zhu, L (Zhu, Lei) [3] ; Pei, LJ (Pei, Liujun) [2] ; Cai, ZS (Cai, Zaisheng) [1] ; Wang, JP (Wang, Jiping) [2]  -  </t>
    </r>
    <r>
      <rPr>
        <i/>
        <sz val="10"/>
        <color theme="1"/>
        <rFont val="Arial Narrow"/>
      </rPr>
      <t>Sustainable silk dyeing in a silicon non-aqueous dyeing system with Reactive Red 195: salt-free and less alkali</t>
    </r>
    <r>
      <rPr>
        <sz val="10"/>
        <color theme="1"/>
        <rFont val="Arial Narrow"/>
      </rPr>
      <t xml:space="preserve"> - 
TEXTILE RESEARCH JOURNAL, DOI10.1177/00405175221113080
Indexed: 2022-07-27
Document Type: Article;</t>
    </r>
  </si>
  <si>
    <t>https://www.webofscience.com/wos/woscc/full-record/WOS:000828131600001; https://journals.sagepub.com/doi/abs/10.1177/00405175221113080?journalCode=trjc</t>
  </si>
  <si>
    <r>
      <rPr>
        <sz val="10"/>
        <color theme="1"/>
        <rFont val="Arial Narrow"/>
      </rPr>
      <t xml:space="preserve">Luo, YN (Luo, Yuni) [1] ; Zhai, SX (Zhai, Shixiong) [1] ; Pei, LJ (Pei, Liujun) [2] ; Wang, JP (Wang, Jiping) [2] ; Cai, ZS (Cai, Zaisheng) [1] - </t>
    </r>
    <r>
      <rPr>
        <i/>
        <sz val="10"/>
        <color theme="1"/>
        <rFont val="Arial Narrow"/>
      </rPr>
      <t>Environment-Friendly High-Efficiency Continuous Pad Dyeing of Non-Shrinkable Wool Fabric by the Silicon Fixation Method without Auxiliary Chemicals</t>
    </r>
    <r>
      <rPr>
        <sz val="10"/>
        <color theme="1"/>
        <rFont val="Arial Narrow"/>
      </rPr>
      <t xml:space="preserve"> - ACS Sustainable Chemistry and Engineering,  Volume10
Issue11
Page3557-3566
DOI10.1021/acssuschemeng.1c07793
Published: 21.03.2022  Indexed: 2022-04-29
Document Type: Article</t>
    </r>
  </si>
  <si>
    <t>https://www.webofscience.com/wos/woscc/full-record/WOS:000778745000016; https://pubs.acs.org/doi/10.1021/acssuschemeng.1c07793</t>
  </si>
  <si>
    <t>WoS, Google Scholar</t>
  </si>
  <si>
    <r>
      <rPr>
        <sz val="10"/>
        <color rgb="FF000000"/>
        <rFont val="Arial Narrow"/>
      </rPr>
      <t>Liman, MLR (Liman, Md Luthfar Rahman) </t>
    </r>
    <r>
      <rPr>
        <sz val="10"/>
        <color rgb="FF5D33BF"/>
        <rFont val="Arial Narrow"/>
      </rPr>
      <t>[1] </t>
    </r>
    <r>
      <rPr>
        <sz val="10"/>
        <color rgb="FF000000"/>
        <rFont val="Arial Narrow"/>
      </rPr>
      <t>; Islam, MT (Islam, M. Tauhidul) </t>
    </r>
    <r>
      <rPr>
        <sz val="10"/>
        <color rgb="FF5D33BF"/>
        <rFont val="Arial Narrow"/>
      </rPr>
      <t>[2] </t>
    </r>
    <r>
      <rPr>
        <sz val="10"/>
        <color rgb="FF000000"/>
        <rFont val="Arial Narrow"/>
      </rPr>
      <t xml:space="preserve">; Hossain, MM (Hossain, Md Milon) - </t>
    </r>
    <r>
      <rPr>
        <i/>
        <sz val="10"/>
        <color rgb="FF000000"/>
        <rFont val="Arial Narrow"/>
      </rPr>
      <t>Mapping the Progress in Flexible Electrodes for Wearable Electronic Textiles: Materials, Durability, and Applications</t>
    </r>
    <r>
      <rPr>
        <sz val="10"/>
        <color rgb="FF000000"/>
        <rFont val="Arial Narrow"/>
      </rPr>
      <t xml:space="preserve"> - Advanced Electronic Materials- Volume8
Issue1
Article Number2100578
DOI10.1002/aelm.202100578
Published: JAN 2022 </t>
    </r>
  </si>
  <si>
    <t xml:space="preserve">https://www.webofscience.com/wos/woscc/full-record/WOS:000692463600001; https://onlinelibrary.wiley.com/doi/epdf/10.1002/aelm.202100578 </t>
  </si>
  <si>
    <t>Research Regarding the Influence of Raw Material and Woven Fabric Geometry on the Air Permeability of Mattress</t>
  </si>
  <si>
    <r>
      <rPr>
        <sz val="10"/>
        <color theme="1"/>
        <rFont val="Arial Narrow"/>
      </rPr>
      <t xml:space="preserve">Abel, PJ (Abel, Patricia Julie) [1] ; Unmar, R (Unmar, Roshan) [1] ; Rosunee, S (Rosunee, Satyadev) [1] - </t>
    </r>
    <r>
      <rPr>
        <i/>
        <sz val="10"/>
        <color theme="1"/>
        <rFont val="Arial Narrow"/>
      </rPr>
      <t>Engineering the comfort parameters of 100% cotton plain woven fabrics</t>
    </r>
    <r>
      <rPr>
        <sz val="10"/>
        <color theme="1"/>
        <rFont val="Arial Narrow"/>
      </rPr>
      <t xml:space="preserve"> - Journal of the Textile Institut - Volume113
Issue9
Page1806-1815
DOI10.1080/00405000.2021.1948696
Published: 02.09.2022
Document Type:Article</t>
    </r>
  </si>
  <si>
    <t>https://www.webofscience.com/wos/woscc/full-record/WOS:000675089000001; https://www.researchgate.net/publication/353347586_Engineering_the_comfort_parameters_of_100_cotton_plain_woven_fabrics</t>
  </si>
  <si>
    <r>
      <rPr>
        <sz val="10"/>
        <color rgb="FF000000"/>
        <rFont val="Arial Narrow"/>
      </rPr>
      <t>Atalie, D (Atalie, Desalegn) </t>
    </r>
    <r>
      <rPr>
        <sz val="10"/>
        <color rgb="FF5D33BF"/>
        <rFont val="Arial Narrow"/>
      </rPr>
      <t>[1] </t>
    </r>
    <r>
      <rPr>
        <sz val="10"/>
        <color rgb="FF000000"/>
        <rFont val="Arial Narrow"/>
      </rPr>
      <t>; Ashagre, G (Ashagre, Gashaw) </t>
    </r>
    <r>
      <rPr>
        <sz val="10"/>
        <color rgb="FF5D33BF"/>
        <rFont val="Arial Narrow"/>
      </rPr>
      <t>[1]</t>
    </r>
    <r>
      <rPr>
        <sz val="10"/>
        <color rgb="FF000000"/>
        <rFont val="Arial Narrow"/>
      </rPr>
      <t xml:space="preserve"> - </t>
    </r>
    <r>
      <rPr>
        <i/>
        <sz val="10"/>
        <color rgb="FF000000"/>
        <rFont val="Arial Narrow"/>
      </rPr>
      <t xml:space="preserve">Abrasion, Pilling, and Snagging Properties of Half-bleached Bedsheet Fabrics Made from 100% Cotton Yarns with Various Parameters </t>
    </r>
    <r>
      <rPr>
        <sz val="10"/>
        <color rgb="FF000000"/>
        <rFont val="Arial Narrow"/>
      </rPr>
      <t>- Journal of natural Fibers, Volume19
Issue10
Page3788-3796
DOI10.1080/15440478.2020.1848727
PublishedOCT 3 2022
Document TypeArticle</t>
    </r>
  </si>
  <si>
    <t>Vlad Dorin, Oleksik Mihaela</t>
  </si>
  <si>
    <t>Research regarding uniaxial tensile strength of nylon woven fabrics, coated and uncoated with silicone</t>
  </si>
  <si>
    <r>
      <rPr>
        <sz val="10"/>
        <color theme="1"/>
        <rFont val="Arial Narrow"/>
      </rPr>
      <t xml:space="preserve">Maslanka, P (Maslanka, Paulina) [1] ; Aleksieiev, A (Aleksieiev, Andrii) [1] ; Korycki, R (Korycki, Ryszard) [2] ; Szafranska, H (Szafranska, Halina) [3] ; Dabrowska, A (Dabrowska, Anna) [4] - </t>
    </r>
    <r>
      <rPr>
        <i/>
        <sz val="10"/>
        <color theme="1"/>
        <rFont val="Arial Narrow"/>
      </rPr>
      <t xml:space="preserve">Experimental and Numerical Determination of Strength Characteristics Related to Paraglider Wing with Fourier Transform Infrared Spectroscopy of Applied Materials  - </t>
    </r>
    <r>
      <rPr>
        <sz val="10"/>
        <color theme="1"/>
        <rFont val="Arial Narrow"/>
      </rPr>
      <t>MATERIALS - Volume15
Issue20
Article Number7291
DOI10.3390/ma15207291
PublishedOCT 2022
Indexed: 2022-11-02
Document Type: Article</t>
    </r>
  </si>
  <si>
    <t>https://www.webofscience.com/wos/woscc/full-record/WOS:000873333800001; https://www.mdpi.com/1996-1944/15/20/7291</t>
  </si>
  <si>
    <r>
      <rPr>
        <sz val="10"/>
        <color rgb="FF000000"/>
        <rFont val="Arial Narrow"/>
      </rPr>
      <t>Revaiah, RG (Revaiah, R. G.)</t>
    </r>
    <r>
      <rPr>
        <sz val="10"/>
        <color rgb="FF5D33BF"/>
        <rFont val="Arial Narrow"/>
      </rPr>
      <t> </t>
    </r>
    <r>
      <rPr>
        <sz val="10"/>
        <color rgb="FF000000"/>
        <rFont val="Arial Narrow"/>
      </rPr>
      <t>; Kotresh, TM (Kotresh, T. M.)</t>
    </r>
    <r>
      <rPr>
        <sz val="10"/>
        <color rgb="FF5D33BF"/>
        <rFont val="Arial Narrow"/>
      </rPr>
      <t> </t>
    </r>
    <r>
      <rPr>
        <sz val="10"/>
        <color rgb="FF000000"/>
        <rFont val="Arial Narrow"/>
      </rPr>
      <t xml:space="preserve">; Kandasubrmanian, B (Kandasubrmanian, Balasubramanian) - </t>
    </r>
    <r>
      <rPr>
        <i/>
        <sz val="10"/>
        <color rgb="FF000000"/>
        <rFont val="Arial Narrow"/>
      </rPr>
      <t>Military customized fabric hyperbaric chamber-design and safety aspects</t>
    </r>
    <r>
      <rPr>
        <sz val="10"/>
        <color rgb="FF000000"/>
        <rFont val="Arial Narrow"/>
      </rPr>
      <t xml:space="preserve"> - Journal of Textile Institute - Volume113
Issue5
Page869-881
DOI10.1080/00405000.2021.1907988
Published: MAY 5 2022
Document Type : Article  </t>
    </r>
  </si>
  <si>
    <t xml:space="preserve">https://www.webofscience.com/wos/woscc/full-record/WOS:000649615500001; https://www.ingentaconnect.com/content/tandf/jti/2022/00000113/00000005/art00016; https://www.tandfonline.com/doi/abs/10.1080/00405000.2021.1907988 </t>
  </si>
  <si>
    <t>WoS, Scopus, Google Scholar</t>
  </si>
  <si>
    <r>
      <rPr>
        <sz val="10"/>
        <color rgb="FF000000"/>
        <rFont val="Arial Narrow"/>
      </rPr>
      <t>Alotaibi, DH (Alotaibi, D. H.) </t>
    </r>
    <r>
      <rPr>
        <sz val="10"/>
        <color rgb="FF5D33BF"/>
        <rFont val="Arial Narrow"/>
      </rPr>
      <t>[Imam Abdulrahman Bin Faisal Univ, Coll Sci, Dept Chem, Dammam, Saudi Arabia] , [Imam Abdulrahman Bin Faisal Univ, Coll Sci, Dept Math, POB 1982, Dammam 31441, Saudi Arabia;
Imam Abdulrahman Bin Faisal Univ, Basic &amp; Appl Sci Res Ctr, Dammam, Saudi Arabia] </t>
    </r>
    <r>
      <rPr>
        <sz val="10"/>
        <color rgb="FF000000"/>
        <rFont val="Arial Narrow"/>
      </rPr>
      <t>; Mliki, E (Mliki, E.) </t>
    </r>
    <r>
      <rPr>
        <sz val="10"/>
        <color rgb="FF5D33BF"/>
        <rFont val="Arial Narrow"/>
      </rPr>
      <t>[Imam Abdulrahman Bin Faisal Univ, Coll Sci, Dept Chem, Dammam, Saudi Arabia; Imam Abdulrahman Bin Faisal Univ, Coll Sci, Dept Math, POB 1982, Dammam 31441, Saudi Arabia; Imam Abdulrahman Bin Faisal Univ, Basic &amp; Appl Sci Res Ctr, Dammam, Saudi Arabia] </t>
    </r>
    <r>
      <rPr>
        <sz val="10"/>
        <color rgb="FF000000"/>
        <rFont val="Arial Narrow"/>
      </rPr>
      <t>; Vrinceanu, N (Vrinceanu, N.) </t>
    </r>
    <r>
      <rPr>
        <sz val="10"/>
        <color rgb="FF5D33BF"/>
        <rFont val="Arial Narrow"/>
      </rPr>
      <t>[L Blaga Univ Sibiu, Dept Chem, Sibiu, Romania] </t>
    </r>
    <r>
      <rPr>
        <sz val="10"/>
        <color rgb="FF000000"/>
        <rFont val="Arial Narrow"/>
      </rPr>
      <t>; Srinivasa, TK (Srinivasa, T. K.) </t>
    </r>
    <r>
      <rPr>
        <sz val="10"/>
        <color rgb="FF5D33BF"/>
        <rFont val="Arial Narrow"/>
      </rPr>
      <t>[PB Siddhartha Coll Arts &amp; Sci, Dept Phys, Vijayawada, Andhra Pradesh, Indi] </t>
    </r>
    <r>
      <rPr>
        <sz val="10"/>
        <color rgb="FF000000"/>
        <rFont val="Arial Narrow"/>
      </rPr>
      <t>; AI-Ohali, ME (AI-Ohali, M. E.) </t>
    </r>
    <r>
      <rPr>
        <sz val="10"/>
        <color rgb="FF5D33BF"/>
        <rFont val="Arial Narrow"/>
      </rPr>
      <t>[Imam Abdulrahman Bin Faisal Univ, Coll Sci, Dept Chem, Dammam, Saudi Arabia; Imam Abdulrahman Bin Faisal Univ, Coll Sci, Dept Math, POB 1982, Dammam 31441, Saudi Arabia; Imam Abdulrahman Bin Faisal Univ, Basic &amp; Appl Sci Res Ctr, Dammam, Saudi Arabia] </t>
    </r>
    <r>
      <rPr>
        <sz val="10"/>
        <color rgb="FF000000"/>
        <rFont val="Arial Narrow"/>
      </rPr>
      <t>; Al-Arfaj, AA (Al-Arfaj, A. A.) </t>
    </r>
    <r>
      <rPr>
        <sz val="10"/>
        <color rgb="FF5D33BF"/>
        <rFont val="Arial Narrow"/>
      </rPr>
      <t>[Imam Abdulrahman Bin Faisal Univ, Coll Sci, Dept Chem, Dammam, Saudi Arabia; Imam Abdulrahman Bin Faisal Univ, Coll Sci, Dept Math, POB 1982, Dammam 31441, Saudi Arabia; Imam Abdulrahman Bin Faisal Univ, Basic &amp; Appl Sci Res Ctr, Dammam, Saudi Arabia] </t>
    </r>
    <r>
      <rPr>
        <sz val="10"/>
        <color rgb="FF000000"/>
        <rFont val="Arial Narrow"/>
      </rPr>
      <t>; Ouerfelli, N (Ouerfelli, Imam Abdulrahman Bin Faisal Univ, Coll Sci, Dept Chem, Dammam, Saudi Arabia; Imam Abdulrahman Bin Faisal Univ, Coll Sci, Dept Math, POB 1982, Dammam 31441, Saudi Arabia; Imam Abdulrahman Bin Faisal Univ, Basic &amp; Appl Sci Res Ctr, Dammam, Saudi Arabia</t>
    </r>
  </si>
  <si>
    <t>Validation of Messaadi equation on viscosity-temperature dependence for some ternary liquid mixtures by statistical correlation analysis</t>
  </si>
  <si>
    <r>
      <rPr>
        <sz val="12"/>
        <color rgb="FF5D33BF"/>
        <rFont val="Arial Narrow"/>
      </rPr>
      <t>Fan, MZ</t>
    </r>
    <r>
      <rPr>
        <sz val="12"/>
        <color theme="1"/>
        <rFont val="Arial Narrow"/>
      </rPr>
      <t>; </t>
    </r>
    <r>
      <rPr>
        <sz val="12"/>
        <color rgb="FF5D33BF"/>
        <rFont val="Arial Narrow"/>
      </rPr>
      <t>Liu, K</t>
    </r>
    <r>
      <rPr>
        <sz val="12"/>
        <color theme="1"/>
        <rFont val="Arial Narrow"/>
      </rPr>
      <t>; (...); </t>
    </r>
    <r>
      <rPr>
        <sz val="12"/>
        <color rgb="FF5D33BF"/>
        <rFont val="Arial Narrow"/>
      </rPr>
      <t xml:space="preserve">Tang, SW; Surface Tension and Viscosity of Ternary Mixtures of N-Methyldiethanolamine plus Sulfolane plus Water; JOURNAL OF CHEMICAL AND ENGINEERING DATA </t>
    </r>
  </si>
  <si>
    <t>https://pubs.acs.org/doi/10.1021/acs.jced.2c00205</t>
  </si>
  <si>
    <t>Asghar, A (Asghar, Adnan) [Univ Utara Malaysia, Sch Quantitat Sci, Sintok 06010, Kedah, Malaysia] ; Lund, LA (Lund, Liaquat Ali) [Sindh Agr Univ, KCAET Khairpur Mirs, Tandojam Sindh 70060, Pakistan] ; Shah, ZH (Shah, Zahir) [Univ Lakki Marwat, Dept Math Sci, Lakki Marwat 28420, Pakistan] ; Vrinceanu, N (Vrinceanu, Narcisa) [Lucian Blaga Univ Sibiu, Dept Ind Machines &amp; Equipments, Fac Engn, 10 Victoriei Blvd, Sibiu 5500204, Romania] ; Deebani, W (Deebani, Wejdan) [King Abdulaziz Univ, Coll Arts &amp; Sci, Dept Math, Rabigh 21911, Saudi Arabia] ; Shutaywi, M (Shutaywi, Meshal) [King Abdulaziz Univ, Coll Arts &amp; Sci, Dept Math, Rabigh 21911, Saudi Arabia]</t>
  </si>
  <si>
    <t>Effect of Thermal Radiation on Three-Dimensional Magnetized Rotating Flow of a Hybrid Nanofluid</t>
  </si>
  <si>
    <r>
      <rPr>
        <sz val="12"/>
        <color rgb="FF5D33BF"/>
        <rFont val="Arial Narrow"/>
      </rPr>
      <t>Abbas, N</t>
    </r>
    <r>
      <rPr>
        <sz val="12"/>
        <color rgb="FF000000"/>
        <rFont val="Arial Narrow"/>
      </rPr>
      <t>; </t>
    </r>
    <r>
      <rPr>
        <sz val="12"/>
        <color rgb="FF5D33BF"/>
        <rFont val="Arial Narrow"/>
      </rPr>
      <t>Nadeem, S</t>
    </r>
    <r>
      <rPr>
        <sz val="12"/>
        <color rgb="FF000000"/>
        <rFont val="Arial Narrow"/>
      </rPr>
      <t> and </t>
    </r>
    <r>
      <rPr>
        <sz val="12"/>
        <color rgb="FF5D33BF"/>
        <rFont val="Arial Narrow"/>
      </rPr>
      <t>Shatanawi, W; Effects of radiation and heat generation for non-Newtonian fluid flow over slendering stretching sheet: Numerically; ZAMM-ZEITSCHRIFT FUR ANGEWANDTE MATHEMATIK UND MECHANIK</t>
    </r>
  </si>
  <si>
    <t>https://onlinelibrary.wiley.com/doi/full/10.1002/zamm.202100299</t>
  </si>
  <si>
    <r>
      <rPr>
        <sz val="12"/>
        <color rgb="FF5D33BF"/>
        <rFont val="Arial Narrow"/>
      </rPr>
      <t>Acharya, N</t>
    </r>
    <r>
      <rPr>
        <sz val="12"/>
        <color rgb="FF000000"/>
        <rFont val="Arial Narrow"/>
      </rPr>
      <t> and </t>
    </r>
    <r>
      <rPr>
        <sz val="12"/>
        <color rgb="FF5D33BF"/>
        <rFont val="Arial Narrow"/>
      </rPr>
      <t>Das, K.; Three-dimensional rotating flow of Cu-Al2O3/kerosene oil hybrid nanofluid in presence of activation energy and thermal radiation; NUMERICAL HEAT TRANSFER PART A-APPLICATIONS</t>
    </r>
  </si>
  <si>
    <t>https://www.tandfonline.com/doi/abs/10.1080/10407782.2022.2147111?journalCode=unht20</t>
  </si>
  <si>
    <r>
      <rPr>
        <sz val="12"/>
        <color rgb="FF5D33BF"/>
        <rFont val="Arial Narrow"/>
      </rPr>
      <t>Alharbi, KAM</t>
    </r>
    <r>
      <rPr>
        <sz val="12"/>
        <color rgb="FF000000"/>
        <rFont val="Arial Narrow"/>
      </rPr>
      <t> and </t>
    </r>
    <r>
      <rPr>
        <sz val="12"/>
        <color rgb="FF5D33BF"/>
        <rFont val="Arial Narrow"/>
      </rPr>
      <t>Adnan; Thermal investigation and physiochemical interaction of H2O and C2H6O2 saturated by Al2O3 and ?Al2O3 nanomaterials; JOURNAL OF APPLIED BIOMATERIALS &amp; FUNCTIONAL MATERIALS</t>
    </r>
  </si>
  <si>
    <t>https://pubmed.ncbi.nlm.nih.gov/36540943/</t>
  </si>
  <si>
    <r>
      <rPr>
        <sz val="12"/>
        <color rgb="FF5D33BF"/>
        <rFont val="Arial Narrow"/>
      </rPr>
      <t>Jeevitha, S</t>
    </r>
    <r>
      <rPr>
        <sz val="12"/>
        <color rgb="FF000000"/>
        <rFont val="Arial Narrow"/>
      </rPr>
      <t>; </t>
    </r>
    <r>
      <rPr>
        <sz val="12"/>
        <color rgb="FF5D33BF"/>
        <rFont val="Arial Narrow"/>
      </rPr>
      <t>Chitra, M</t>
    </r>
    <r>
      <rPr>
        <sz val="12"/>
        <color rgb="FF000000"/>
        <rFont val="Arial Narrow"/>
      </rPr>
      <t> and </t>
    </r>
    <r>
      <rPr>
        <sz val="12"/>
        <color rgb="FF5D33BF"/>
        <rFont val="Arial Narrow"/>
      </rPr>
      <t>Kumar, BR; MHD flow in a rotating vertical cone through a porous medium; HEAT TRANSFER</t>
    </r>
  </si>
  <si>
    <t>https://1511h0eth-y-https-onlinelibrary-wiley-com.z.e-nformation.ro/doi/10.1002/htj.22779</t>
  </si>
  <si>
    <r>
      <rPr>
        <sz val="12"/>
        <color rgb="FF5D33BF"/>
        <rFont val="Arial Narrow"/>
      </rPr>
      <t>Wahid, NS</t>
    </r>
    <r>
      <rPr>
        <sz val="12"/>
        <color rgb="FF000000"/>
        <rFont val="Arial Narrow"/>
      </rPr>
      <t>; </t>
    </r>
    <r>
      <rPr>
        <sz val="12"/>
        <color rgb="FF5D33BF"/>
        <rFont val="Arial Narrow"/>
      </rPr>
      <t>Arifin, NM</t>
    </r>
    <r>
      <rPr>
        <sz val="12"/>
        <color rgb="FF000000"/>
        <rFont val="Arial Narrow"/>
      </rPr>
      <t>; (...); </t>
    </r>
    <r>
      <rPr>
        <sz val="12"/>
        <color rgb="FF5D33BF"/>
        <rFont val="Arial Narrow"/>
      </rPr>
      <t xml:space="preserve">Hafidzuddin, MEH; Hybrid Nanofluid Radiative Mixed Convection Stagnation Point Flow Past a Vertical Flat Plate with Dufour and Soret Effects; MATHEMATICS </t>
    </r>
  </si>
  <si>
    <t>https://www.mdpi.com/2227-7390/10/16/2966</t>
  </si>
  <si>
    <t>Broasca, G (Broasca, G.) [Gheorghe Asachi Tech Univ, Iasi 700050, Romania] ; Borcia, G (Borcia, G.) [Alexandru Ioan Cuza Univ, Iasi 700506, Romania] ; Dumitrascu, N (Dumitrascu, N.) [Alexandru Ioan Cuza Univ, Iasi 700506, Romania] ; Vrinceanu, N (Vrinceanu, N.) [Lucian Blaga University of Sibiu, Romania]</t>
  </si>
  <si>
    <t>Characterization of ZnO coated polyester fabrics for UV protection</t>
  </si>
  <si>
    <r>
      <rPr>
        <sz val="12"/>
        <color rgb="FF5D33BF"/>
        <rFont val="Arial Narrow"/>
      </rPr>
      <t>Abdellatif, FHH</t>
    </r>
    <r>
      <rPr>
        <sz val="12"/>
        <color rgb="FF000000"/>
        <rFont val="Arial Narrow"/>
      </rPr>
      <t>; </t>
    </r>
    <r>
      <rPr>
        <sz val="12"/>
        <color rgb="FF5D33BF"/>
        <rFont val="Arial Narrow"/>
      </rPr>
      <t>Rashed, UM</t>
    </r>
    <r>
      <rPr>
        <sz val="12"/>
        <color rgb="FF000000"/>
        <rFont val="Arial Narrow"/>
      </rPr>
      <t> and </t>
    </r>
    <r>
      <rPr>
        <sz val="12"/>
        <color rgb="FF5D33BF"/>
        <rFont val="Arial Narrow"/>
      </rPr>
      <t xml:space="preserve">Ahmed, HM; Utilization of atmospheric Dielectric barrier discharge plasma for nanoparticles synthesis and immobilization on cotton fabric; EGYPTIAN JOURNAL OF CHEMISTRY </t>
    </r>
  </si>
  <si>
    <t>https://ejchem.journals.ekb.eg/article_198869.html</t>
  </si>
  <si>
    <r>
      <rPr>
        <sz val="12"/>
        <color rgb="FF5D33BF"/>
        <rFont val="Arial Narrow"/>
      </rPr>
      <t>Deng, Y</t>
    </r>
    <r>
      <rPr>
        <sz val="12"/>
        <color rgb="FF000000"/>
        <rFont val="Arial Narrow"/>
      </rPr>
      <t>; </t>
    </r>
    <r>
      <rPr>
        <sz val="12"/>
        <color rgb="FF5D33BF"/>
        <rFont val="Arial Narrow"/>
      </rPr>
      <t>Li, K</t>
    </r>
    <r>
      <rPr>
        <sz val="12"/>
        <color rgb="FF000000"/>
        <rFont val="Arial Narrow"/>
      </rPr>
      <t>; (...); </t>
    </r>
    <r>
      <rPr>
        <sz val="12"/>
        <color rgb="FF5D33BF"/>
        <rFont val="Arial Narrow"/>
      </rPr>
      <t xml:space="preserve">He, L; Novel CNFs-based organic UV-adsorber intercalated ZnAl-LDHs composited films with superior photothermal stability and mechanical properties; INDUSTRIAL CROPS AND PRODUCTS </t>
    </r>
  </si>
  <si>
    <t>https://1510a0etx-y-https-www-sciencedirect-com.z.e-nformation.ro/science/article/abs/pii/S0926669022000383?via%3Dihub</t>
  </si>
  <si>
    <t>Gupta, V; Jain, R; (...); Kumar, L; Investigation of UV blocking properties of ZnO/PMMA free-standing flexible sheets; International Conference on Additive Manufacturing and Advanced Materials (AM2)</t>
  </si>
  <si>
    <t>https://1510a0etx-y-https-www-sciencedirect-com.z.e-nformation.ro/science/article/pii/S2214785322031881?via%3Dihub</t>
  </si>
  <si>
    <r>
      <rPr>
        <sz val="12"/>
        <color rgb="FF5D33BF"/>
        <rFont val="Arial Narrow"/>
      </rPr>
      <t>Khan, MZ</t>
    </r>
    <r>
      <rPr>
        <sz val="12"/>
        <color rgb="FF000000"/>
        <rFont val="Arial Narrow"/>
      </rPr>
      <t>; </t>
    </r>
    <r>
      <rPr>
        <sz val="12"/>
        <color rgb="FF5D33BF"/>
        <rFont val="Arial Narrow"/>
      </rPr>
      <t>Militky, J</t>
    </r>
    <r>
      <rPr>
        <sz val="12"/>
        <color rgb="FF000000"/>
        <rFont val="Arial Narrow"/>
      </rPr>
      <t>; (...); </t>
    </r>
    <r>
      <rPr>
        <sz val="12"/>
        <color rgb="FF5D33BF"/>
        <rFont val="Arial Narrow"/>
      </rPr>
      <t xml:space="preserve">Perveen, S.; Recent advances in superhydrophobic surfaces for practical applications: A review; EUROPEAN POLYMER JOURNAL </t>
    </r>
  </si>
  <si>
    <t>https://1510a0etx-y-https-www-sciencedirect-com.z.e-nformation.ro/science/article/abs/pii/S0014305722004852?via%3Dihub</t>
  </si>
  <si>
    <r>
      <rPr>
        <sz val="12"/>
        <color rgb="FF5D33BF"/>
        <rFont val="Arial Narrow"/>
      </rPr>
      <t>Lopes, JC</t>
    </r>
    <r>
      <rPr>
        <sz val="12"/>
        <color rgb="FF000000"/>
        <rFont val="Arial Narrow"/>
      </rPr>
      <t>; </t>
    </r>
    <r>
      <rPr>
        <sz val="12"/>
        <color rgb="FF5D33BF"/>
        <rFont val="Arial Narrow"/>
      </rPr>
      <t>Sampaio, MJ</t>
    </r>
    <r>
      <rPr>
        <sz val="12"/>
        <color rgb="FF000000"/>
        <rFont val="Arial Narrow"/>
      </rPr>
      <t>; (...); </t>
    </r>
    <r>
      <rPr>
        <sz val="12"/>
        <color rgb="FF5D33BF"/>
        <rFont val="Arial Narrow"/>
      </rPr>
      <t xml:space="preserve">Silva, CG; Synthesis and performance of a composite photocatalyst based on polyester-supported carbon nitride nanosheets for selective oxidation of anisyl alcohol; SURFACES AND INTERFACES </t>
    </r>
  </si>
  <si>
    <t>https://1510a0etx-y-https-www-sciencedirect-com.z.e-nformation.ro/science/article/pii/S2468023022002073?via%3Dihub</t>
  </si>
  <si>
    <t>Pyronneau, K; McGuinness, EK; (...); Losego, MD, Wash Fastness of Hybrid AlOx-PET Fabrics Created via Vapor-Phase Infiltration, ACS APPLIED POLYMER MATERIALS, 
Apr 2022 (Early Access)</t>
  </si>
  <si>
    <t>https://pubs.acs.org/doi/10.1021/acsapm.1c01851</t>
  </si>
  <si>
    <t>Pyronneau, K; McGuinness, EK; (...); Losego, MD; Wash Fastness of Hybrid AlOx-PET Fabrics Created via Vapor-Phase Infiltration; ACS APPLIED POLYMER MATERIALS</t>
  </si>
  <si>
    <t>https://pubs.acs.org/doi/abs/10.1021/acsapm.1c01851</t>
  </si>
  <si>
    <r>
      <rPr>
        <sz val="12"/>
        <color rgb="FF5D33BF"/>
        <rFont val="Arial Narrow"/>
      </rPr>
      <t>Verbic, A</t>
    </r>
    <r>
      <rPr>
        <sz val="12"/>
        <color rgb="FF000000"/>
        <rFont val="Arial Narrow"/>
      </rPr>
      <t>; </t>
    </r>
    <r>
      <rPr>
        <sz val="12"/>
        <color rgb="FF5D33BF"/>
        <rFont val="Arial Narrow"/>
      </rPr>
      <t>Brencic, K</t>
    </r>
    <r>
      <rPr>
        <sz val="12"/>
        <color rgb="FF000000"/>
        <rFont val="Arial Narrow"/>
      </rPr>
      <t>; (...); </t>
    </r>
    <r>
      <rPr>
        <sz val="12"/>
        <color rgb="FF5D33BF"/>
        <rFont val="Arial Narrow"/>
      </rPr>
      <t>Gorjanc, M.; Designing UV-protective and hydrophilic or hydrophobic cotton fabrics through in-situ ZnO synthesis using biodegradable waste extracts; APPLIED SURFACE SCIENCE</t>
    </r>
  </si>
  <si>
    <t>https://1510a0etx-y-https-www-sciencedirect-com.z.e-nformation.ro/science/article/pii/S0169433222014751?via%3Dihub</t>
  </si>
  <si>
    <r>
      <rPr>
        <sz val="12"/>
        <color rgb="FF5D33BF"/>
        <rFont val="Arial Narrow"/>
      </rPr>
      <t>Wang, YF</t>
    </r>
    <r>
      <rPr>
        <sz val="12"/>
        <color rgb="FF000000"/>
        <rFont val="Arial Narrow"/>
      </rPr>
      <t>; </t>
    </r>
    <r>
      <rPr>
        <sz val="12"/>
        <color rgb="FF5D33BF"/>
        <rFont val="Arial Narrow"/>
      </rPr>
      <t>Baheti, V</t>
    </r>
    <r>
      <rPr>
        <sz val="12"/>
        <color rgb="FF000000"/>
        <rFont val="Arial Narrow"/>
      </rPr>
      <t>; (...); </t>
    </r>
    <r>
      <rPr>
        <sz val="12"/>
        <color rgb="FF5D33BF"/>
        <rFont val="Arial Narrow"/>
      </rPr>
      <t>Militky, J.; A facile approach to develop multifunctional cotton fabrics with hydrophobic, self-cleaning and UV protection properties using ZnO particles and fluorocarbon; JOURNAL OF THE TEXTILE INSTITUTE</t>
    </r>
  </si>
  <si>
    <t>https://www.tandfonline.com/doi/abs/10.1080/00405000.2021.1975905?journalCode=tjti20</t>
  </si>
  <si>
    <r>
      <rPr>
        <sz val="10"/>
        <color rgb="FF000000"/>
        <rFont val="Arial Narrow"/>
      </rPr>
      <t>Coman, D (Coman, Diana) </t>
    </r>
    <r>
      <rPr>
        <sz val="10"/>
        <color rgb="FF5D33BF"/>
        <rFont val="Arial Narrow"/>
      </rPr>
      <t>[Lucian Blaga Univ Sibiu, Dept Text Technol, Hermann Oberth Fac Engn, Sibiu 550025, Romania] </t>
    </r>
    <r>
      <rPr>
        <sz val="10"/>
        <color rgb="FF000000"/>
        <rFont val="Arial Narrow"/>
      </rPr>
      <t>; Oancea, S (Oancea, Simona) </t>
    </r>
    <r>
      <rPr>
        <sz val="10"/>
        <color rgb="FF5D33BF"/>
        <rFont val="Arial Narrow"/>
      </rPr>
      <t>[Lucian Blaga Univ Sibiu, Dept Biochem &amp; Toxicol, Fac Agr Sci Food Ind &amp; Environm Protect, Str I Ratiu 7-9, Sibiu 550012, Romania] </t>
    </r>
    <r>
      <rPr>
        <sz val="10"/>
        <color rgb="FF000000"/>
        <rFont val="Arial Narrow"/>
      </rPr>
      <t>; Vrinceanu, N (Lucian Blaga Univ Sibiu, Dept Text Technol, Hermann Oberth Fac Engn, Sibiu 550025, Romania)</t>
    </r>
  </si>
  <si>
    <t>Biofunctionalization of textile materials by antimicrobial treatments: a critical overview</t>
  </si>
  <si>
    <r>
      <rPr>
        <sz val="12"/>
        <color rgb="FF5D33BF"/>
        <rFont val="Arial Narrow"/>
      </rPr>
      <t>Mijas, G</t>
    </r>
    <r>
      <rPr>
        <sz val="12"/>
        <color theme="1"/>
        <rFont val="Arial Narrow"/>
      </rPr>
      <t>; </t>
    </r>
    <r>
      <rPr>
        <sz val="12"/>
        <color rgb="FF5D33BF"/>
        <rFont val="Arial Narrow"/>
      </rPr>
      <t>Josa, M</t>
    </r>
    <r>
      <rPr>
        <sz val="12"/>
        <color theme="1"/>
        <rFont val="Arial Narrow"/>
      </rPr>
      <t>; (...); </t>
    </r>
    <r>
      <rPr>
        <sz val="12"/>
        <color rgb="FF5D33BF"/>
        <rFont val="Arial Narrow"/>
      </rPr>
      <t xml:space="preserve">Riba-Moliner, M; Study of Dyeing Process of Hemp/Cotton Fabrics by Using Natural Dyes Obtained from Rubia tinctorum L. and Calendula officialis; POLYMERS </t>
    </r>
  </si>
  <si>
    <t>https://www.mdpi.com/2073-4360/14/21/4508</t>
  </si>
  <si>
    <r>
      <rPr>
        <sz val="10"/>
        <color rgb="FF000000"/>
        <rFont val="Arial Narrow"/>
      </rPr>
      <t>Grigoriu, AM (Grigoriu, Ana-Maria) </t>
    </r>
    <r>
      <rPr>
        <sz val="10"/>
        <color rgb="FF5D33BF"/>
        <rFont val="Arial Narrow"/>
      </rPr>
      <t>[Gheorghe Asachi Tech Univ, Fac Chem Engn &amp; Environm Protect, Iasi 700050, Romania] </t>
    </r>
    <r>
      <rPr>
        <sz val="10"/>
        <color rgb="FF000000"/>
        <rFont val="Arial Narrow"/>
      </rPr>
      <t>; Luca, C (Luca, Constantin) </t>
    </r>
    <r>
      <rPr>
        <sz val="10"/>
        <color rgb="FF5D33BF"/>
        <rFont val="Arial Narrow"/>
      </rPr>
      <t>[Gheorghe Asachi Tech Univ, Fac Chem Engn &amp; Environm Protect, Iasi 700050, Romania] </t>
    </r>
    <r>
      <rPr>
        <sz val="10"/>
        <color rgb="FF000000"/>
        <rFont val="Arial Narrow"/>
      </rPr>
      <t>; Vrinceanu, N (Vrinceanu, Narcisa) </t>
    </r>
    <r>
      <rPr>
        <sz val="10"/>
        <color rgb="FF5D33BF"/>
        <rFont val="Arial Narrow"/>
      </rPr>
      <t>[Lucian Blaga University of Sibiu, Romania] </t>
    </r>
    <r>
      <rPr>
        <sz val="10"/>
        <color rgb="FF000000"/>
        <rFont val="Arial Narrow"/>
      </rPr>
      <t>; Ciolacu, F (Ciolacu, Florin) </t>
    </r>
    <r>
      <rPr>
        <sz val="10"/>
        <color rgb="FF5D33BF"/>
        <rFont val="Arial Narrow"/>
      </rPr>
      <t>[Gheorghe Asachi Tech Univ, Fac Chem Engn &amp; Environm Protect, Iasi 700050, Romania]</t>
    </r>
    <r>
      <rPr>
        <sz val="10"/>
        <color rgb="FF000000"/>
        <rFont val="Arial Narrow"/>
      </rPr>
      <t>,</t>
    </r>
  </si>
  <si>
    <t>INCLUSION COMPOUNDS OF MONOCHLOROTRIAZINYL-beta-CYCLODEXTRIN GRAFTED ON PAPER SUPPORTS</t>
  </si>
  <si>
    <r>
      <rPr>
        <sz val="10"/>
        <color rgb="FF5D33BF"/>
        <rFont val="Arial Narrow"/>
      </rPr>
      <t>Peng, YG</t>
    </r>
    <r>
      <rPr>
        <sz val="10"/>
        <color theme="1"/>
        <rFont val="Arial Narrow"/>
      </rPr>
      <t>; </t>
    </r>
    <r>
      <rPr>
        <sz val="10"/>
        <color rgb="FF5D33BF"/>
        <rFont val="Arial Narrow"/>
      </rPr>
      <t>Shao, F</t>
    </r>
    <r>
      <rPr>
        <sz val="10"/>
        <color theme="1"/>
        <rFont val="Arial Narrow"/>
      </rPr>
      <t>; (...); </t>
    </r>
    <r>
      <rPr>
        <sz val="10"/>
        <color rgb="FF5D33BF"/>
        <rFont val="Arial Narrow"/>
      </rPr>
      <t>Tao, YX; SiQDs/Cu-2-beta-CD nanoclusters: A fluorescence probe for the mutual non-interference detection of uric acid and L-cysteine under alkaline conditions; INORGANIC CHEMISTRY COMMUNICATIONS</t>
    </r>
  </si>
  <si>
    <t>https://1510a0etx-y-https-www-sciencedirect-com.z.e-nformation.ro/science/article/abs/pii/S1387700322005731?via%3Dihub</t>
  </si>
  <si>
    <t>Guignard, MI (Guignard, Mirela Iorgoaiea) [Gheorghe Asachi Tech Univ Iasi, Fac Text &amp; Leather Engn &amp; Ind Management, Iasi, Romania] ; Campagne, C (Campagne, Christine) [ENSAIT Gemtex, Roubaix 1, France] ; Giraud, S (Giraud, Stephane) [ENSAIT Gemtex, Roubaix 1, France] ; Brebu, M (Brebu, Mihai) [Petru Poni Inst Macromol Chem, R-6600 Iasi, Romania] ; Vrinceanu, N (Vrinceanu, Narcisa) [L Blaga Univ Sibiu, Dept Ind Machines &amp; Equipments, Fac Engn, Sibiu, Romania] ; Cioca, LI (Cioca, Lucian-Ionel) [L Blaga Univ Sibiu, Dept Consulting Training &amp; Lifelong Learning, Fac Engn, Sibiu, Romania]</t>
  </si>
  <si>
    <t>Functionalization of a bamboo knitted fabric using air plasma treatment for the improvement of microcapsules embedding</t>
  </si>
  <si>
    <r>
      <rPr>
        <u/>
        <sz val="11"/>
        <color rgb="FF5D33BF"/>
        <rFont val="Arial Narrow"/>
      </rPr>
      <t>Idumah, CI</t>
    </r>
    <r>
      <rPr>
        <u/>
        <sz val="8"/>
        <color rgb="FF000000"/>
        <rFont val="Arial Narrow"/>
      </rPr>
      <t>; </t>
    </r>
    <r>
      <rPr>
        <u/>
        <sz val="11"/>
        <color rgb="FF5D33BF"/>
        <rFont val="Arial Narrow"/>
      </rPr>
      <t>Ezika, AC</t>
    </r>
    <r>
      <rPr>
        <u/>
        <sz val="8"/>
        <color rgb="FF000000"/>
        <rFont val="Arial Narrow"/>
      </rPr>
      <t> and </t>
    </r>
    <r>
      <rPr>
        <u/>
        <sz val="11"/>
        <color rgb="FF5D33BF"/>
        <rFont val="Arial Narrow"/>
      </rPr>
      <t xml:space="preserve">Enwerem, UE, A review on biomolecular immobilization of polymeric textile biocomposites, bionanocomposites, and nano-biocomposites, J. Textile Institute, Sep 2 2022 </t>
    </r>
  </si>
  <si>
    <t>https://1511m6a5c-y-https-www-tandfonline-com.z.e-nformation.ro/doi/full/10.1080/00405000.2021.1957277</t>
  </si>
  <si>
    <r>
      <rPr>
        <sz val="12"/>
        <color rgb="FF000000"/>
        <rFont val="Arial Narrow"/>
      </rPr>
      <t>Hristodor, CM (Hristodor, Claudia-Mihaela) </t>
    </r>
    <r>
      <rPr>
        <sz val="12"/>
        <color rgb="FF5D33BF"/>
        <rFont val="Arial Narrow"/>
      </rPr>
      <t>[Alexandru Ioan Cuza Univ, Dept Chem Mat, Fac Chem, Iasi 700506, Romania] </t>
    </r>
    <r>
      <rPr>
        <sz val="12"/>
        <color rgb="FF000000"/>
        <rFont val="Arial Narrow"/>
      </rPr>
      <t>; Vrinceanu, N (Vrinceanu, Narcisa) </t>
    </r>
    <r>
      <rPr>
        <sz val="12"/>
        <color rgb="FF5D33BF"/>
        <rFont val="Arial Narrow"/>
      </rPr>
      <t>[Lucian Blaga University of Sibiu, Romania] </t>
    </r>
    <r>
      <rPr>
        <sz val="12"/>
        <color rgb="FF000000"/>
        <rFont val="Arial Narrow"/>
      </rPr>
      <t>; Pui, A (Pui, Aurel) </t>
    </r>
    <r>
      <rPr>
        <sz val="12"/>
        <color rgb="FF5D33BF"/>
        <rFont val="Arial Narrow"/>
      </rPr>
      <t>[Alexandru Ioan Cuza Univ, Dept Chem Mat, Fac Chem, Iasi 700506, Romania] </t>
    </r>
    <r>
      <rPr>
        <sz val="12"/>
        <color rgb="FF000000"/>
        <rFont val="Arial Narrow"/>
      </rPr>
      <t>; Novac, O (Novac, Ovidiu) </t>
    </r>
    <r>
      <rPr>
        <sz val="12"/>
        <color rgb="FF5D33BF"/>
        <rFont val="Arial Narrow"/>
      </rPr>
      <t>[h Asachi Tech Univ Iasi, Fac Engn &amp; Environm Protect, Iasi 700025, Romania] </t>
    </r>
    <r>
      <rPr>
        <sz val="12"/>
        <color rgb="FF000000"/>
        <rFont val="Arial Narrow"/>
      </rPr>
      <t>; Copcia, VE (Copcia, Violeta-Elena) </t>
    </r>
    <r>
      <rPr>
        <sz val="12"/>
        <color rgb="FF5D33BF"/>
        <rFont val="Arial Narrow"/>
      </rPr>
      <t>[Lab Sci Invest, Iasi 700506, Romania] </t>
    </r>
    <r>
      <rPr>
        <sz val="12"/>
        <color rgb="FF000000"/>
        <rFont val="Arial Narrow"/>
      </rPr>
      <t>; Popovici, E (Popovici, Eveline) </t>
    </r>
    <r>
      <rPr>
        <sz val="12"/>
        <color rgb="FF5D33BF"/>
        <rFont val="Arial Narrow"/>
      </rPr>
      <t>[Alexandru Ioan Cuza Univ, Dept Chem Mat, Fac Chem, Iasi 700506, Romania]</t>
    </r>
  </si>
  <si>
    <t>TEXTURAL AND MORPHOLOGICAL CHARACTERIZATION OF CHITOSAN/BENTONITE NANOCOMPOSITE</t>
  </si>
  <si>
    <r>
      <rPr>
        <sz val="12"/>
        <color rgb="FF5D33BF"/>
        <rFont val="Arial Narrow"/>
      </rPr>
      <t>Aadnan, I</t>
    </r>
    <r>
      <rPr>
        <sz val="12"/>
        <color rgb="FF000000"/>
        <rFont val="Arial Narrow"/>
      </rPr>
      <t>; </t>
    </r>
    <r>
      <rPr>
        <sz val="12"/>
        <color rgb="FF5D33BF"/>
        <rFont val="Arial Narrow"/>
      </rPr>
      <t>Zegaoui, O</t>
    </r>
    <r>
      <rPr>
        <sz val="12"/>
        <color rgb="FF000000"/>
        <rFont val="Arial Narrow"/>
      </rPr>
      <t>; (...); </t>
    </r>
    <r>
      <rPr>
        <sz val="12"/>
        <color rgb="FF5D33BF"/>
        <rFont val="Arial Narrow"/>
      </rPr>
      <t xml:space="preserve">da Silva, JCGE; Physicochemical and Photocatalytic Properties under Visible Light of ZnO-Bentonite/Chitosan Hybrid-Biocompositefor Water Remediation; NANOMATERIALS </t>
    </r>
  </si>
  <si>
    <t>https://www.mdpi.com/2079-4991/12/1/102</t>
  </si>
  <si>
    <r>
      <rPr>
        <sz val="12"/>
        <color rgb="FF000000"/>
        <rFont val="Arial Narrow"/>
      </rPr>
      <t>Hristodor, CM (Hristodor, Claudia-Mihaela) </t>
    </r>
    <r>
      <rPr>
        <sz val="12"/>
        <color rgb="FF5D33BF"/>
        <rFont val="Arial Narrow"/>
      </rPr>
      <t>[Alexandru Ioan Cuza Univ, Dept Chem Mat, Fac Chem, Iasi 700506, Romania] </t>
    </r>
    <r>
      <rPr>
        <sz val="12"/>
        <color rgb="FF000000"/>
        <rFont val="Arial Narrow"/>
      </rPr>
      <t>; Vrinceanu, N (Vrinceanu, Narcisa) </t>
    </r>
    <r>
      <rPr>
        <sz val="12"/>
        <color rgb="FF5D33BF"/>
        <rFont val="Arial Narrow"/>
      </rPr>
      <t>[Lucian Blaga University of Sibiu, Romania] </t>
    </r>
    <r>
      <rPr>
        <sz val="12"/>
        <color rgb="FF000000"/>
        <rFont val="Arial Narrow"/>
      </rPr>
      <t>; Pui, A (Pui, Aurel) </t>
    </r>
    <r>
      <rPr>
        <sz val="12"/>
        <color rgb="FF5D33BF"/>
        <rFont val="Arial Narrow"/>
      </rPr>
      <t>[Alexandru Ioan Cuza Univ, Dept Chem Mat, Fac Chem, Iasi 700506, Romania] </t>
    </r>
    <r>
      <rPr>
        <sz val="12"/>
        <color rgb="FF000000"/>
        <rFont val="Arial Narrow"/>
      </rPr>
      <t>; Novac, O (Novac, Ovidiu) </t>
    </r>
    <r>
      <rPr>
        <sz val="12"/>
        <color rgb="FF5D33BF"/>
        <rFont val="Arial Narrow"/>
      </rPr>
      <t>[h Asachi Tech Univ Iasi, Fac Engn &amp; Environm Protect, Iasi 700025, Romania] </t>
    </r>
    <r>
      <rPr>
        <sz val="12"/>
        <color rgb="FF000000"/>
        <rFont val="Arial Narrow"/>
      </rPr>
      <t>; Copcia, VE (Copcia, Violeta-Elena) </t>
    </r>
    <r>
      <rPr>
        <sz val="12"/>
        <color rgb="FF5D33BF"/>
        <rFont val="Arial Narrow"/>
      </rPr>
      <t>[Lab Sci Invest, Iasi 700506, Romania] </t>
    </r>
    <r>
      <rPr>
        <sz val="12"/>
        <color rgb="FF000000"/>
        <rFont val="Arial Narrow"/>
      </rPr>
      <t>; Popovici, E (Popovici, Eveline) </t>
    </r>
    <r>
      <rPr>
        <sz val="12"/>
        <color rgb="FF5D33BF"/>
        <rFont val="Arial Narrow"/>
      </rPr>
      <t>[Alexandru Ioan Cuza Univ, Dept Chem Mat, Fac Chem, Iasi 700506, Romania]</t>
    </r>
  </si>
  <si>
    <t>Baimyrza, PA; Iminova, RS; (...); Kairalapova, GZ, Bionanocomposite Films Based on Chitosan with Bentonite Clay and Polyvinyl Alcohol, Eurasian Chemico-Technological Journal,  2022,  24 (4) , pp.267-275</t>
  </si>
  <si>
    <t>https://ect-journal.kz/index.php/ectj/article/view/1470</t>
  </si>
  <si>
    <r>
      <rPr>
        <sz val="12"/>
        <color rgb="FF000000"/>
        <rFont val="Arial Narrow"/>
      </rPr>
      <t>Hristodor, CM (Hristodor, Claudia-Mihaela) </t>
    </r>
    <r>
      <rPr>
        <sz val="12"/>
        <color rgb="FF5D33BF"/>
        <rFont val="Arial Narrow"/>
      </rPr>
      <t>[Alexandru Ioan Cuza Univ, Dept Chem Mat, Fac Chem, Iasi 700506, Romania] </t>
    </r>
    <r>
      <rPr>
        <sz val="12"/>
        <color rgb="FF000000"/>
        <rFont val="Arial Narrow"/>
      </rPr>
      <t>; Vrinceanu, N (Vrinceanu, Narcisa) </t>
    </r>
    <r>
      <rPr>
        <sz val="12"/>
        <color rgb="FF5D33BF"/>
        <rFont val="Arial Narrow"/>
      </rPr>
      <t>[Lucian Blaga University of Sibiu, Romania] </t>
    </r>
    <r>
      <rPr>
        <sz val="12"/>
        <color rgb="FF000000"/>
        <rFont val="Arial Narrow"/>
      </rPr>
      <t>; Pui, A (Pui, Aurel) </t>
    </r>
    <r>
      <rPr>
        <sz val="12"/>
        <color rgb="FF5D33BF"/>
        <rFont val="Arial Narrow"/>
      </rPr>
      <t>[Alexandru Ioan Cuza Univ, Dept Chem Mat, Fac Chem, Iasi 700506, Romania] </t>
    </r>
    <r>
      <rPr>
        <sz val="12"/>
        <color rgb="FF000000"/>
        <rFont val="Arial Narrow"/>
      </rPr>
      <t>; Novac, O (Novac, Ovidiu) </t>
    </r>
    <r>
      <rPr>
        <sz val="12"/>
        <color rgb="FF5D33BF"/>
        <rFont val="Arial Narrow"/>
      </rPr>
      <t>[h Asachi Tech Univ Iasi, Fac Engn &amp; Environm Protect, Iasi 700025, Romania] </t>
    </r>
    <r>
      <rPr>
        <sz val="12"/>
        <color rgb="FF000000"/>
        <rFont val="Arial Narrow"/>
      </rPr>
      <t>; Copcia, VE (Copcia, Violeta-Elena) </t>
    </r>
    <r>
      <rPr>
        <sz val="12"/>
        <color rgb="FF5D33BF"/>
        <rFont val="Arial Narrow"/>
      </rPr>
      <t>[Lab Sci Invest, Iasi 700506, Romania] </t>
    </r>
    <r>
      <rPr>
        <sz val="12"/>
        <color rgb="FF000000"/>
        <rFont val="Arial Narrow"/>
      </rPr>
      <t>; Popovici, E (Popovici, Eveline) </t>
    </r>
    <r>
      <rPr>
        <sz val="12"/>
        <color rgb="FF5D33BF"/>
        <rFont val="Arial Narrow"/>
      </rPr>
      <t>[Alexandru Ioan Cuza Univ, Dept Chem Mat, Fac Chem, Iasi 700506, Romania]</t>
    </r>
  </si>
  <si>
    <r>
      <rPr>
        <sz val="12"/>
        <color rgb="FF5D33BF"/>
        <rFont val="Arial Narrow"/>
      </rPr>
      <t>de Andrade, BC</t>
    </r>
    <r>
      <rPr>
        <sz val="12"/>
        <color rgb="FF000000"/>
        <rFont val="Arial Narrow"/>
      </rPr>
      <t>; </t>
    </r>
    <r>
      <rPr>
        <sz val="12"/>
        <color rgb="FF5D33BF"/>
        <rFont val="Arial Narrow"/>
      </rPr>
      <t>Gennari, A</t>
    </r>
    <r>
      <rPr>
        <sz val="12"/>
        <color rgb="FF000000"/>
        <rFont val="Arial Narrow"/>
      </rPr>
      <t>; (...); </t>
    </r>
    <r>
      <rPr>
        <sz val="12"/>
        <color rgb="FF5D33BF"/>
        <rFont val="Arial Narrow"/>
      </rPr>
      <t xml:space="preserve">de Souza, CFV.; Nickel-Functionalized Chitosan for the Oriented Immobilization of Histidine-Tagged Enzymes: A Promising Support for Food Bioprocess Applications, CATALYSIS LETTERS </t>
    </r>
  </si>
  <si>
    <t>https://1510g0euz-y-https-link-springer-com.z.e-nformation.ro/article/10.1007/s10562-021-03912-1</t>
  </si>
  <si>
    <r>
      <rPr>
        <sz val="12"/>
        <color rgb="FF000000"/>
        <rFont val="Arial Narrow"/>
      </rPr>
      <t>Hristodor, CM (Hristodor, Claudia-Mihaela) </t>
    </r>
    <r>
      <rPr>
        <sz val="12"/>
        <color rgb="FF5D33BF"/>
        <rFont val="Arial Narrow"/>
      </rPr>
      <t>[Alexandru Ioan Cuza Univ, Dept Chem Mat, Fac Chem, Iasi 700506, Romania] </t>
    </r>
    <r>
      <rPr>
        <sz val="12"/>
        <color rgb="FF000000"/>
        <rFont val="Arial Narrow"/>
      </rPr>
      <t>; Vrinceanu, N (Vrinceanu, Narcisa) </t>
    </r>
    <r>
      <rPr>
        <sz val="12"/>
        <color rgb="FF5D33BF"/>
        <rFont val="Arial Narrow"/>
      </rPr>
      <t>[Lucian Blaga University of Sibiu, Romania] </t>
    </r>
    <r>
      <rPr>
        <sz val="12"/>
        <color rgb="FF000000"/>
        <rFont val="Arial Narrow"/>
      </rPr>
      <t>; Pui, A (Pui, Aurel) </t>
    </r>
    <r>
      <rPr>
        <sz val="12"/>
        <color rgb="FF5D33BF"/>
        <rFont val="Arial Narrow"/>
      </rPr>
      <t>[Alexandru Ioan Cuza Univ, Dept Chem Mat, Fac Chem, Iasi 700506, Romania] </t>
    </r>
    <r>
      <rPr>
        <sz val="12"/>
        <color rgb="FF000000"/>
        <rFont val="Arial Narrow"/>
      </rPr>
      <t>; Novac, O (Novac, Ovidiu) </t>
    </r>
    <r>
      <rPr>
        <sz val="12"/>
        <color rgb="FF5D33BF"/>
        <rFont val="Arial Narrow"/>
      </rPr>
      <t>[h Asachi Tech Univ Iasi, Fac Engn &amp; Environm Protect, Iasi 700025, Romania] </t>
    </r>
    <r>
      <rPr>
        <sz val="12"/>
        <color rgb="FF000000"/>
        <rFont val="Arial Narrow"/>
      </rPr>
      <t>; Copcia, VE (Copcia, Violeta-Elena) </t>
    </r>
    <r>
      <rPr>
        <sz val="12"/>
        <color rgb="FF5D33BF"/>
        <rFont val="Arial Narrow"/>
      </rPr>
      <t>[Lab Sci Invest, Iasi 700506, Romania] </t>
    </r>
    <r>
      <rPr>
        <sz val="12"/>
        <color rgb="FF000000"/>
        <rFont val="Arial Narrow"/>
      </rPr>
      <t>; Popovici, E (Popovici, Eveline) </t>
    </r>
    <r>
      <rPr>
        <sz val="12"/>
        <color rgb="FF5D33BF"/>
        <rFont val="Arial Narrow"/>
      </rPr>
      <t>[Alexandru Ioan Cuza Univ, Dept Chem Mat, Fac Chem, Iasi 700506, Romania]</t>
    </r>
  </si>
  <si>
    <r>
      <rPr>
        <sz val="12"/>
        <color rgb="FF5D33BF"/>
        <rFont val="Arial Narrow"/>
      </rPr>
      <t>Hmeid, HA</t>
    </r>
    <r>
      <rPr>
        <sz val="12"/>
        <color rgb="FF000000"/>
        <rFont val="Arial Narrow"/>
      </rPr>
      <t>; </t>
    </r>
    <r>
      <rPr>
        <sz val="12"/>
        <color rgb="FF5D33BF"/>
        <rFont val="Arial Narrow"/>
      </rPr>
      <t>Akodad, M</t>
    </r>
    <r>
      <rPr>
        <sz val="12"/>
        <color rgb="FF000000"/>
        <rFont val="Arial Narrow"/>
      </rPr>
      <t>; (...); </t>
    </r>
    <r>
      <rPr>
        <sz val="12"/>
        <color rgb="FF5D33BF"/>
        <rFont val="Arial Narrow"/>
      </rPr>
      <t xml:space="preserve">Daoudi, L.; Preliminary characterization and potential use of different clay materials from North-Eastern Morocco in the ceramic industry; </t>
    </r>
  </si>
  <si>
    <t>https://1510a0etx-y-https-www-sciencedirect-com.z.e-nformation.ro/science/article/pii/S2214785322006794?via%3Dihub</t>
  </si>
  <si>
    <r>
      <rPr>
        <sz val="12"/>
        <color rgb="FF000000"/>
        <rFont val="Arial Narrow"/>
      </rPr>
      <t>Hristodor, CM (Hristodor, Claudia-Mihaela) </t>
    </r>
    <r>
      <rPr>
        <sz val="12"/>
        <color rgb="FF5D33BF"/>
        <rFont val="Arial Narrow"/>
      </rPr>
      <t>[Alexandru Ioan Cuza Univ, Dept Chem Mat, Fac Chem, Iasi 700506, Romania] </t>
    </r>
    <r>
      <rPr>
        <sz val="12"/>
        <color rgb="FF000000"/>
        <rFont val="Arial Narrow"/>
      </rPr>
      <t>; Vrinceanu, N (Vrinceanu, Narcisa) </t>
    </r>
    <r>
      <rPr>
        <sz val="12"/>
        <color rgb="FF5D33BF"/>
        <rFont val="Arial Narrow"/>
      </rPr>
      <t>[Lucian Blaga University of Sibiu, Romania] </t>
    </r>
    <r>
      <rPr>
        <sz val="12"/>
        <color rgb="FF000000"/>
        <rFont val="Arial Narrow"/>
      </rPr>
      <t>; Pui, A (Pui, Aurel) </t>
    </r>
    <r>
      <rPr>
        <sz val="12"/>
        <color rgb="FF5D33BF"/>
        <rFont val="Arial Narrow"/>
      </rPr>
      <t>[Alexandru Ioan Cuza Univ, Dept Chem Mat, Fac Chem, Iasi 700506, Romania] </t>
    </r>
    <r>
      <rPr>
        <sz val="12"/>
        <color rgb="FF000000"/>
        <rFont val="Arial Narrow"/>
      </rPr>
      <t>; Novac, O (Novac, Ovidiu) </t>
    </r>
    <r>
      <rPr>
        <sz val="12"/>
        <color rgb="FF5D33BF"/>
        <rFont val="Arial Narrow"/>
      </rPr>
      <t>[h Asachi Tech Univ Iasi, Fac Engn &amp; Environm Protect, Iasi 700025, Romania] </t>
    </r>
    <r>
      <rPr>
        <sz val="12"/>
        <color rgb="FF000000"/>
        <rFont val="Arial Narrow"/>
      </rPr>
      <t>; Copcia, VE (Copcia, Violeta-Elena) </t>
    </r>
    <r>
      <rPr>
        <sz val="12"/>
        <color rgb="FF5D33BF"/>
        <rFont val="Arial Narrow"/>
      </rPr>
      <t>[Lab Sci Invest, Iasi 700506, Romania] </t>
    </r>
    <r>
      <rPr>
        <sz val="12"/>
        <color rgb="FF000000"/>
        <rFont val="Arial Narrow"/>
      </rPr>
      <t>; Popovici, E (Popovici, Eveline) </t>
    </r>
    <r>
      <rPr>
        <sz val="12"/>
        <color rgb="FF5D33BF"/>
        <rFont val="Arial Narrow"/>
      </rPr>
      <t>[Alexandru Ioan Cuza Univ, Dept Chem Mat, Fac Chem, Iasi 700506, Romania]</t>
    </r>
  </si>
  <si>
    <r>
      <rPr>
        <sz val="12"/>
        <color rgb="FF5D33BF"/>
        <rFont val="Arial Narrow"/>
      </rPr>
      <t>Mehandia, S</t>
    </r>
    <r>
      <rPr>
        <sz val="12"/>
        <color rgb="FF000000"/>
        <rFont val="Arial Narrow"/>
      </rPr>
      <t>; </t>
    </r>
    <r>
      <rPr>
        <sz val="12"/>
        <color rgb="FF5D33BF"/>
        <rFont val="Arial Narrow"/>
      </rPr>
      <t>Ahmad, S</t>
    </r>
    <r>
      <rPr>
        <sz val="12"/>
        <color rgb="FF000000"/>
        <rFont val="Arial Narrow"/>
      </rPr>
      <t>; (...); </t>
    </r>
    <r>
      <rPr>
        <sz val="12"/>
        <color rgb="FF5D33BF"/>
        <rFont val="Arial Narrow"/>
      </rPr>
      <t xml:space="preserve">Arya, SK.; Decolorization and detoxification of textile effluent by immobilized laccase-ACS into chitosan-clay composite beads using a packed bed reactor system: An ecofriendly approach; JOURNAL OF WATER PROCESS ENGINEERING </t>
    </r>
  </si>
  <si>
    <t>https://1510a0etx-y-https-www-sciencedirect-com.z.e-nformation.ro/science/article/abs/pii/S2214714422001052?via%3Dihub</t>
  </si>
  <si>
    <r>
      <rPr>
        <sz val="10"/>
        <color rgb="FF000000"/>
        <rFont val="Arial Narrow"/>
      </rPr>
      <t>Ouerfelli, N (Ouerfelli, Najoua) </t>
    </r>
    <r>
      <rPr>
        <sz val="10"/>
        <color rgb="FF5D33BF"/>
        <rFont val="Arial Narrow"/>
      </rPr>
      <t>[1] </t>
    </r>
    <r>
      <rPr>
        <sz val="10"/>
        <color rgb="FF000000"/>
        <rFont val="Arial Narrow"/>
      </rPr>
      <t>; Vrinceanu, N (Vrinceanu, Narcisa) </t>
    </r>
    <r>
      <rPr>
        <sz val="10"/>
        <color rgb="FF5D33BF"/>
        <rFont val="Arial Narrow"/>
      </rPr>
      <t>[2] , [3] </t>
    </r>
    <r>
      <rPr>
        <sz val="10"/>
        <color rgb="FF000000"/>
        <rFont val="Arial Narrow"/>
      </rPr>
      <t>; Mliki, E (Mliki, Ezzedine) </t>
    </r>
    <r>
      <rPr>
        <sz val="10"/>
        <color rgb="FF5D33BF"/>
        <rFont val="Arial Narrow"/>
      </rPr>
      <t>[4] , [5] </t>
    </r>
    <r>
      <rPr>
        <sz val="10"/>
        <color rgb="FF000000"/>
        <rFont val="Arial Narrow"/>
      </rPr>
      <t>; Homeida, AM (Homeida, Abdelgadir M.) </t>
    </r>
    <r>
      <rPr>
        <sz val="10"/>
        <color rgb="FF5D33BF"/>
        <rFont val="Arial Narrow"/>
      </rPr>
      <t>[5] , [6] </t>
    </r>
    <r>
      <rPr>
        <sz val="10"/>
        <color rgb="FF000000"/>
        <rFont val="Arial Narrow"/>
      </rPr>
      <t>; Amin, KA (Amin, Kamal A.) </t>
    </r>
    <r>
      <rPr>
        <sz val="10"/>
        <color rgb="FF5D33BF"/>
        <rFont val="Arial Narrow"/>
      </rPr>
      <t>[5] , [7] </t>
    </r>
    <r>
      <rPr>
        <sz val="10"/>
        <color rgb="FF000000"/>
        <rFont val="Arial Narrow"/>
      </rPr>
      <t>; Ogrodowczyk, M (Ogrodowczyk, Magdalena) </t>
    </r>
    <r>
      <rPr>
        <sz val="10"/>
        <color rgb="FF5D33BF"/>
        <rFont val="Arial Narrow"/>
      </rPr>
      <t>[8] </t>
    </r>
    <r>
      <rPr>
        <sz val="10"/>
        <color rgb="FF000000"/>
        <rFont val="Arial Narrow"/>
      </rPr>
      <t>; Alshehri, FS (Alshehri, Fawziah S.) </t>
    </r>
    <r>
      <rPr>
        <sz val="10"/>
        <color rgb="FF5D33BF"/>
        <rFont val="Arial Narrow"/>
      </rPr>
      <t>[7] </t>
    </r>
    <r>
      <rPr>
        <sz val="10"/>
        <color rgb="FF000000"/>
        <rFont val="Arial Narrow"/>
      </rPr>
      <t>; Ouerfelli, N (Ouerfelli, Noureddine) </t>
    </r>
    <r>
      <rPr>
        <sz val="10"/>
        <color rgb="FF5D33BF"/>
        <rFont val="Arial Narrow"/>
      </rPr>
      <t>[5] , [7]</t>
    </r>
  </si>
  <si>
    <t>Modeling of the irradiation effect on some physicochemical properties of metoprolol tartrate for safe medical uses</t>
  </si>
  <si>
    <t xml:space="preserve">Ramos, P.; Application of Thermal Analysis to Evaluate Pharmaceutical Preparations Containing Theophylline; PHARMACEUTICALS </t>
  </si>
  <si>
    <t>https://www.mdpi.com/1424-8247/15/10/1268</t>
  </si>
  <si>
    <r>
      <rPr>
        <sz val="10"/>
        <color rgb="FF000000"/>
        <rFont val="Arial Narrow"/>
      </rPr>
      <t>Ouerfelli, N (Ouerfelli, Noureddine) </t>
    </r>
    <r>
      <rPr>
        <sz val="10"/>
        <color rgb="FF5D33BF"/>
        <rFont val="Arial Narrow"/>
      </rPr>
      <t>[Univ Tunis El Manar, Inst Super Technol Med Tunis, Lab Biophys &amp; Technol Med, Tunis 1006, Tunisia] </t>
    </r>
    <r>
      <rPr>
        <sz val="10"/>
        <color rgb="FF000000"/>
        <rFont val="Arial Narrow"/>
      </rPr>
      <t>; Vrinceanu, N (Vrinceanu, Narcisa) </t>
    </r>
    <r>
      <rPr>
        <sz val="10"/>
        <color rgb="FF5D33BF"/>
        <rFont val="Arial Narrow"/>
      </rPr>
      <t>[Lucian Blaga Univ Sibiu, Dept Ind Machinery &amp; Equipment, Sibiu 550024, Romania] </t>
    </r>
    <r>
      <rPr>
        <sz val="10"/>
        <color rgb="FF000000"/>
        <rFont val="Arial Narrow"/>
      </rPr>
      <t>; Coman, D (Coman, Diana) </t>
    </r>
    <r>
      <rPr>
        <sz val="10"/>
        <color rgb="FF5D33BF"/>
        <rFont val="Arial Narrow"/>
      </rPr>
      <t>[Lucian Blaga Univ Sibiu, Dept Ind Machinery &amp; Equipment, Sibiu 550024, Romania] </t>
    </r>
    <r>
      <rPr>
        <sz val="10"/>
        <color rgb="FF000000"/>
        <rFont val="Arial Narrow"/>
      </rPr>
      <t xml:space="preserve">; Cioca, AL (Cioca, Adriana Lavinia), </t>
    </r>
  </si>
  <si>
    <r>
      <rPr>
        <sz val="12"/>
        <color rgb="FF5D33BF"/>
        <rFont val="Arial Narrow"/>
      </rPr>
      <t>Lee, TH</t>
    </r>
    <r>
      <rPr>
        <sz val="12"/>
        <color theme="1"/>
        <rFont val="Arial Narrow"/>
      </rPr>
      <t>; </t>
    </r>
    <r>
      <rPr>
        <sz val="12"/>
        <color rgb="FF5D33BF"/>
        <rFont val="Arial Narrow"/>
      </rPr>
      <t>Do, B</t>
    </r>
    <r>
      <rPr>
        <sz val="12"/>
        <color theme="1"/>
        <rFont val="Arial Narrow"/>
      </rPr>
      <t>; (...); </t>
    </r>
    <r>
      <rPr>
        <sz val="12"/>
        <color rgb="FF5D33BF"/>
        <rFont val="Arial Narrow"/>
      </rPr>
      <t xml:space="preserve">Fan, VY.; 
Mitigation Planning and Policies Informed by COVID-19 Modeling: A Framework and Case Study of the State of Hawaii; INTERNATIONAL JOURNAL OF ENVIRONMENTAL RESEARCH AND PUBLIC HEALTH
</t>
    </r>
  </si>
  <si>
    <t>https://www.mdpi.com/1660-4601/19/10/6119</t>
  </si>
  <si>
    <r>
      <rPr>
        <sz val="10"/>
        <color rgb="FF000000"/>
        <rFont val="Arial Narrow"/>
      </rPr>
      <t>Pop, DN (Pop, Daniel N.) </t>
    </r>
    <r>
      <rPr>
        <sz val="10"/>
        <color rgb="FF5D33BF"/>
        <rFont val="Arial Narrow"/>
      </rPr>
      <t>[Lucian Blaga Univ Sibiu, Dept Computers &amp; Elect Engn, Fac Engn, 4 Emil Cioran St, Sibiu 550025, Romania] </t>
    </r>
    <r>
      <rPr>
        <sz val="10"/>
        <color rgb="FF000000"/>
        <rFont val="Arial Narrow"/>
      </rPr>
      <t>; Vrinceanu, N (Vrinceanu, N.) </t>
    </r>
    <r>
      <rPr>
        <sz val="10"/>
        <color rgb="FF5D33BF"/>
        <rFont val="Arial Narrow"/>
      </rPr>
      <t>[Lucian Blaga Univ Sibiu, Dept Ind Machines &amp; Equipments, Fac Engn, 4 Emil Cioran St, Sibiu 550025, Romania] </t>
    </r>
    <r>
      <rPr>
        <sz val="10"/>
        <color rgb="FF000000"/>
        <rFont val="Arial Narrow"/>
      </rPr>
      <t>; Al-Omari, S (Al-Omari, S.) </t>
    </r>
    <r>
      <rPr>
        <sz val="10"/>
        <color rgb="FF5D33BF"/>
        <rFont val="Arial Narrow"/>
      </rPr>
      <t>[Al Balqa Appl Univ, Fac Engn Technol, Dept Phys &amp; Appl Sci, Amman, Jordan] </t>
    </r>
    <r>
      <rPr>
        <sz val="10"/>
        <color rgb="FF000000"/>
        <rFont val="Arial Narrow"/>
      </rPr>
      <t>; Ouerfelli, N (Ouerfelli, N.) </t>
    </r>
    <r>
      <rPr>
        <sz val="10"/>
        <color rgb="FF5D33BF"/>
        <rFont val="Arial Narrow"/>
      </rPr>
      <t>[Imam Abdulrahman Bin Faisal Univ, Dept Chem, Coll Sci, Amman, Saudi Arabia] </t>
    </r>
    <r>
      <rPr>
        <sz val="10"/>
        <color rgb="FF000000"/>
        <rFont val="Arial Narrow"/>
      </rPr>
      <t>; Baleanu, D (Baleanu, D.) </t>
    </r>
    <r>
      <rPr>
        <sz val="10"/>
        <color rgb="FF5D33BF"/>
        <rFont val="Arial Narrow"/>
      </rPr>
      <t>[Cankaya Univ, Eskisehir Yolu 29 Km, TR-06810 Ankara, Turkey] </t>
    </r>
    <r>
      <rPr>
        <sz val="10"/>
        <color rgb="FF000000"/>
        <rFont val="Arial Narrow"/>
      </rPr>
      <t>; Nisar, KS (Nisar, K. S.) </t>
    </r>
    <r>
      <rPr>
        <sz val="10"/>
        <color rgb="FF5D33BF"/>
        <rFont val="Arial Narrow"/>
      </rPr>
      <t>[Prince Sattam Bin Abdulaziz Univ, Dept Math, Coll Arts &amp; Sci, Wadi Aldawasir, Saudi Arabia]</t>
    </r>
  </si>
  <si>
    <t xml:space="preserve">On the solution of a parabolic PDE involving a gas flow through a semi-infinite porous medium, </t>
  </si>
  <si>
    <r>
      <rPr>
        <sz val="12"/>
        <color rgb="FF5D33BF"/>
        <rFont val="Arial Narrow"/>
      </rPr>
      <t>Ahmad, QA</t>
    </r>
    <r>
      <rPr>
        <sz val="12"/>
        <color rgb="FF000000"/>
        <rFont val="Arial Narrow"/>
      </rPr>
      <t>; </t>
    </r>
    <r>
      <rPr>
        <sz val="12"/>
        <color rgb="FF5D33BF"/>
        <rFont val="Arial Narrow"/>
      </rPr>
      <t>Ehsan, MI</t>
    </r>
    <r>
      <rPr>
        <sz val="12"/>
        <color rgb="FF000000"/>
        <rFont val="Arial Narrow"/>
      </rPr>
      <t>; (...); </t>
    </r>
    <r>
      <rPr>
        <sz val="12"/>
        <color rgb="FF5D33BF"/>
        <rFont val="Arial Narrow"/>
      </rPr>
      <t>Noori, FM; Numerical simulation and modeling of a poroelastic media for detection and discrimination of geo-fluids using finite difference method; ALEXANDRIA ENGINEERING JOURNAL</t>
    </r>
  </si>
  <si>
    <t>https://1510a0etx-y-https-www-sciencedirect-com.z.e-nformation.ro/science/article/pii/S1110016821005792?via%3Dihub</t>
  </si>
  <si>
    <r>
      <rPr>
        <sz val="10"/>
        <color rgb="FF000000"/>
        <rFont val="Arial Narrow"/>
      </rPr>
      <t>Pop, DN (Pop, Daniel N.) </t>
    </r>
    <r>
      <rPr>
        <sz val="10"/>
        <color rgb="FF5D33BF"/>
        <rFont val="Arial Narrow"/>
      </rPr>
      <t>[Lucian Blaga Univ Sibiu, Dept Computers &amp; Elect Engn, Fac Engn, 4 Emil Cioran St, Sibiu 550025, Romania] </t>
    </r>
    <r>
      <rPr>
        <sz val="10"/>
        <color rgb="FF000000"/>
        <rFont val="Arial Narrow"/>
      </rPr>
      <t>; Vrinceanu, N (Vrinceanu, N.) </t>
    </r>
    <r>
      <rPr>
        <sz val="10"/>
        <color rgb="FF5D33BF"/>
        <rFont val="Arial Narrow"/>
      </rPr>
      <t>[Lucian Blaga Univ Sibiu, Dept Ind Machines &amp; Equipments, Fac Engn, 4 Emil Cioran St, Sibiu 550025, Romania] </t>
    </r>
    <r>
      <rPr>
        <sz val="10"/>
        <color rgb="FF000000"/>
        <rFont val="Arial Narrow"/>
      </rPr>
      <t>; Al-Omari, S (Al-Omari, S.) </t>
    </r>
    <r>
      <rPr>
        <sz val="10"/>
        <color rgb="FF5D33BF"/>
        <rFont val="Arial Narrow"/>
      </rPr>
      <t>[Al Balqa Appl Univ, Fac Engn Technol, Dept Phys &amp; Appl Sci, Amman, Jordan] </t>
    </r>
    <r>
      <rPr>
        <sz val="10"/>
        <color rgb="FF000000"/>
        <rFont val="Arial Narrow"/>
      </rPr>
      <t>; Ouerfelli, N (Ouerfelli, N.) </t>
    </r>
    <r>
      <rPr>
        <sz val="10"/>
        <color rgb="FF5D33BF"/>
        <rFont val="Arial Narrow"/>
      </rPr>
      <t>[Imam Abdulrahman Bin Faisal Univ, Dept Chem, Coll Sci, Amman, Saudi Arabia] </t>
    </r>
    <r>
      <rPr>
        <sz val="10"/>
        <color rgb="FF000000"/>
        <rFont val="Arial Narrow"/>
      </rPr>
      <t>; Baleanu, D (Baleanu, D.) </t>
    </r>
    <r>
      <rPr>
        <sz val="10"/>
        <color rgb="FF5D33BF"/>
        <rFont val="Arial Narrow"/>
      </rPr>
      <t>[Cankaya Univ, Eskisehir Yolu 29 Km, TR-06810 Ankara, Turkey] </t>
    </r>
    <r>
      <rPr>
        <sz val="10"/>
        <color rgb="FF000000"/>
        <rFont val="Arial Narrow"/>
      </rPr>
      <t>; Nisar, KS (Nisar, K. S.) </t>
    </r>
    <r>
      <rPr>
        <sz val="10"/>
        <color rgb="FF5D33BF"/>
        <rFont val="Arial Narrow"/>
      </rPr>
      <t>[Prince Sattam Bin Abdulaziz Univ, Dept Math, Coll Arts &amp; Sci, Wadi Aldawasir, Saudi Arabia]</t>
    </r>
  </si>
  <si>
    <r>
      <rPr>
        <sz val="12"/>
        <color rgb="FF5D33BF"/>
        <rFont val="Arial Narrow"/>
      </rPr>
      <t>Mary, MLC</t>
    </r>
    <r>
      <rPr>
        <sz val="12"/>
        <color rgb="FF000000"/>
        <rFont val="Arial Narrow"/>
      </rPr>
      <t>; </t>
    </r>
    <r>
      <rPr>
        <sz val="12"/>
        <color rgb="FF5D33BF"/>
        <rFont val="Arial Narrow"/>
      </rPr>
      <t>Saravanakumar, R</t>
    </r>
    <r>
      <rPr>
        <sz val="12"/>
        <color rgb="FF000000"/>
        <rFont val="Arial Narrow"/>
      </rPr>
      <t>; (...); </t>
    </r>
    <r>
      <rPr>
        <sz val="12"/>
        <color rgb="FF5D33BF"/>
        <rFont val="Arial Narrow"/>
      </rPr>
      <t>Lyons, MEG; Mathematical Modelling of Unsteady Flow of Gas in a Semi-Infinite Porous Medium; INTERNATIONAL JOURNAL OF ELECTROCHEMICAL SCIENCE</t>
    </r>
  </si>
  <si>
    <t>http://www.electrochemsci.org/abstracts/vol17/220619.pdf</t>
  </si>
  <si>
    <t>Postolache, P (Postolache, Paraschiva) [Univ Med &amp; Pharm, Grigore T Popa Med Dept, Iasi, Romania] ; Petrescu, V (Petrescu, Valentin) [L Blaga Univ Sibiu, Dept Ind Machines &amp; Equipments, Fac Engn, 2-4 Emil Cioran St, Sibiu 550024, Romania] ; Dumitrascu, DD (Dumitrascu, Dan Dumitru) [L Blaga Univ Sibiu, Dept Ind Machines &amp; Equipments, Fac Engn, 2-4 Emil Cioran St, Sibiu 550024, Romania] ; Rimbu, C (Rimbu, Cristina) [Ion Ionescu Brad Univ Agr Sci &amp; Vet Med Iasi, Dept Publ Hlth, Fac Vet Med, Iasi, Romania] ; Vrinceanu, N (Vrinceanu, Narcisa) [L Blaga Univ Sibiu, Dept Ind Machines &amp; Equipments, Fac Engn, 2-4 Emil Cioran St, Sibiu 550024, Romania] ; Cipaian, CR (Cipaian, Calin Remus) [L Blaga Univ Sibiu, Sibiu, Romania]</t>
  </si>
  <si>
    <t>Research Regarding a Correlation Core-Shell Morphology-Thermal Stability of Silica-Silver Nanoparticles</t>
  </si>
  <si>
    <r>
      <rPr>
        <u/>
        <sz val="11"/>
        <color rgb="FF5D33BF"/>
        <rFont val="Arial Narrow"/>
      </rPr>
      <t>Gemenetzi, A</t>
    </r>
    <r>
      <rPr>
        <u/>
        <sz val="8"/>
        <color rgb="FF000000"/>
        <rFont val="Arial Narrow"/>
      </rPr>
      <t>; </t>
    </r>
    <r>
      <rPr>
        <u/>
        <sz val="11"/>
        <color rgb="FF5D33BF"/>
        <rFont val="Arial Narrow"/>
      </rPr>
      <t>Moularas, C</t>
    </r>
    <r>
      <rPr>
        <u/>
        <sz val="8"/>
        <color rgb="FF000000"/>
        <rFont val="Arial Narrow"/>
      </rPr>
      <t>; (...); </t>
    </r>
    <r>
      <rPr>
        <u/>
        <sz val="11"/>
        <color rgb="FF5D33BF"/>
        <rFont val="Arial Narrow"/>
      </rPr>
      <t>Louloudi, M., Reversible Plasmonic Switch in a Molecular Oxidation Catalysis Process, ACS Catalysis, Aug 19 2022</t>
    </r>
  </si>
  <si>
    <r>
      <rPr>
        <sz val="12"/>
        <color rgb="FF000000"/>
        <rFont val="Arial Narrow"/>
      </rPr>
      <t>Rimbu, C (Rimbu, Cristina) </t>
    </r>
    <r>
      <rPr>
        <sz val="12"/>
        <color rgb="FF5D33BF"/>
        <rFont val="Arial Narrow"/>
      </rPr>
      <t>[Ion Ionescu de la Brad Univ Agr Sci &amp; Vet Med Ias, Dept Publ Hlth, Iasi, Romania] </t>
    </r>
    <r>
      <rPr>
        <sz val="12"/>
        <color rgb="FF000000"/>
        <rFont val="Arial Narrow"/>
      </rPr>
      <t>; Vrinceanu, N (Vrinceanu, Narcisa) </t>
    </r>
    <r>
      <rPr>
        <sz val="12"/>
        <color rgb="FF5D33BF"/>
        <rFont val="Arial Narrow"/>
      </rPr>
      <t>[Lucian Blaga Univ Sibiu, Dept Text Technol, Sibiu, Romania] </t>
    </r>
    <r>
      <rPr>
        <sz val="12"/>
        <color rgb="FF000000"/>
        <rFont val="Arial Narrow"/>
      </rPr>
      <t>; Broasca, G (Broasca, Gianina) </t>
    </r>
    <r>
      <rPr>
        <sz val="12"/>
        <color rgb="FF5D33BF"/>
        <rFont val="Arial Narrow"/>
      </rPr>
      <t>[Gheorghe Asachi Tech Univ Iasi, Dept Ind Engn, Iasi, Romania] </t>
    </r>
    <r>
      <rPr>
        <sz val="12"/>
        <color rgb="FF000000"/>
        <rFont val="Arial Narrow"/>
      </rPr>
      <t>; Farima, D (Farima, Daniela) </t>
    </r>
    <r>
      <rPr>
        <sz val="12"/>
        <color rgb="FF5D33BF"/>
        <rFont val="Arial Narrow"/>
      </rPr>
      <t>[Gheorghe Asachi Tech Univ Iasi, Dept Ind Engn, Iasi, Romania] </t>
    </r>
    <r>
      <rPr>
        <sz val="12"/>
        <color rgb="FF000000"/>
        <rFont val="Arial Narrow"/>
      </rPr>
      <t>; Ciocoiu, M (Ciocoiu, Mihai) </t>
    </r>
    <r>
      <rPr>
        <sz val="12"/>
        <color rgb="FF5D33BF"/>
        <rFont val="Arial Narrow"/>
      </rPr>
      <t>[Gheorghe Asachi Tech Univ Iasi, Dept Ind Engn, Iasi, Romania] </t>
    </r>
    <r>
      <rPr>
        <sz val="12"/>
        <color rgb="FF000000"/>
        <rFont val="Arial Narrow"/>
      </rPr>
      <t>; Campagne, C (Campagne, Cristine) </t>
    </r>
    <r>
      <rPr>
        <sz val="12"/>
        <color rgb="FF5D33BF"/>
        <rFont val="Arial Narrow"/>
      </rPr>
      <t>[ENSAIT, GEMTEX Res Lab, F-59070 Roubaix 1, France] </t>
    </r>
    <r>
      <rPr>
        <sz val="12"/>
        <color rgb="FF000000"/>
        <rFont val="Arial Narrow"/>
      </rPr>
      <t>; Suchea, MP (Suchea, Mirela Petruta) </t>
    </r>
    <r>
      <rPr>
        <sz val="12"/>
        <color rgb="FF5D33BF"/>
        <rFont val="Arial Narrow"/>
      </rPr>
      <t>[echnol Educ Inst Crete, Dept Elect Engn, Sch Appl Technol, Ctr Mat Technol &amp; Photon, Iraklion 71004, Crete, Greece] </t>
    </r>
    <r>
      <rPr>
        <sz val="12"/>
        <color rgb="FF000000"/>
        <rFont val="Arial Narrow"/>
      </rPr>
      <t>; Nistor, A (Nistor, Alexandra) Petru Poni Inst Macromol Chem Iasi, Iasi, Romania</t>
    </r>
  </si>
  <si>
    <t>Zinc oxide application in the textile industry: surface tailoring and water barrier attributes as parameters with direct implication in comfort performance</t>
  </si>
  <si>
    <r>
      <rPr>
        <sz val="12"/>
        <color rgb="FF5D33BF"/>
        <rFont val="Arial Narrow"/>
      </rPr>
      <t>El-Ola, SMA</t>
    </r>
    <r>
      <rPr>
        <sz val="12"/>
        <color rgb="FF000000"/>
        <rFont val="Arial Narrow"/>
      </rPr>
      <t>; </t>
    </r>
    <r>
      <rPr>
        <sz val="12"/>
        <color rgb="FF5D33BF"/>
        <rFont val="Arial Narrow"/>
      </rPr>
      <t>Elshakankery, MH</t>
    </r>
    <r>
      <rPr>
        <sz val="12"/>
        <color rgb="FF000000"/>
        <rFont val="Arial Narrow"/>
      </rPr>
      <t> and </t>
    </r>
    <r>
      <rPr>
        <sz val="12"/>
        <color rgb="FF5D33BF"/>
        <rFont val="Arial Narrow"/>
      </rPr>
      <t>Kotb, RM.; Integration of nanocomposite finishing on polyester fabric for enhanced UV protection, performance, and comfort properties; JOURNAL OF ENGINEERED FIBERS AND FABRICS</t>
    </r>
  </si>
  <si>
    <t>https://journals.sagepub.com/doi/full/10.1177/15589250221119447</t>
  </si>
  <si>
    <r>
      <rPr>
        <sz val="12"/>
        <color rgb="FF000000"/>
        <rFont val="Arial Narrow"/>
      </rPr>
      <t>Rimbu, C (Rimbu, Cristina) </t>
    </r>
    <r>
      <rPr>
        <sz val="12"/>
        <color rgb="FF5D33BF"/>
        <rFont val="Arial Narrow"/>
      </rPr>
      <t>[Ion Ionescu de la Brad Univ Agr Sci &amp; Vet Med Ias, Dept Publ Hlth, Iasi, Romania] </t>
    </r>
    <r>
      <rPr>
        <sz val="12"/>
        <color rgb="FF000000"/>
        <rFont val="Arial Narrow"/>
      </rPr>
      <t>; Vrinceanu, N (Vrinceanu, Narcisa) </t>
    </r>
    <r>
      <rPr>
        <sz val="12"/>
        <color rgb="FF5D33BF"/>
        <rFont val="Arial Narrow"/>
      </rPr>
      <t>[Lucian Blaga Univ Sibiu, Dept Text Technol, Sibiu, Romania] </t>
    </r>
    <r>
      <rPr>
        <sz val="12"/>
        <color rgb="FF000000"/>
        <rFont val="Arial Narrow"/>
      </rPr>
      <t>; Broasca, G (Broasca, Gianina) </t>
    </r>
    <r>
      <rPr>
        <sz val="12"/>
        <color rgb="FF5D33BF"/>
        <rFont val="Arial Narrow"/>
      </rPr>
      <t>[Gheorghe Asachi Tech Univ Iasi, Dept Ind Engn, Iasi, Romania] </t>
    </r>
    <r>
      <rPr>
        <sz val="12"/>
        <color rgb="FF000000"/>
        <rFont val="Arial Narrow"/>
      </rPr>
      <t>; Farima, D (Farima, Daniela) </t>
    </r>
    <r>
      <rPr>
        <sz val="12"/>
        <color rgb="FF5D33BF"/>
        <rFont val="Arial Narrow"/>
      </rPr>
      <t>[Gheorghe Asachi Tech Univ Iasi, Dept Ind Engn, Iasi, Romania] </t>
    </r>
    <r>
      <rPr>
        <sz val="12"/>
        <color rgb="FF000000"/>
        <rFont val="Arial Narrow"/>
      </rPr>
      <t>; Ciocoiu, M (Ciocoiu, Mihai) </t>
    </r>
    <r>
      <rPr>
        <sz val="12"/>
        <color rgb="FF5D33BF"/>
        <rFont val="Arial Narrow"/>
      </rPr>
      <t>[Gheorghe Asachi Tech Univ Iasi, Dept Ind Engn, Iasi, Romania] </t>
    </r>
    <r>
      <rPr>
        <sz val="12"/>
        <color rgb="FF000000"/>
        <rFont val="Arial Narrow"/>
      </rPr>
      <t>; Campagne, C (Campagne, Cristine) </t>
    </r>
    <r>
      <rPr>
        <sz val="12"/>
        <color rgb="FF5D33BF"/>
        <rFont val="Arial Narrow"/>
      </rPr>
      <t>[ENSAIT, GEMTEX Res Lab, F-59070 Roubaix 1, France] </t>
    </r>
    <r>
      <rPr>
        <sz val="12"/>
        <color rgb="FF000000"/>
        <rFont val="Arial Narrow"/>
      </rPr>
      <t>; Suchea, MP (Suchea, Mirela Petruta) </t>
    </r>
    <r>
      <rPr>
        <sz val="12"/>
        <color rgb="FF5D33BF"/>
        <rFont val="Arial Narrow"/>
      </rPr>
      <t>[echnol Educ Inst Crete, Dept Elect Engn, Sch Appl Technol, Ctr Mat Technol &amp; Photon, Iraklion 71004, Crete, Greece] </t>
    </r>
    <r>
      <rPr>
        <sz val="12"/>
        <color rgb="FF000000"/>
        <rFont val="Arial Narrow"/>
      </rPr>
      <t>; Nistor, A (Nistor, Alexandra) Petru Poni Inst Macromol Chem Iasi, Iasi, Romania</t>
    </r>
  </si>
  <si>
    <r>
      <rPr>
        <sz val="12"/>
        <color rgb="FF5D33BF"/>
        <rFont val="Arial Narrow"/>
      </rPr>
      <t>Munir, MU</t>
    </r>
    <r>
      <rPr>
        <sz val="12"/>
        <color rgb="FF000000"/>
        <rFont val="Arial Narrow"/>
      </rPr>
      <t>; </t>
    </r>
    <r>
      <rPr>
        <sz val="12"/>
        <color rgb="FF5D33BF"/>
        <rFont val="Arial Narrow"/>
      </rPr>
      <t>Ashraf, M</t>
    </r>
    <r>
      <rPr>
        <sz val="12"/>
        <color rgb="FF000000"/>
        <rFont val="Arial Narrow"/>
      </rPr>
      <t>; (...); </t>
    </r>
    <r>
      <rPr>
        <sz val="12"/>
        <color rgb="FF5D33BF"/>
        <rFont val="Arial Narrow"/>
      </rPr>
      <t>Iqbal, K.; Coating of modified ZnO nanoparticles on cotton fabrics for enhanced functional characteristics; JOURNAL OF COATINGS TECHNOLOGY AND RESEARCH</t>
    </r>
  </si>
  <si>
    <t>https://1510g0euz-y-https-link-springer-com.z.e-nformation.ro/article/10.1007/s11998-021-00533-6</t>
  </si>
  <si>
    <r>
      <rPr>
        <sz val="11"/>
        <color rgb="FF000000"/>
        <rFont val="Source sans pro"/>
      </rPr>
      <t>Rooman, M (Rooman, Muhammad) </t>
    </r>
    <r>
      <rPr>
        <sz val="11"/>
        <color rgb="FF5D33BF"/>
        <rFont val="Source Sans Pro"/>
      </rPr>
      <t>[Univ Lakki Marwat, Dept Math Sci, Lakki Marwat 28420, Pakistan; Kohat Univ Sci &amp; Technol KUST, Dept Math, Kohat 26000, Pakistan] </t>
    </r>
    <r>
      <rPr>
        <sz val="11"/>
        <color rgb="FF000000"/>
        <rFont val="Source sans pro"/>
      </rPr>
      <t>; Jan, MA (Jan, Muhammad Asif) </t>
    </r>
    <r>
      <rPr>
        <sz val="11"/>
        <color rgb="FF5D33BF"/>
        <rFont val="Source Sans Pro"/>
      </rPr>
      <t>[Kohat Univ Sci &amp; Technol KUST, Dept Math, Kohat 26000, Pakistan] </t>
    </r>
    <r>
      <rPr>
        <sz val="11"/>
        <color rgb="FF000000"/>
        <rFont val="Source sans pro"/>
      </rPr>
      <t>; Shah, Z (Shah, Zahir) </t>
    </r>
    <r>
      <rPr>
        <sz val="11"/>
        <color rgb="FF5D33BF"/>
        <rFont val="Source Sans Pro"/>
      </rPr>
      <t>[Univ Lakki Marwat, Dept Math Sci, Lakki Marwat 28420, Pakistan] </t>
    </r>
    <r>
      <rPr>
        <sz val="11"/>
        <color rgb="FF000000"/>
        <rFont val="Source sans pro"/>
      </rPr>
      <t>; Vrinceanu, N (Vrinceanu, Narcisa) </t>
    </r>
    <r>
      <rPr>
        <sz val="11"/>
        <color rgb="FF5D33BF"/>
        <rFont val="Source Sans Pro"/>
      </rPr>
      <t>[Lucian Blaga Univ Sibiu, Dept Ind Machines &amp; Equipments, Fac Engn, 10 Victoriei Blvd, Sibiu 550024, Romania] </t>
    </r>
    <r>
      <rPr>
        <sz val="11"/>
        <color rgb="FF000000"/>
        <rFont val="Source sans pro"/>
      </rPr>
      <t>; Bou, SF (Bou, Santiago Ferrandiz) </t>
    </r>
    <r>
      <rPr>
        <sz val="11"/>
        <color rgb="FF5D33BF"/>
        <rFont val="Source Sans Pro"/>
      </rPr>
      <t>[Univ Politecn Valencia, Higher Polytech Sch Alcoy, Dept Mech &amp; Mat Engn, Valencia 46022, Spain] </t>
    </r>
    <r>
      <rPr>
        <sz val="11"/>
        <color rgb="FF000000"/>
        <rFont val="Source sans pro"/>
      </rPr>
      <t>; Iqbal, S (Iqbal, Shahid) </t>
    </r>
    <r>
      <rPr>
        <sz val="11"/>
        <color rgb="FF5D33BF"/>
        <rFont val="Source Sans Pro"/>
      </rPr>
      <t>[Albion Coll, Dept Phys, Albion, MI 49224 USA] </t>
    </r>
    <r>
      <rPr>
        <sz val="11"/>
        <color rgb="FF000000"/>
        <rFont val="Source sans pro"/>
      </rPr>
      <t>; Deebani, W (Deebani, Wejdan) </t>
    </r>
    <r>
      <rPr>
        <sz val="11"/>
        <color rgb="FF5D33BF"/>
        <rFont val="Source Sans Pro"/>
      </rPr>
      <t>[King Abdulaziz Univ, Coll Sci &amp; Arts, Dept Math, Rabigh 21911, Saudi Arabia]</t>
    </r>
  </si>
  <si>
    <t>Entropy Optimization on Axisymmetric Darcy-Forchheimer Powell-Eyring Nanofluid over a Horizontally Stretching Cylinder with Viscous Dissipation Effect,</t>
  </si>
  <si>
    <r>
      <rPr>
        <sz val="12"/>
        <color rgb="FF5D33BF"/>
        <rFont val="Arial Narrow"/>
      </rPr>
      <t>Prabakaran, R</t>
    </r>
    <r>
      <rPr>
        <sz val="12"/>
        <color rgb="FF000000"/>
        <rFont val="Arial Narrow"/>
      </rPr>
      <t>; </t>
    </r>
    <r>
      <rPr>
        <sz val="12"/>
        <color rgb="FF5D33BF"/>
        <rFont val="Arial Narrow"/>
      </rPr>
      <t>Eswaramoorthi, S</t>
    </r>
    <r>
      <rPr>
        <sz val="12"/>
        <color rgb="FF000000"/>
        <rFont val="Arial Narrow"/>
      </rPr>
      <t>; (...); </t>
    </r>
    <r>
      <rPr>
        <sz val="12"/>
        <color rgb="FF5D33BF"/>
        <rFont val="Arial Narrow"/>
      </rPr>
      <t xml:space="preserve">Gyeltshen, S.; Thermal Radiation and Viscous Dissipation Impacts of Water and Kerosene-Based Carbon Nanotubes over a Heated Riga Sheet; JOURNAL OF NANOMATERIALS </t>
    </r>
  </si>
  <si>
    <t>https://www.hindawi.com/journals/jnm/2022/1865763/</t>
  </si>
  <si>
    <r>
      <rPr>
        <sz val="11"/>
        <color rgb="FF000000"/>
        <rFont val="Source sans pro"/>
      </rPr>
      <t>Rooman, M (Rooman, Muhammad) </t>
    </r>
    <r>
      <rPr>
        <sz val="11"/>
        <color rgb="FF5D33BF"/>
        <rFont val="Source Sans Pro"/>
      </rPr>
      <t>[Univ Lakki Marwat, Dept Math Sci, Lakki Marwat 28420, Pakistan; Kohat Univ Sci &amp; Technol KUST, Dept Math, Kohat 26000, Pakistan] </t>
    </r>
    <r>
      <rPr>
        <sz val="11"/>
        <color rgb="FF000000"/>
        <rFont val="Source sans pro"/>
      </rPr>
      <t>; Jan, MA (Jan, Muhammad Asif) </t>
    </r>
    <r>
      <rPr>
        <sz val="11"/>
        <color rgb="FF5D33BF"/>
        <rFont val="Source Sans Pro"/>
      </rPr>
      <t>[Kohat Univ Sci &amp; Technol KUST, Dept Math, Kohat 26000, Pakistan] </t>
    </r>
    <r>
      <rPr>
        <sz val="11"/>
        <color rgb="FF000000"/>
        <rFont val="Source sans pro"/>
      </rPr>
      <t>; Shah, Z (Shah, Zahir) </t>
    </r>
    <r>
      <rPr>
        <sz val="11"/>
        <color rgb="FF5D33BF"/>
        <rFont val="Source Sans Pro"/>
      </rPr>
      <t>[Univ Lakki Marwat, Dept Math Sci, Lakki Marwat 28420, Pakistan] </t>
    </r>
    <r>
      <rPr>
        <sz val="11"/>
        <color rgb="FF000000"/>
        <rFont val="Source sans pro"/>
      </rPr>
      <t>; Vrinceanu, N (Vrinceanu, Narcisa) </t>
    </r>
    <r>
      <rPr>
        <sz val="11"/>
        <color rgb="FF5D33BF"/>
        <rFont val="Source Sans Pro"/>
      </rPr>
      <t>[Lucian Blaga Univ Sibiu, Dept Ind Machines &amp; Equipments, Fac Engn, 10 Victoriei Blvd, Sibiu 550024, Romania] </t>
    </r>
    <r>
      <rPr>
        <sz val="11"/>
        <color rgb="FF000000"/>
        <rFont val="Source sans pro"/>
      </rPr>
      <t>; Bou, SF (Bou, Santiago Ferrandiz) </t>
    </r>
    <r>
      <rPr>
        <sz val="11"/>
        <color rgb="FF5D33BF"/>
        <rFont val="Source Sans Pro"/>
      </rPr>
      <t>[Univ Politecn Valencia, Higher Polytech Sch Alcoy, Dept Mech &amp; Mat Engn, Valencia 46022, Spain] </t>
    </r>
    <r>
      <rPr>
        <sz val="11"/>
        <color rgb="FF000000"/>
        <rFont val="Source sans pro"/>
      </rPr>
      <t>; Iqbal, S (Iqbal, Shahid) </t>
    </r>
    <r>
      <rPr>
        <sz val="11"/>
        <color rgb="FF5D33BF"/>
        <rFont val="Source Sans Pro"/>
      </rPr>
      <t>[Albion Coll, Dept Phys, Albion, MI 49224 USA] </t>
    </r>
    <r>
      <rPr>
        <sz val="11"/>
        <color rgb="FF000000"/>
        <rFont val="Source sans pro"/>
      </rPr>
      <t>; Deebani, W (Deebani, Wejdan) </t>
    </r>
    <r>
      <rPr>
        <sz val="11"/>
        <color rgb="FF5D33BF"/>
        <rFont val="Source Sans Pro"/>
      </rPr>
      <t>[King Abdulaziz Univ, Coll Sci &amp; Arts, Dept Math, Rabigh 21911, Saudi Arabia]</t>
    </r>
  </si>
  <si>
    <r>
      <rPr>
        <sz val="12"/>
        <color rgb="FF5D33BF"/>
        <rFont val="Arial Narrow"/>
      </rPr>
      <t>Waqas, H</t>
    </r>
    <r>
      <rPr>
        <sz val="12"/>
        <color rgb="FF000000"/>
        <rFont val="Arial Narrow"/>
      </rPr>
      <t>; </t>
    </r>
    <r>
      <rPr>
        <sz val="12"/>
        <color rgb="FF5D33BF"/>
        <rFont val="Arial Narrow"/>
      </rPr>
      <t>Farooq, U</t>
    </r>
    <r>
      <rPr>
        <sz val="12"/>
        <color rgb="FF000000"/>
        <rFont val="Arial Narrow"/>
      </rPr>
      <t>; (...); </t>
    </r>
    <r>
      <rPr>
        <sz val="12"/>
        <color rgb="FF5D33BF"/>
        <rFont val="Arial Narrow"/>
      </rPr>
      <t>Muhammad, T.; Heat transfer analysis of hybrid nanofluid flow with thermal radiation through a stretching sheet: A comparative study; INTERNATIONAL COMMUNICATIONS IN HEAT AND MASS TRANSFER</t>
    </r>
  </si>
  <si>
    <t>https://1510a0esy-y-https-www-sciencedirect-com.z.e-nformation.ro/science/article/abs/pii/S0735193322004250?via%3Dihub</t>
  </si>
  <si>
    <t>Radiative Darcy-Forchheimer Micropler Bodewadt flow of CNTs with viscous dissipation effect</t>
  </si>
  <si>
    <t>Shah, NA; Asogwa, KK; (...); Ishtiaq, M, Effect of generalized thermal transport on MHD free convection flows of nanofluids: A generalized Atangana-Baleanu derivative model, CASE STUDIES IN THERMAL ENGINEERING</t>
  </si>
  <si>
    <t>https://1510a0esy-y-https-www-sciencedirect-com.z.e-nformation.ro/science/article/pii/S2214157X2200716X?via%3Dihub</t>
  </si>
  <si>
    <r>
      <rPr>
        <sz val="10"/>
        <color rgb="FF000000"/>
        <rFont val="Arial Narrow"/>
      </rPr>
      <t>Shah, Z (Shah, Zahir) </t>
    </r>
    <r>
      <rPr>
        <sz val="10"/>
        <color rgb="FF5D33BF"/>
        <rFont val="Arial Narrow"/>
      </rPr>
      <t>[Univ Lakki Marwat, Dept Math Sci, Lakki Marwat 28420, Khyber Pakhtunk, Pakistan] </t>
    </r>
    <r>
      <rPr>
        <sz val="10"/>
        <color rgb="FF000000"/>
        <rFont val="Arial Narrow"/>
      </rPr>
      <t>; Rooman, M (Rooman, Muhammad) </t>
    </r>
    <r>
      <rPr>
        <sz val="10"/>
        <color rgb="FF5D33BF"/>
        <rFont val="Arial Narrow"/>
      </rPr>
      <t>[Univ Lakki Marwat, Dept Math Sci, Lakki Marwat 28420, Khyber Pakhtunk, Pakistan] </t>
    </r>
    <r>
      <rPr>
        <sz val="10"/>
        <color rgb="FF000000"/>
        <rFont val="Arial Narrow"/>
      </rPr>
      <t>; Jan, MA (Jan, Muhammad Asif) </t>
    </r>
    <r>
      <rPr>
        <sz val="10"/>
        <color rgb="FF5D33BF"/>
        <rFont val="Arial Narrow"/>
      </rPr>
      <t>[Kohat Univ Sci &amp; Technol KUST, Dept Math, Kohat 26000, Khyber Pakhtoon, Pakistan] </t>
    </r>
    <r>
      <rPr>
        <sz val="10"/>
        <color rgb="FF000000"/>
        <rFont val="Arial Narrow"/>
      </rPr>
      <t>; Vrinceanu, N (Vrinceanu, Narcisa) </t>
    </r>
    <r>
      <rPr>
        <sz val="10"/>
        <color rgb="FF5D33BF"/>
        <rFont val="Arial Narrow"/>
      </rPr>
      <t>[Lucian Blaga Univ Sibiu, Fac Engn, Dept Ind Machines &amp; Equipments, 10 Victoriei Blvd, Sibiu 550024, Romania] </t>
    </r>
    <r>
      <rPr>
        <sz val="10"/>
        <color rgb="FF000000"/>
        <rFont val="Arial Narrow"/>
      </rPr>
      <t>; Deebani, W (Deebani, Wejdan) </t>
    </r>
    <r>
      <rPr>
        <sz val="10"/>
        <color rgb="FF5D33BF"/>
        <rFont val="Arial Narrow"/>
      </rPr>
      <t>[King Abdulaziz Univ, Coll Sci &amp; Arts, Dept Math, Rabigh, Saudi Arabia] </t>
    </r>
    <r>
      <rPr>
        <sz val="10"/>
        <color rgb="FF000000"/>
        <rFont val="Arial Narrow"/>
      </rPr>
      <t>; Shutaywi, M (Shutaywi, Meshal) </t>
    </r>
    <r>
      <rPr>
        <sz val="10"/>
        <color rgb="FF5D33BF"/>
        <rFont val="Arial Narrow"/>
      </rPr>
      <t>[King Abdulaziz Univ, Coll Sci &amp; Arts, Dept Math, Rabigh, Saudi Arabia] </t>
    </r>
    <r>
      <rPr>
        <sz val="10"/>
        <color rgb="FF000000"/>
        <rFont val="Arial Narrow"/>
      </rPr>
      <t>; Bou, SF (Bou, Santiago Ferrandiz) </t>
    </r>
    <r>
      <rPr>
        <sz val="10"/>
        <color rgb="FF5D33BF"/>
        <rFont val="Arial Narrow"/>
      </rPr>
      <t>[Univ Politecn Valencia, Dept Mech &amp; Mat Engn, Higher Polytech Sch Alcoy, Valencia, Spain]</t>
    </r>
  </si>
  <si>
    <r>
      <rPr>
        <sz val="12"/>
        <color rgb="FF5D33BF"/>
        <rFont val="Arial Narrow"/>
      </rPr>
      <t>Zubair, M</t>
    </r>
    <r>
      <rPr>
        <sz val="12"/>
        <color rgb="FF000000"/>
        <rFont val="Arial Narrow"/>
      </rPr>
      <t>; </t>
    </r>
    <r>
      <rPr>
        <sz val="12"/>
        <color rgb="FF5D33BF"/>
        <rFont val="Arial Narrow"/>
      </rPr>
      <t>Waqas, M</t>
    </r>
    <r>
      <rPr>
        <sz val="12"/>
        <color rgb="FF000000"/>
        <rFont val="Arial Narrow"/>
      </rPr>
      <t>; (...); </t>
    </r>
    <r>
      <rPr>
        <sz val="12"/>
        <color rgb="FF5D33BF"/>
        <rFont val="Arial Narrow"/>
      </rPr>
      <t>Galal, AM; A theoretical study on partial slip impact in radiative-hydromagnetic liquid configured by extending surface; INTERNATIONAL JOURNAL OF MODERN PHYSICS B</t>
    </r>
  </si>
  <si>
    <t>https://doi.org/10.1142/S0217979223500741; https://www.worldscientific.com/doi/10.1142/S0217979223500741</t>
  </si>
  <si>
    <r>
      <rPr>
        <sz val="10"/>
        <color rgb="FF000000"/>
        <rFont val="Arial Narrow"/>
      </rPr>
      <t>Shah, Z (Shah, Zahir) </t>
    </r>
    <r>
      <rPr>
        <sz val="10"/>
        <color rgb="FF5D33BF"/>
        <rFont val="Arial Narrow"/>
      </rPr>
      <t>[Univ Lakki Marwat, Dept Math Sci, Lakki Marwat 28420, Pakistan] </t>
    </r>
    <r>
      <rPr>
        <sz val="10"/>
        <color rgb="FF000000"/>
        <rFont val="Arial Narrow"/>
      </rPr>
      <t>; Vrinceanu, N (Vrinceanu, Narcisa) </t>
    </r>
    <r>
      <rPr>
        <sz val="10"/>
        <color rgb="FF5D33BF"/>
        <rFont val="Arial Narrow"/>
      </rPr>
      <t>[Lucian Blaga Univ Sibiu, Fac Engn, Dept Ind Machines &amp; Equipments, 10 Victoriei Blvd, Sibiu 550024, Romania] </t>
    </r>
    <r>
      <rPr>
        <sz val="10"/>
        <color rgb="FF000000"/>
        <rFont val="Arial Narrow"/>
      </rPr>
      <t>; Rooman, M (Rooman, Muhammad) </t>
    </r>
    <r>
      <rPr>
        <sz val="10"/>
        <color rgb="FF5D33BF"/>
        <rFont val="Arial Narrow"/>
      </rPr>
      <t>[Univ Lakki Marwat, Dept Math Sci, Lakki Marwat 28420, Pakistan] </t>
    </r>
    <r>
      <rPr>
        <sz val="10"/>
        <color rgb="FF000000"/>
        <rFont val="Arial Narrow"/>
      </rPr>
      <t>; Deebani, W (Deebani, Wejdan) </t>
    </r>
    <r>
      <rPr>
        <sz val="10"/>
        <color rgb="FF5D33BF"/>
        <rFont val="Arial Narrow"/>
      </rPr>
      <t>[King Abdulaziz Univ, Coll Sci &amp; Arts, Dept Math, POB 344, Rabigh 21911, Saudi Arabia] </t>
    </r>
    <r>
      <rPr>
        <sz val="10"/>
        <color rgb="FF000000"/>
        <rFont val="Arial Narrow"/>
      </rPr>
      <t>; Shutaywi, M (Shutaywi, Meshal) </t>
    </r>
    <r>
      <rPr>
        <sz val="10"/>
        <color rgb="FF5D33BF"/>
        <rFont val="Arial Narrow"/>
      </rPr>
      <t>[King Abdulaziz Univ, Coll Sci &amp; Arts, Dept Math, POB 344, Rabigh 21911, Saudi Arabia]</t>
    </r>
  </si>
  <si>
    <t>Mathematical Modelling of Ree-Eyring Nanofluid Using Koo-Kleinstreuer and Cattaneo-Christov Models on Chemically Reactive AA7072-AA7075 Alloys over a Magnetic Dipole Stretching Surface</t>
  </si>
  <si>
    <r>
      <rPr>
        <sz val="12"/>
        <color rgb="FF5D33BF"/>
        <rFont val="Arial Narrow"/>
      </rPr>
      <t>Bashir, S</t>
    </r>
    <r>
      <rPr>
        <sz val="12"/>
        <color rgb="FF000000"/>
        <rFont val="Arial Narrow"/>
      </rPr>
      <t>; </t>
    </r>
    <r>
      <rPr>
        <sz val="12"/>
        <color rgb="FF5D33BF"/>
        <rFont val="Arial Narrow"/>
      </rPr>
      <t>Ramzan, M</t>
    </r>
    <r>
      <rPr>
        <sz val="12"/>
        <color rgb="FF000000"/>
        <rFont val="Arial Narrow"/>
      </rPr>
      <t>; (...); </t>
    </r>
    <r>
      <rPr>
        <sz val="12"/>
        <color rgb="FF5D33BF"/>
        <rFont val="Arial Narrow"/>
      </rPr>
      <t xml:space="preserve">Abdelrahman, A; Magnetic Dipole and Thermophoretic Particle Deposition Impact on Bioconvective Oldroyd-B Fluid Flow over a Stretching Surface with Cattaneo-Christov Heat Flux; NANOMATERIALS </t>
    </r>
  </si>
  <si>
    <t>https://www.mdpi.com/2079-4991/12/13/2181</t>
  </si>
  <si>
    <r>
      <rPr>
        <sz val="10"/>
        <color rgb="FF000000"/>
        <rFont val="Arial Narrow"/>
      </rPr>
      <t>Shah, Z (Shah, Zahir) </t>
    </r>
    <r>
      <rPr>
        <sz val="10"/>
        <color rgb="FF5D33BF"/>
        <rFont val="Arial Narrow"/>
      </rPr>
      <t>[Univ Lakki Marwat, Dept Math Sci, Lakki Marwat 28420, Pakistan] </t>
    </r>
    <r>
      <rPr>
        <sz val="10"/>
        <color rgb="FF000000"/>
        <rFont val="Arial Narrow"/>
      </rPr>
      <t>; Vrinceanu, N (Vrinceanu, Narcisa) </t>
    </r>
    <r>
      <rPr>
        <sz val="10"/>
        <color rgb="FF5D33BF"/>
        <rFont val="Arial Narrow"/>
      </rPr>
      <t>[Lucian Blaga Univ Sibiu, Fac Engn, Dept Ind Machines &amp; Equipments, 10 Victoriei Blvd, Sibiu 550024, Romania] </t>
    </r>
    <r>
      <rPr>
        <sz val="10"/>
        <color rgb="FF000000"/>
        <rFont val="Arial Narrow"/>
      </rPr>
      <t>; Rooman, M (Rooman, Muhammad) </t>
    </r>
    <r>
      <rPr>
        <sz val="10"/>
        <color rgb="FF5D33BF"/>
        <rFont val="Arial Narrow"/>
      </rPr>
      <t>[Univ Lakki Marwat, Dept Math Sci, Lakki Marwat 28420, Pakistan] </t>
    </r>
    <r>
      <rPr>
        <sz val="10"/>
        <color rgb="FF000000"/>
        <rFont val="Arial Narrow"/>
      </rPr>
      <t>; Deebani, W (Deebani, Wejdan) </t>
    </r>
    <r>
      <rPr>
        <sz val="10"/>
        <color rgb="FF5D33BF"/>
        <rFont val="Arial Narrow"/>
      </rPr>
      <t>[King Abdulaziz Univ, Coll Sci &amp; Arts, Dept Math, POB 344, Rabigh 21911, Saudi Arabia] </t>
    </r>
    <r>
      <rPr>
        <sz val="10"/>
        <color rgb="FF000000"/>
        <rFont val="Arial Narrow"/>
      </rPr>
      <t>; Shutaywi, M (Shutaywi, Meshal) </t>
    </r>
    <r>
      <rPr>
        <sz val="10"/>
        <color rgb="FF5D33BF"/>
        <rFont val="Arial Narrow"/>
      </rPr>
      <t>[King Abdulaziz Univ, Coll Sci &amp; Arts, Dept Math, POB 344, Rabigh 21911, Saudi Arabia]</t>
    </r>
  </si>
  <si>
    <t xml:space="preserve">Guzman, E; Current Perspective on the Study of Liquid-Fluid Interfaces: From Fundamentals to Innovative Applications; COATINGS </t>
  </si>
  <si>
    <t>https://www.mdpi.com/2079-6412/12/6/841</t>
  </si>
  <si>
    <r>
      <rPr>
        <sz val="10"/>
        <color rgb="FF000000"/>
        <rFont val="Arial Narrow"/>
      </rPr>
      <t>Shah, Z (Shah, Zahir) </t>
    </r>
    <r>
      <rPr>
        <sz val="10"/>
        <color rgb="FF5D33BF"/>
        <rFont val="Arial Narrow"/>
      </rPr>
      <t>[Univ Lakki Marwat, Dept Math Sci, Lakki Marwat 28420, Pakistan] </t>
    </r>
    <r>
      <rPr>
        <sz val="10"/>
        <color rgb="FF000000"/>
        <rFont val="Arial Narrow"/>
      </rPr>
      <t>; Vrinceanu, N (Vrinceanu, Narcisa) </t>
    </r>
    <r>
      <rPr>
        <sz val="10"/>
        <color rgb="FF5D33BF"/>
        <rFont val="Arial Narrow"/>
      </rPr>
      <t>[Lucian Blaga Univ Sibiu, Fac Engn, Dept Ind Machines &amp; Equipments, 10 Victoriei Blvd, Sibiu 550024, Romania] </t>
    </r>
    <r>
      <rPr>
        <sz val="10"/>
        <color rgb="FF000000"/>
        <rFont val="Arial Narrow"/>
      </rPr>
      <t>; Rooman, M (Rooman, Muhammad) </t>
    </r>
    <r>
      <rPr>
        <sz val="10"/>
        <color rgb="FF5D33BF"/>
        <rFont val="Arial Narrow"/>
      </rPr>
      <t>[Univ Lakki Marwat, Dept Math Sci, Lakki Marwat 28420, Pakistan] </t>
    </r>
    <r>
      <rPr>
        <sz val="10"/>
        <color rgb="FF000000"/>
        <rFont val="Arial Narrow"/>
      </rPr>
      <t>; Deebani, W (Deebani, Wejdan) </t>
    </r>
    <r>
      <rPr>
        <sz val="10"/>
        <color rgb="FF5D33BF"/>
        <rFont val="Arial Narrow"/>
      </rPr>
      <t>[King Abdulaziz Univ, Coll Sci &amp; Arts, Dept Math, POB 344, Rabigh 21911, Saudi Arabia] </t>
    </r>
    <r>
      <rPr>
        <sz val="10"/>
        <color rgb="FF000000"/>
        <rFont val="Arial Narrow"/>
      </rPr>
      <t>; Shutaywi, M (Shutaywi, Meshal) </t>
    </r>
    <r>
      <rPr>
        <sz val="10"/>
        <color rgb="FF5D33BF"/>
        <rFont val="Arial Narrow"/>
      </rPr>
      <t>[King Abdulaziz Univ, Coll Sci &amp; Arts, Dept Math, POB 344, Rabigh 21911, Saudi Arabia]</t>
    </r>
  </si>
  <si>
    <r>
      <rPr>
        <sz val="12"/>
        <color rgb="FF5D33BF"/>
        <rFont val="Arial Narrow"/>
      </rPr>
      <t>Tan, AWY</t>
    </r>
    <r>
      <rPr>
        <sz val="12"/>
        <color rgb="FF000000"/>
        <rFont val="Arial Narrow"/>
      </rPr>
      <t>; </t>
    </r>
    <r>
      <rPr>
        <sz val="12"/>
        <color rgb="FF5D33BF"/>
        <rFont val="Arial Narrow"/>
      </rPr>
      <t>Tham, NYS</t>
    </r>
    <r>
      <rPr>
        <sz val="12"/>
        <color rgb="FF000000"/>
        <rFont val="Arial Narrow"/>
      </rPr>
      <t>; (...); </t>
    </r>
    <r>
      <rPr>
        <sz val="12"/>
        <color rgb="FF5D33BF"/>
        <rFont val="Arial Narrow"/>
      </rPr>
      <t xml:space="preserve">Zhou, W; Cold Spray of Nickel-Based Alloy Coating on Cast Iron for Restoration and Surface Enhancement; COATINGS </t>
    </r>
  </si>
  <si>
    <t>https://www.mdpi.com/2079-6412/12/6/765</t>
  </si>
  <si>
    <r>
      <rPr>
        <sz val="10"/>
        <color rgb="FF000000"/>
        <rFont val="Arial Narrow"/>
      </rPr>
      <t>Shah, Z (Shah, Zahir) </t>
    </r>
    <r>
      <rPr>
        <sz val="10"/>
        <color rgb="FF5D33BF"/>
        <rFont val="Arial Narrow"/>
      </rPr>
      <t>[Univ Lakki Marwat, Dept Math Sci, Lakki Marwat 28420, Pakistan] </t>
    </r>
    <r>
      <rPr>
        <sz val="10"/>
        <color rgb="FF000000"/>
        <rFont val="Arial Narrow"/>
      </rPr>
      <t>; Vrinceanu, N (Vrinceanu, Narcisa) </t>
    </r>
    <r>
      <rPr>
        <sz val="10"/>
        <color rgb="FF5D33BF"/>
        <rFont val="Arial Narrow"/>
      </rPr>
      <t>[Lucian Blaga Univ Sibiu, Fac Engn, Dept Ind Machines &amp; Equipments, 10 Victoriei Blvd, Sibiu 550024, Romania] </t>
    </r>
    <r>
      <rPr>
        <sz val="10"/>
        <color rgb="FF000000"/>
        <rFont val="Arial Narrow"/>
      </rPr>
      <t>; Rooman, M (Rooman, Muhammad) </t>
    </r>
    <r>
      <rPr>
        <sz val="10"/>
        <color rgb="FF5D33BF"/>
        <rFont val="Arial Narrow"/>
      </rPr>
      <t>[Univ Lakki Marwat, Dept Math Sci, Lakki Marwat 28420, Pakistan] </t>
    </r>
    <r>
      <rPr>
        <sz val="10"/>
        <color rgb="FF000000"/>
        <rFont val="Arial Narrow"/>
      </rPr>
      <t>; Deebani, W (Deebani, Wejdan) </t>
    </r>
    <r>
      <rPr>
        <sz val="10"/>
        <color rgb="FF5D33BF"/>
        <rFont val="Arial Narrow"/>
      </rPr>
      <t>[King Abdulaziz Univ, Coll Sci &amp; Arts, Dept Math, POB 344, Rabigh 21911, Saudi Arabia] </t>
    </r>
    <r>
      <rPr>
        <sz val="10"/>
        <color rgb="FF000000"/>
        <rFont val="Arial Narrow"/>
      </rPr>
      <t>; Shutaywi, M (Shutaywi, Meshal) </t>
    </r>
    <r>
      <rPr>
        <sz val="10"/>
        <color rgb="FF5D33BF"/>
        <rFont val="Arial Narrow"/>
      </rPr>
      <t>[King Abdulaziz Univ, Coll Sci &amp; Arts, Dept Math, POB 344, Rabigh 21911, Saudi Arabia]</t>
    </r>
  </si>
  <si>
    <r>
      <rPr>
        <sz val="12"/>
        <color rgb="FF5D33BF"/>
        <rFont val="Arial Narrow"/>
      </rPr>
      <t>Zeeshan</t>
    </r>
    <r>
      <rPr>
        <sz val="12"/>
        <color rgb="FF000000"/>
        <rFont val="Arial Narrow"/>
      </rPr>
      <t> and </t>
    </r>
    <r>
      <rPr>
        <sz val="12"/>
        <color rgb="FF5D33BF"/>
        <rFont val="Arial Narrow"/>
      </rPr>
      <t>Naeem, M;  Visualization of Brownian and Lewis numbers on hydro-magnetic Casson nanofluid past a nonlinearly extendable permeable surface using Killer-Box Method; WAVES IN RANDOM AND COMPLEX MEDIA</t>
    </r>
  </si>
  <si>
    <t>https://www.tandfonline.com/doi/abs/10.1080/17455030.2022.2105982?journalCode=twrm20</t>
  </si>
  <si>
    <r>
      <rPr>
        <sz val="10"/>
        <color rgb="FF000000"/>
        <rFont val="Arial Narrow"/>
      </rPr>
      <t>Shah, Z (Shah, Zahir) </t>
    </r>
    <r>
      <rPr>
        <sz val="10"/>
        <color rgb="FF5D33BF"/>
        <rFont val="Arial Narrow"/>
      </rPr>
      <t>[Univ Lakki Marwat, Dept Math Sci, Lakki Marwat 28420, Pakistan] </t>
    </r>
    <r>
      <rPr>
        <sz val="10"/>
        <color rgb="FF000000"/>
        <rFont val="Arial Narrow"/>
      </rPr>
      <t>; Vrinceanu, N (Vrinceanu, Narcisa) </t>
    </r>
    <r>
      <rPr>
        <sz val="10"/>
        <color rgb="FF5D33BF"/>
        <rFont val="Arial Narrow"/>
      </rPr>
      <t>[Lucian Blaga Univ Sibiu, Fac Engn, Dept Ind Machines &amp; Equipments, 10 Victoriei Blvd, Sibiu 550024, Romania] </t>
    </r>
    <r>
      <rPr>
        <sz val="10"/>
        <color rgb="FF000000"/>
        <rFont val="Arial Narrow"/>
      </rPr>
      <t>; Rooman, M (Rooman, Muhammad) </t>
    </r>
    <r>
      <rPr>
        <sz val="10"/>
        <color rgb="FF5D33BF"/>
        <rFont val="Arial Narrow"/>
      </rPr>
      <t>[Univ Lakki Marwat, Dept Math Sci, Lakki Marwat 28420, Pakistan] </t>
    </r>
    <r>
      <rPr>
        <sz val="10"/>
        <color rgb="FF000000"/>
        <rFont val="Arial Narrow"/>
      </rPr>
      <t>; Deebani, W (Deebani, Wejdan) </t>
    </r>
    <r>
      <rPr>
        <sz val="10"/>
        <color rgb="FF5D33BF"/>
        <rFont val="Arial Narrow"/>
      </rPr>
      <t>[King Abdulaziz Univ, Coll Sci &amp; Arts, Dept Math, POB 344, Rabigh 21911, Saudi Arabia] </t>
    </r>
    <r>
      <rPr>
        <sz val="10"/>
        <color rgb="FF000000"/>
        <rFont val="Arial Narrow"/>
      </rPr>
      <t>; Shutaywi, M (Shutaywi, Meshal) </t>
    </r>
    <r>
      <rPr>
        <sz val="10"/>
        <color rgb="FF5D33BF"/>
        <rFont val="Arial Narrow"/>
      </rPr>
      <t>[King Abdulaziz Univ, Coll Sci &amp; Arts, Dept Math, POB 344, Rabigh 21911, Saudi Arabia]</t>
    </r>
  </si>
  <si>
    <r>
      <rPr>
        <sz val="12"/>
        <color rgb="FF5D33BF"/>
        <rFont val="Arial Narrow"/>
      </rPr>
      <t>Zhang, GD</t>
    </r>
    <r>
      <rPr>
        <sz val="12"/>
        <color rgb="FF000000"/>
        <rFont val="Arial Narrow"/>
      </rPr>
      <t>; </t>
    </r>
    <r>
      <rPr>
        <sz val="12"/>
        <color rgb="FF5D33BF"/>
        <rFont val="Arial Narrow"/>
      </rPr>
      <t>Liu, W</t>
    </r>
    <r>
      <rPr>
        <sz val="12"/>
        <color rgb="FF000000"/>
        <rFont val="Arial Narrow"/>
      </rPr>
      <t>; (...); </t>
    </r>
    <r>
      <rPr>
        <sz val="12"/>
        <color rgb="FF5D33BF"/>
        <rFont val="Arial Narrow"/>
      </rPr>
      <t xml:space="preserve">Yuan, H; Chemical Composition, Microstructure, Tensile and Creep Behavior of Ti60 Alloy Fabricated via Electron Beam Directed Energy Deposition; MATERIALS </t>
    </r>
  </si>
  <si>
    <t>https://www.mdpi.com/1996-1944/15/9/3109</t>
  </si>
  <si>
    <t>Shah, ZH (Shah, Zahir) [Univ Lakki Marwat, Dept Math Sci, Lakki Marwat, Pakistan] ; Ullah, A (Ullah, Asad) [Univ Lakki Marwat, Dept Math Sci, Lakki Marwat, Pakistan] ; Musa, A (Musa, Awad) [Prince Sattam Bin Abdulaziz Univ, Coll Sci &amp; Humanities Al Aflaj, Dept Phys, Al Kharj, Saudi Arabia] ; Vrinceanu, N (Vrinceanu, Narcisa) [Lucian Blaga Univ Sibiu, Fac Engn, Dept Ind Machines &amp; Equipments, Sibiu, Romania] ; Bou, SF (Bou, Santiago Ferrandiz) [Univ Politecn Valencia, Higher Polytech Sch Alcoy, Dept Mech &amp; Mat Engn, Valencia, Spain] ; Iqbal, S (Iqbal, Shahid) [Albion Coll, Dept Phys, Albion, MI USA] ; Deebani, W (Deebani, Wejdan) [King Abdulaziz Univ, Coll Sci &amp; Arts, Dept Math, Rabigh, Saudi Arabia]</t>
  </si>
  <si>
    <t>Entropy Optimization and Thermal Behavior of a Porous System With Considering Hybrid Nanofluid</t>
  </si>
  <si>
    <r>
      <rPr>
        <sz val="12"/>
        <color rgb="FF5D33BF"/>
        <rFont val="Arial Narrow"/>
      </rPr>
      <t>Sonawane, C</t>
    </r>
    <r>
      <rPr>
        <sz val="12"/>
        <color rgb="FF000000"/>
        <rFont val="Arial Narrow"/>
      </rPr>
      <t>; </t>
    </r>
    <r>
      <rPr>
        <sz val="12"/>
        <color rgb="FF5D33BF"/>
        <rFont val="Arial Narrow"/>
      </rPr>
      <t>Alrubaie, AJ</t>
    </r>
    <r>
      <rPr>
        <sz val="12"/>
        <color rgb="FF000000"/>
        <rFont val="Arial Narrow"/>
      </rPr>
      <t>; (...); </t>
    </r>
    <r>
      <rPr>
        <sz val="12"/>
        <color rgb="FF5D33BF"/>
        <rFont val="Arial Narrow"/>
      </rPr>
      <t xml:space="preserve">Burduhos-Nergis, DP;  Investigation on the Impact of Different Absorber Materials in Solar Still Using CFD Simulation-Economic and Environmental Analysis; WATER </t>
    </r>
  </si>
  <si>
    <t>https://www.mdpi.com/2073-4441/14/19/3031</t>
  </si>
  <si>
    <r>
      <rPr>
        <sz val="12"/>
        <color rgb="FF5D33BF"/>
        <rFont val="Arial Narrow"/>
      </rPr>
      <t>Wakif, A</t>
    </r>
    <r>
      <rPr>
        <sz val="12"/>
        <color rgb="FF000000"/>
        <rFont val="Arial Narrow"/>
      </rPr>
      <t>; </t>
    </r>
    <r>
      <rPr>
        <sz val="12"/>
        <color rgb="FF5D33BF"/>
        <rFont val="Arial Narrow"/>
      </rPr>
      <t>Abderrahmane, A</t>
    </r>
    <r>
      <rPr>
        <sz val="12"/>
        <color rgb="FF000000"/>
        <rFont val="Arial Narrow"/>
      </rPr>
      <t>; (...); </t>
    </r>
    <r>
      <rPr>
        <sz val="12"/>
        <color rgb="FF5D33BF"/>
        <rFont val="Arial Narrow"/>
      </rPr>
      <t>Jirawattanapanit, A.; Importance of exponentially falling variability in heat generation on chemically reactive von karman nanofluid flows subjected to a radial magnetic field and controlled locally by zero mass flux and convective heating conditions: A differential quadrature analysis; FRONTIERS IN PHYSICS</t>
    </r>
  </si>
  <si>
    <t>https://www.frontiersin.org/articles/10.3389/fphy.2022.988275/full</t>
  </si>
  <si>
    <r>
      <rPr>
        <sz val="12"/>
        <color rgb="FF000000"/>
        <rFont val="Arial Narrow"/>
      </rPr>
      <t>Snoussi, L (Snoussi, L.) </t>
    </r>
    <r>
      <rPr>
        <sz val="12"/>
        <color rgb="FF5D33BF"/>
        <rFont val="Arial Narrow"/>
      </rPr>
      <t>[1] </t>
    </r>
    <r>
      <rPr>
        <sz val="12"/>
        <color rgb="FF000000"/>
        <rFont val="Arial Narrow"/>
      </rPr>
      <t>; Ouerfelli, N (Ouerfelli, N.) </t>
    </r>
    <r>
      <rPr>
        <sz val="12"/>
        <color rgb="FF5D33BF"/>
        <rFont val="Arial Narrow"/>
      </rPr>
      <t>[2] , [3] </t>
    </r>
    <r>
      <rPr>
        <sz val="12"/>
        <color rgb="FF000000"/>
        <rFont val="Arial Narrow"/>
      </rPr>
      <t>; Sharma, KV (Sharma, K. V.) </t>
    </r>
    <r>
      <rPr>
        <sz val="12"/>
        <color rgb="FF5D33BF"/>
        <rFont val="Arial Narrow"/>
      </rPr>
      <t>[4] </t>
    </r>
    <r>
      <rPr>
        <sz val="12"/>
        <color rgb="FF000000"/>
        <rFont val="Arial Narrow"/>
      </rPr>
      <t>; Vrinceanu, N (Vrinceanu, N.) </t>
    </r>
    <r>
      <rPr>
        <sz val="12"/>
        <color rgb="FF5D33BF"/>
        <rFont val="Arial Narrow"/>
      </rPr>
      <t>[5] </t>
    </r>
    <r>
      <rPr>
        <sz val="12"/>
        <color rgb="FF000000"/>
        <rFont val="Arial Narrow"/>
      </rPr>
      <t>; Chamkha, AJ (Chamkha, A. J.) </t>
    </r>
    <r>
      <rPr>
        <sz val="12"/>
        <color rgb="FF5D33BF"/>
        <rFont val="Arial Narrow"/>
      </rPr>
      <t>[6] </t>
    </r>
    <r>
      <rPr>
        <sz val="12"/>
        <color rgb="FF000000"/>
        <rFont val="Arial Narrow"/>
      </rPr>
      <t>; Guizani, A (Guizani, A.) </t>
    </r>
    <r>
      <rPr>
        <sz val="12"/>
        <color rgb="FF5D33BF"/>
        <rFont val="Arial Narrow"/>
      </rPr>
      <t>[1]</t>
    </r>
  </si>
  <si>
    <t xml:space="preserve">Numerical simulation of nanofluids for improved cooling efficiency in a 3D copper microchannel heat sink (MCHS), </t>
  </si>
  <si>
    <r>
      <rPr>
        <sz val="12"/>
        <color rgb="FF5D33BF"/>
        <rFont val="Arial Narrow"/>
      </rPr>
      <t>Mat, MNH</t>
    </r>
    <r>
      <rPr>
        <sz val="12"/>
        <color rgb="FF000000"/>
        <rFont val="Arial Narrow"/>
      </rPr>
      <t> and </t>
    </r>
    <r>
      <rPr>
        <sz val="12"/>
        <color rgb="FF5D33BF"/>
        <rFont val="Arial Narrow"/>
      </rPr>
      <t xml:space="preserve">Fidaa, MZM.; Impact of MXene nanoparticle on thermohydraulic performance in a microchannel heat sink: effect of nanoparticle size; MICROFLUIDICS AND NANOFLUIDICS </t>
    </r>
  </si>
  <si>
    <t>https://1510g0eu2-y-https-link-springer-com.z.e-nformation.ro/article/10.1007/s10404-022-02611-6</t>
  </si>
  <si>
    <r>
      <rPr>
        <sz val="12"/>
        <color rgb="FF000000"/>
        <rFont val="Arial Narrow"/>
      </rPr>
      <t>Snoussi, L (Snoussi, L.) </t>
    </r>
    <r>
      <rPr>
        <sz val="12"/>
        <color rgb="FF5D33BF"/>
        <rFont val="Arial Narrow"/>
      </rPr>
      <t>[1] </t>
    </r>
    <r>
      <rPr>
        <sz val="12"/>
        <color rgb="FF000000"/>
        <rFont val="Arial Narrow"/>
      </rPr>
      <t>; Ouerfelli, N (Ouerfelli, N.) </t>
    </r>
    <r>
      <rPr>
        <sz val="12"/>
        <color rgb="FF5D33BF"/>
        <rFont val="Arial Narrow"/>
      </rPr>
      <t>[2] , [3] </t>
    </r>
    <r>
      <rPr>
        <sz val="12"/>
        <color rgb="FF000000"/>
        <rFont val="Arial Narrow"/>
      </rPr>
      <t>; Sharma, KV (Sharma, K. V.) </t>
    </r>
    <r>
      <rPr>
        <sz val="12"/>
        <color rgb="FF5D33BF"/>
        <rFont val="Arial Narrow"/>
      </rPr>
      <t>[4] </t>
    </r>
    <r>
      <rPr>
        <sz val="12"/>
        <color rgb="FF000000"/>
        <rFont val="Arial Narrow"/>
      </rPr>
      <t>; Vrinceanu, N (Vrinceanu, N.) </t>
    </r>
    <r>
      <rPr>
        <sz val="12"/>
        <color rgb="FF5D33BF"/>
        <rFont val="Arial Narrow"/>
      </rPr>
      <t>[5] </t>
    </r>
    <r>
      <rPr>
        <sz val="12"/>
        <color rgb="FF000000"/>
        <rFont val="Arial Narrow"/>
      </rPr>
      <t>; Chamkha, AJ (Chamkha, A. J.) </t>
    </r>
    <r>
      <rPr>
        <sz val="12"/>
        <color rgb="FF5D33BF"/>
        <rFont val="Arial Narrow"/>
      </rPr>
      <t>[6] </t>
    </r>
    <r>
      <rPr>
        <sz val="12"/>
        <color rgb="FF000000"/>
        <rFont val="Arial Narrow"/>
      </rPr>
      <t>; Guizani, A (Guizani, A.) </t>
    </r>
    <r>
      <rPr>
        <sz val="12"/>
        <color rgb="FF5D33BF"/>
        <rFont val="Arial Narrow"/>
      </rPr>
      <t>[1]</t>
    </r>
  </si>
  <si>
    <r>
      <rPr>
        <sz val="12"/>
        <color rgb="FF5D33BF"/>
        <rFont val="Arial Narrow"/>
      </rPr>
      <t>Omosehin, OS</t>
    </r>
    <r>
      <rPr>
        <sz val="12"/>
        <color rgb="FF000000"/>
        <rFont val="Arial Narrow"/>
      </rPr>
      <t>; </t>
    </r>
    <r>
      <rPr>
        <sz val="12"/>
        <color rgb="FF5D33BF"/>
        <rFont val="Arial Narrow"/>
      </rPr>
      <t>Adelaja, AO</t>
    </r>
    <r>
      <rPr>
        <sz val="12"/>
        <color rgb="FF000000"/>
        <rFont val="Arial Narrow"/>
      </rPr>
      <t>; (...); </t>
    </r>
    <r>
      <rPr>
        <sz val="12"/>
        <color rgb="FF5D33BF"/>
        <rFont val="Arial Narrow"/>
      </rPr>
      <t>Oyekeye, MO; Numerical study of the thermal performance and pressure drops of water-based Al2O3 - Cu hybrid nanofluids of different compositions in a microchannel heat sink; MICROFLUIDICS AND NANOFLUIDICS</t>
    </r>
  </si>
  <si>
    <t>https://1510g0eu2-y-https-link-springer-com.z.e-nformation.ro/article/10.1007/s10404-022-02550-2</t>
  </si>
  <si>
    <r>
      <rPr>
        <sz val="10"/>
        <color rgb="FF000000"/>
        <rFont val="Arial Narrow"/>
      </rPr>
      <t>Tanasa, D (Tanasa, Diana) </t>
    </r>
    <r>
      <rPr>
        <sz val="10"/>
        <color rgb="FF5D33BF"/>
        <rFont val="Arial Narrow"/>
      </rPr>
      <t>[AI Cuza Univ Iasi, 11 Bulevard Carol, Iasi 7000506, Romania] </t>
    </r>
    <r>
      <rPr>
        <sz val="10"/>
        <color rgb="FF000000"/>
        <rFont val="Arial Narrow"/>
      </rPr>
      <t>; Vrinceanu, N (Vrinceanu, Narcisa) </t>
    </r>
    <r>
      <rPr>
        <sz val="10"/>
        <color rgb="FF5D33BF"/>
        <rFont val="Arial Narrow"/>
      </rPr>
      <t>[Lucian Blaga Univ, Sibiu, Romania] </t>
    </r>
    <r>
      <rPr>
        <sz val="10"/>
        <color rgb="FF000000"/>
        <rFont val="Arial Narrow"/>
      </rPr>
      <t>; Nistor, A (Nistor, Alexandra) ; Hristodor, CM (Hristodor, Claudia Mihaela) </t>
    </r>
    <r>
      <rPr>
        <sz val="10"/>
        <color rgb="FF5D33BF"/>
        <rFont val="Arial Narrow"/>
      </rPr>
      <t>[AI Cuza Univ Iasi, 11 Bulevard Carol, Iasi 7000506, Romania] </t>
    </r>
    <r>
      <rPr>
        <sz val="10"/>
        <color rgb="FF000000"/>
        <rFont val="Arial Narrow"/>
      </rPr>
      <t>; Popovici, E (Popovici, Eveline) </t>
    </r>
    <r>
      <rPr>
        <sz val="10"/>
        <color rgb="FF5D33BF"/>
        <rFont val="Arial Narrow"/>
      </rPr>
      <t>[AI Cuza Univ Iasi, 11 Bulevard Carol, Iasi 7000506, Romania] </t>
    </r>
    <r>
      <rPr>
        <sz val="10"/>
        <color rgb="FF000000"/>
        <rFont val="Arial Narrow"/>
      </rPr>
      <t>; Bistricianu, IL (Bistricianu, Ionut Lucian) </t>
    </r>
    <r>
      <rPr>
        <sz val="10"/>
        <color rgb="FF5D33BF"/>
        <rFont val="Arial Narrow"/>
      </rPr>
      <t>[Gheorghe Asachi Tech Univ, Iasi, Romania] </t>
    </r>
    <r>
      <rPr>
        <sz val="10"/>
        <color rgb="FF000000"/>
        <rFont val="Arial Narrow"/>
      </rPr>
      <t>; Brinza, F (Brinza, Florin) </t>
    </r>
    <r>
      <rPr>
        <sz val="10"/>
        <color rgb="FF5D33BF"/>
        <rFont val="Arial Narrow"/>
      </rPr>
      <t>[AI Cuza Univ Iasi, 11 Bulevard Carol, Iasi 7000506, Romania] </t>
    </r>
    <r>
      <rPr>
        <sz val="10"/>
        <color rgb="FF000000"/>
        <rFont val="Arial Narrow"/>
      </rPr>
      <t>; Chicet, DL (Chicet, Daniela-Lucia) </t>
    </r>
    <r>
      <rPr>
        <sz val="10"/>
        <color rgb="FF5D33BF"/>
        <rFont val="Arial Narrow"/>
      </rPr>
      <t>[Gheorghe Asachi Tech Univ, Iasi, Romania] </t>
    </r>
    <r>
      <rPr>
        <sz val="10"/>
        <color rgb="FF000000"/>
        <rFont val="Arial Narrow"/>
      </rPr>
      <t>; Coman, D (Coman, Diana) </t>
    </r>
    <r>
      <rPr>
        <sz val="10"/>
        <color rgb="FF5D33BF"/>
        <rFont val="Arial Narrow"/>
      </rPr>
      <t>[Lucian Blaga Univ, Sibiu, Romania] </t>
    </r>
    <r>
      <rPr>
        <sz val="10"/>
        <color rgb="FF000000"/>
        <rFont val="Arial Narrow"/>
      </rPr>
      <t>; Pui, A (Pui, Aurel) </t>
    </r>
    <r>
      <rPr>
        <sz val="10"/>
        <color rgb="FF5D33BF"/>
        <rFont val="Arial Narrow"/>
      </rPr>
      <t>[AI Cuza Univ Iasi, 11 Bulevard Carol, Iasi 7000506, Romania] </t>
    </r>
    <r>
      <rPr>
        <sz val="10"/>
        <color rgb="FF000000"/>
        <rFont val="Arial Narrow"/>
      </rPr>
      <t>; Grigoriu, AM (Grigoriu, Ana Maria) </t>
    </r>
    <r>
      <rPr>
        <sz val="10"/>
        <color rgb="FF5D33BF"/>
        <rFont val="Arial Narrow"/>
      </rPr>
      <t>[Gheorghe Asachi Tech Univ, Iasi, Romania] </t>
    </r>
    <r>
      <rPr>
        <sz val="10"/>
        <color rgb="FF000000"/>
        <rFont val="Arial Narrow"/>
      </rPr>
      <t>; Broasca, G (Broasca, Gianina) </t>
    </r>
    <r>
      <rPr>
        <sz val="10"/>
        <color rgb="FF5D33BF"/>
        <rFont val="Arial Narrow"/>
      </rPr>
      <t>[Gheorghe Asachi Tech Univ, Iasi, Romania] </t>
    </r>
  </si>
  <si>
    <r>
      <rPr>
        <sz val="12"/>
        <color rgb="FF5D33BF"/>
        <rFont val="Arial Narrow"/>
      </rPr>
      <t>Ayoub, I</t>
    </r>
    <r>
      <rPr>
        <sz val="12"/>
        <color rgb="FF000000"/>
        <rFont val="Arial Narrow"/>
      </rPr>
      <t>; </t>
    </r>
    <r>
      <rPr>
        <sz val="12"/>
        <color rgb="FF5D33BF"/>
        <rFont val="Arial Narrow"/>
      </rPr>
      <t>Kumar, V</t>
    </r>
    <r>
      <rPr>
        <sz val="12"/>
        <color rgb="FF000000"/>
        <rFont val="Arial Narrow"/>
      </rPr>
      <t>; (...); </t>
    </r>
    <r>
      <rPr>
        <sz val="12"/>
        <color rgb="FF5D33BF"/>
        <rFont val="Arial Narrow"/>
      </rPr>
      <t xml:space="preserve">Mishra, YK.; Ayoub, I; Kumar, V; (...); Mishra, YK; A review on biomolecular immobilization of polymeric textile biocomposites, bionanocomposites, and nano-biocomposites; JOURNAL OF THE TEXTILE INSTITUTE
JOURNAL OF THE TEXTILE INSTITUTE
</t>
    </r>
  </si>
  <si>
    <t>https://1510t6a3y-y-https-www-degruyter-com.z.e-nformation.ro/document/doi/10.1515/ntrev-2022-0035/html</t>
  </si>
  <si>
    <r>
      <rPr>
        <sz val="10"/>
        <color rgb="FF000000"/>
        <rFont val="Arial Narrow"/>
      </rPr>
      <t>Tanasa, D (Tanasa, Diana) </t>
    </r>
    <r>
      <rPr>
        <sz val="10"/>
        <color rgb="FF5D33BF"/>
        <rFont val="Arial Narrow"/>
      </rPr>
      <t>[AI Cuza Univ Iasi, 11 Bulevard Carol, Iasi 7000506, Romania] </t>
    </r>
    <r>
      <rPr>
        <sz val="10"/>
        <color rgb="FF000000"/>
        <rFont val="Arial Narrow"/>
      </rPr>
      <t>; Vrinceanu, N (Vrinceanu, Narcisa) </t>
    </r>
    <r>
      <rPr>
        <sz val="10"/>
        <color rgb="FF5D33BF"/>
        <rFont val="Arial Narrow"/>
      </rPr>
      <t>[Lucian Blaga Univ, Sibiu, Romania] </t>
    </r>
    <r>
      <rPr>
        <sz val="10"/>
        <color rgb="FF000000"/>
        <rFont val="Arial Narrow"/>
      </rPr>
      <t>; Nistor, A (Nistor, Alexandra) ; Hristodor, CM (Hristodor, Claudia Mihaela) </t>
    </r>
    <r>
      <rPr>
        <sz val="10"/>
        <color rgb="FF5D33BF"/>
        <rFont val="Arial Narrow"/>
      </rPr>
      <t>[AI Cuza Univ Iasi, 11 Bulevard Carol, Iasi 7000506, Romania] </t>
    </r>
    <r>
      <rPr>
        <sz val="10"/>
        <color rgb="FF000000"/>
        <rFont val="Arial Narrow"/>
      </rPr>
      <t>; Popovici, E (Popovici, Eveline) </t>
    </r>
    <r>
      <rPr>
        <sz val="10"/>
        <color rgb="FF5D33BF"/>
        <rFont val="Arial Narrow"/>
      </rPr>
      <t>[AI Cuza Univ Iasi, 11 Bulevard Carol, Iasi 7000506, Romania] </t>
    </r>
    <r>
      <rPr>
        <sz val="10"/>
        <color rgb="FF000000"/>
        <rFont val="Arial Narrow"/>
      </rPr>
      <t>; Bistricianu, IL (Bistricianu, Ionut Lucian) </t>
    </r>
    <r>
      <rPr>
        <sz val="10"/>
        <color rgb="FF5D33BF"/>
        <rFont val="Arial Narrow"/>
      </rPr>
      <t>[Gheorghe Asachi Tech Univ, Iasi, Romania] </t>
    </r>
    <r>
      <rPr>
        <sz val="10"/>
        <color rgb="FF000000"/>
        <rFont val="Arial Narrow"/>
      </rPr>
      <t>; Brinza, F (Brinza, Florin) </t>
    </r>
    <r>
      <rPr>
        <sz val="10"/>
        <color rgb="FF5D33BF"/>
        <rFont val="Arial Narrow"/>
      </rPr>
      <t>[AI Cuza Univ Iasi, 11 Bulevard Carol, Iasi 7000506, Romania] </t>
    </r>
    <r>
      <rPr>
        <sz val="10"/>
        <color rgb="FF000000"/>
        <rFont val="Arial Narrow"/>
      </rPr>
      <t>; Chicet, DL (Chicet, Daniela-Lucia) </t>
    </r>
    <r>
      <rPr>
        <sz val="10"/>
        <color rgb="FF5D33BF"/>
        <rFont val="Arial Narrow"/>
      </rPr>
      <t>[Gheorghe Asachi Tech Univ, Iasi, Romania] </t>
    </r>
    <r>
      <rPr>
        <sz val="10"/>
        <color rgb="FF000000"/>
        <rFont val="Arial Narrow"/>
      </rPr>
      <t>; Coman, D (Coman, Diana) </t>
    </r>
    <r>
      <rPr>
        <sz val="10"/>
        <color rgb="FF5D33BF"/>
        <rFont val="Arial Narrow"/>
      </rPr>
      <t>[Lucian Blaga Univ, Sibiu, Romania] </t>
    </r>
    <r>
      <rPr>
        <sz val="10"/>
        <color rgb="FF000000"/>
        <rFont val="Arial Narrow"/>
      </rPr>
      <t>; Pui, A (Pui, Aurel) </t>
    </r>
    <r>
      <rPr>
        <sz val="10"/>
        <color rgb="FF5D33BF"/>
        <rFont val="Arial Narrow"/>
      </rPr>
      <t>[AI Cuza Univ Iasi, 11 Bulevard Carol, Iasi 7000506, Romania] </t>
    </r>
    <r>
      <rPr>
        <sz val="10"/>
        <color rgb="FF000000"/>
        <rFont val="Arial Narrow"/>
      </rPr>
      <t>; Grigoriu, AM (Grigoriu, Ana Maria) </t>
    </r>
    <r>
      <rPr>
        <sz val="10"/>
        <color rgb="FF5D33BF"/>
        <rFont val="Arial Narrow"/>
      </rPr>
      <t>[Gheorghe Asachi Tech Univ, Iasi, Romania] </t>
    </r>
    <r>
      <rPr>
        <sz val="10"/>
        <color rgb="FF000000"/>
        <rFont val="Arial Narrow"/>
      </rPr>
      <t>; Broasca, G (Broasca, Gianina) </t>
    </r>
    <r>
      <rPr>
        <sz val="10"/>
        <color rgb="FF5D33BF"/>
        <rFont val="Arial Narrow"/>
      </rPr>
      <t>[Gheorghe Asachi Tech Univ, Iasi, Romania] </t>
    </r>
  </si>
  <si>
    <r>
      <rPr>
        <sz val="12"/>
        <color rgb="FF5D33BF"/>
        <rFont val="Arial Narrow"/>
      </rPr>
      <t>Kamal, M</t>
    </r>
    <r>
      <rPr>
        <sz val="12"/>
        <color rgb="FF000000"/>
        <rFont val="Arial Narrow"/>
      </rPr>
      <t>; </t>
    </r>
    <r>
      <rPr>
        <sz val="12"/>
        <color rgb="FF5D33BF"/>
        <rFont val="Arial Narrow"/>
      </rPr>
      <t>Sulaiman, M</t>
    </r>
    <r>
      <rPr>
        <sz val="12"/>
        <color rgb="FF000000"/>
        <rFont val="Arial Narrow"/>
      </rPr>
      <t> and </t>
    </r>
    <r>
      <rPr>
        <sz val="12"/>
        <color rgb="FF5D33BF"/>
        <rFont val="Arial Narrow"/>
      </rPr>
      <t>Alshammari, FS.; Quantitative features analysis of a model for separation of dissolved substances from a fluid flow by using a hybrid heuristic; EUROPEAN PHYSICAL JOURNAL PLUS</t>
    </r>
  </si>
  <si>
    <t>https://1510g0euz-y-https-link-springer-com.z.e-nformation.ro/article/10.1140/epjp/s13360-022-03226-0</t>
  </si>
  <si>
    <r>
      <rPr>
        <sz val="10"/>
        <color rgb="FF000000"/>
        <rFont val="Arial Narrow"/>
      </rPr>
      <t>Tanasa, D (Tanasa, Diana) </t>
    </r>
    <r>
      <rPr>
        <sz val="10"/>
        <color rgb="FF5D33BF"/>
        <rFont val="Arial Narrow"/>
      </rPr>
      <t>[AI Cuza Univ Iasi, 11 Bulevard Carol, Iasi 7000506, Romania] </t>
    </r>
    <r>
      <rPr>
        <sz val="10"/>
        <color rgb="FF000000"/>
        <rFont val="Arial Narrow"/>
      </rPr>
      <t>; Vrinceanu, N (Vrinceanu, Narcisa) </t>
    </r>
    <r>
      <rPr>
        <sz val="10"/>
        <color rgb="FF5D33BF"/>
        <rFont val="Arial Narrow"/>
      </rPr>
      <t>[Lucian Blaga Univ, Sibiu, Romania] </t>
    </r>
    <r>
      <rPr>
        <sz val="10"/>
        <color rgb="FF000000"/>
        <rFont val="Arial Narrow"/>
      </rPr>
      <t>; Nistor, A (Nistor, Alexandra) ; Hristodor, CM (Hristodor, Claudia Mihaela) </t>
    </r>
    <r>
      <rPr>
        <sz val="10"/>
        <color rgb="FF5D33BF"/>
        <rFont val="Arial Narrow"/>
      </rPr>
      <t>[AI Cuza Univ Iasi, 11 Bulevard Carol, Iasi 7000506, Romania] </t>
    </r>
    <r>
      <rPr>
        <sz val="10"/>
        <color rgb="FF000000"/>
        <rFont val="Arial Narrow"/>
      </rPr>
      <t>; Popovici, E (Popovici, Eveline) </t>
    </r>
    <r>
      <rPr>
        <sz val="10"/>
        <color rgb="FF5D33BF"/>
        <rFont val="Arial Narrow"/>
      </rPr>
      <t>[AI Cuza Univ Iasi, 11 Bulevard Carol, Iasi 7000506, Romania] </t>
    </r>
    <r>
      <rPr>
        <sz val="10"/>
        <color rgb="FF000000"/>
        <rFont val="Arial Narrow"/>
      </rPr>
      <t>; Bistricianu, IL (Bistricianu, Ionut Lucian) </t>
    </r>
    <r>
      <rPr>
        <sz val="10"/>
        <color rgb="FF5D33BF"/>
        <rFont val="Arial Narrow"/>
      </rPr>
      <t>[Gheorghe Asachi Tech Univ, Iasi, Romania] </t>
    </r>
    <r>
      <rPr>
        <sz val="10"/>
        <color rgb="FF000000"/>
        <rFont val="Arial Narrow"/>
      </rPr>
      <t>; Brinza, F (Brinza, Florin) </t>
    </r>
    <r>
      <rPr>
        <sz val="10"/>
        <color rgb="FF5D33BF"/>
        <rFont val="Arial Narrow"/>
      </rPr>
      <t>[AI Cuza Univ Iasi, 11 Bulevard Carol, Iasi 7000506, Romania] </t>
    </r>
    <r>
      <rPr>
        <sz val="10"/>
        <color rgb="FF000000"/>
        <rFont val="Arial Narrow"/>
      </rPr>
      <t>; Chicet, DL (Chicet, Daniela-Lucia) </t>
    </r>
    <r>
      <rPr>
        <sz val="10"/>
        <color rgb="FF5D33BF"/>
        <rFont val="Arial Narrow"/>
      </rPr>
      <t>[Gheorghe Asachi Tech Univ, Iasi, Romania] </t>
    </r>
    <r>
      <rPr>
        <sz val="10"/>
        <color rgb="FF000000"/>
        <rFont val="Arial Narrow"/>
      </rPr>
      <t>; Coman, D (Coman, Diana) </t>
    </r>
    <r>
      <rPr>
        <sz val="10"/>
        <color rgb="FF5D33BF"/>
        <rFont val="Arial Narrow"/>
      </rPr>
      <t>[Lucian Blaga Univ, Sibiu, Romania] </t>
    </r>
    <r>
      <rPr>
        <sz val="10"/>
        <color rgb="FF000000"/>
        <rFont val="Arial Narrow"/>
      </rPr>
      <t>; Pui, A (Pui, Aurel) </t>
    </r>
    <r>
      <rPr>
        <sz val="10"/>
        <color rgb="FF5D33BF"/>
        <rFont val="Arial Narrow"/>
      </rPr>
      <t>[AI Cuza Univ Iasi, 11 Bulevard Carol, Iasi 7000506, Romania] </t>
    </r>
    <r>
      <rPr>
        <sz val="10"/>
        <color rgb="FF000000"/>
        <rFont val="Arial Narrow"/>
      </rPr>
      <t>; Grigoriu, AM (Grigoriu, Ana Maria) </t>
    </r>
    <r>
      <rPr>
        <sz val="10"/>
        <color rgb="FF5D33BF"/>
        <rFont val="Arial Narrow"/>
      </rPr>
      <t>[Gheorghe Asachi Tech Univ, Iasi, Romania] </t>
    </r>
    <r>
      <rPr>
        <sz val="10"/>
        <color rgb="FF000000"/>
        <rFont val="Arial Narrow"/>
      </rPr>
      <t>; Broasca, G (Broasca, Gianina) </t>
    </r>
    <r>
      <rPr>
        <sz val="10"/>
        <color rgb="FF5D33BF"/>
        <rFont val="Arial Narrow"/>
      </rPr>
      <t>[Gheorghe Asachi Tech Univ, Iasi, Romania] </t>
    </r>
  </si>
  <si>
    <r>
      <rPr>
        <sz val="12"/>
        <color rgb="FF5D33BF"/>
        <rFont val="Arial Narrow"/>
      </rPr>
      <t>Raha, S</t>
    </r>
    <r>
      <rPr>
        <sz val="12"/>
        <color rgb="FF000000"/>
        <rFont val="Arial Narrow"/>
      </rPr>
      <t> and </t>
    </r>
    <r>
      <rPr>
        <sz val="12"/>
        <color rgb="FF5D33BF"/>
        <rFont val="Arial Narrow"/>
      </rPr>
      <t>Ahmaruzzaman, M; ZnO nanostructured materials and their potential applications: progress, challenges and perspectives; NANOSCALE ADVANCES</t>
    </r>
  </si>
  <si>
    <t>https://pubs.rsc.org/en/content/articlelanding/2022/NA/D1NA00880C</t>
  </si>
  <si>
    <t>Tang, TQ (Tang, Tao-Qian) [Natl Tsing Hua Univ, Int Intercollegiate PhD Program, Hsinchu 30013, Taiwan; E Da Hosp, Dept Internal Med, Kaohsiung 82445, Taiwan; Shou Univ, Coll Med, Sch Med, Kaohsiung 82445, Taiwan; E Da Hosp, Dept Family &amp; Community Med, Kaohsiung 82445, Taiwan; Natl Tsing Hua Univ, Dept Engn &amp; Syst Sci, Hsinchu 30013, Taiwan] ; Rooman, M (Rooman, Muhammad) [Univ Lakki Marwat, Dept Math Sci, Lakki Marwat 28420, Pakistan] ; Vrinceanu, N (Vrinceanu, Narcisa) [Lucian Blaga Univ Sibiu, Fac Engn, Dept Ind Machines &amp; Equipments, 10 Victoriei Blvd, Sibiu 5500204, Romania] ; Shah, Z (Shah, Zahir) [Univ Lakki Marwat, Dept Math Sci, Lakki Marwat 28420, Pakistan] ; Alshehri, A (Alshehri, Ahmed) [King Abdulaziz Univ, Fac Sci, Dept Math, Jeddah 21589, Saudi Arabia]</t>
  </si>
  <si>
    <t xml:space="preserve">Blood Flow of Au-Nanofluid Using Sisko Model in Stenotic Artery with Porous Walls and Viscous Dissipation Effect </t>
  </si>
  <si>
    <r>
      <rPr>
        <sz val="12"/>
        <color rgb="FF5D33BF"/>
        <rFont val="Arial Narrow"/>
      </rPr>
      <t>Prabakaran, R</t>
    </r>
    <r>
      <rPr>
        <sz val="12"/>
        <color theme="1"/>
        <rFont val="Arial Narrow"/>
      </rPr>
      <t>; </t>
    </r>
    <r>
      <rPr>
        <sz val="12"/>
        <color rgb="FF5D33BF"/>
        <rFont val="Arial Narrow"/>
      </rPr>
      <t>Eswaramoorthi, S</t>
    </r>
    <r>
      <rPr>
        <sz val="12"/>
        <color theme="1"/>
        <rFont val="Arial Narrow"/>
      </rPr>
      <t>; (...); </t>
    </r>
    <r>
      <rPr>
        <sz val="12"/>
        <color rgb="FF5D33BF"/>
        <rFont val="Arial Narrow"/>
      </rPr>
      <t xml:space="preserve">Gyeltshen, S.; Thermal Radiation and Viscous Dissipation Impacts of Water and Kerosene-Based Carbon Nanotubes over a Heated Riga Sheet; JOURNAL OF NANOMATERIALS </t>
    </r>
  </si>
  <si>
    <r>
      <rPr>
        <sz val="10"/>
        <color rgb="FF000000"/>
        <rFont val="Arial Narrow"/>
      </rPr>
      <t>Vrinceanu, N (Vrinceanu, Narcisa) </t>
    </r>
    <r>
      <rPr>
        <sz val="10"/>
        <color rgb="FF5D33BF"/>
        <rFont val="Arial Narrow"/>
      </rPr>
      <t>[1] </t>
    </r>
    <r>
      <rPr>
        <sz val="10"/>
        <color rgb="FF000000"/>
        <rFont val="Arial Narrow"/>
      </rPr>
      <t>; Guignard, MI (Guignard, Mirela Iorgoaiea) </t>
    </r>
    <r>
      <rPr>
        <sz val="10"/>
        <color rgb="FF5D33BF"/>
        <rFont val="Arial Narrow"/>
      </rPr>
      <t>[2] </t>
    </r>
    <r>
      <rPr>
        <sz val="10"/>
        <color rgb="FF000000"/>
        <rFont val="Arial Narrow"/>
      </rPr>
      <t>; Campagne, C (Campagne, Christine) </t>
    </r>
    <r>
      <rPr>
        <sz val="10"/>
        <color rgb="FF5D33BF"/>
        <rFont val="Arial Narrow"/>
      </rPr>
      <t>[3] , [4] </t>
    </r>
    <r>
      <rPr>
        <sz val="10"/>
        <color rgb="FF000000"/>
        <rFont val="Arial Narrow"/>
      </rPr>
      <t>; Giraud, S (Giraud, Stephane) </t>
    </r>
    <r>
      <rPr>
        <sz val="10"/>
        <color rgb="FF5D33BF"/>
        <rFont val="Arial Narrow"/>
      </rPr>
      <t>[5] </t>
    </r>
    <r>
      <rPr>
        <sz val="10"/>
        <color rgb="FF000000"/>
        <rFont val="Arial Narrow"/>
      </rPr>
      <t>; Prepelita, RI (Prepelita, Raluca Ioana) </t>
    </r>
    <r>
      <rPr>
        <sz val="10"/>
        <color rgb="FF5D33BF"/>
        <rFont val="Arial Narrow"/>
      </rPr>
      <t>[6] </t>
    </r>
    <r>
      <rPr>
        <sz val="10"/>
        <color rgb="FF000000"/>
        <rFont val="Arial Narrow"/>
      </rPr>
      <t>; Coman, D (Coman, Diana) </t>
    </r>
    <r>
      <rPr>
        <sz val="10"/>
        <color rgb="FF5D33BF"/>
        <rFont val="Arial Narrow"/>
      </rPr>
      <t>[1] </t>
    </r>
    <r>
      <rPr>
        <sz val="10"/>
        <color rgb="FF000000"/>
        <rFont val="Arial Narrow"/>
      </rPr>
      <t>; Petrescu, VD (Petrescu, Valentin Dan) </t>
    </r>
    <r>
      <rPr>
        <sz val="10"/>
        <color rgb="FF5D33BF"/>
        <rFont val="Arial Narrow"/>
      </rPr>
      <t>[1] </t>
    </r>
    <r>
      <rPr>
        <sz val="10"/>
        <color rgb="FF000000"/>
        <rFont val="Arial Narrow"/>
      </rPr>
      <t>; Dumitrascu, DD (Dumitrascu, Dan Dumitru) </t>
    </r>
    <r>
      <rPr>
        <sz val="10"/>
        <color rgb="FF5D33BF"/>
        <rFont val="Arial Narrow"/>
      </rPr>
      <t>[1] </t>
    </r>
    <r>
      <rPr>
        <sz val="10"/>
        <color rgb="FF000000"/>
        <rFont val="Arial Narrow"/>
      </rPr>
      <t>; Ouerfelli,;  N (Ouerfelli, Noureddine) </t>
    </r>
    <r>
      <rPr>
        <sz val="10"/>
        <color rgb="FF5D33BF"/>
        <rFont val="Arial Narrow"/>
      </rPr>
      <t>[7] , [8] </t>
    </r>
    <r>
      <rPr>
        <sz val="10"/>
        <color rgb="FF000000"/>
        <rFont val="Arial Narrow"/>
      </rPr>
      <t>; Suchea, MP (Suchea, Mirela Petruta) </t>
    </r>
    <r>
      <rPr>
        <sz val="10"/>
        <color rgb="FF5D33BF"/>
        <rFont val="Arial Narrow"/>
      </rPr>
      <t>[9] , [10]</t>
    </r>
  </si>
  <si>
    <r>
      <rPr>
        <sz val="12"/>
        <color rgb="FF5D33BF"/>
        <rFont val="Arial Narrow"/>
      </rPr>
      <t>Eutionnat-Diffo, PA</t>
    </r>
    <r>
      <rPr>
        <sz val="12"/>
        <color theme="1"/>
        <rFont val="Arial Narrow"/>
      </rPr>
      <t>; </t>
    </r>
    <r>
      <rPr>
        <sz val="12"/>
        <color rgb="FF5D33BF"/>
        <rFont val="Arial Narrow"/>
      </rPr>
      <t>Chen, Y</t>
    </r>
    <r>
      <rPr>
        <sz val="12"/>
        <color theme="1"/>
        <rFont val="Arial Narrow"/>
      </rPr>
      <t>; (...); </t>
    </r>
    <r>
      <rPr>
        <sz val="12"/>
        <color rgb="FF5D33BF"/>
        <rFont val="Arial Narrow"/>
      </rPr>
      <t>Nierstrasz, V; Stress, strain and deformation of poly-lactic acid filament deposited onto polyethylene terephthalate woven fabric through 3D printing process; SCIENTIFIC REPORTS 9</t>
    </r>
  </si>
  <si>
    <t>https://www.nature.com/articles/s41598-019-50832-7</t>
  </si>
  <si>
    <r>
      <rPr>
        <sz val="12"/>
        <color rgb="FF000000"/>
        <rFont val="Arial Narrow"/>
      </rPr>
      <t>Vrinceanu, N (Vrinceanu, Narcisa) </t>
    </r>
    <r>
      <rPr>
        <sz val="12"/>
        <color rgb="FF5D33BF"/>
        <rFont val="Arial Narrow"/>
      </rPr>
      <t>[Lucian Blaga Univ Sibiu, Dept Ind Machines &amp; Equipments, Sibiu, Romania] </t>
    </r>
    <r>
      <rPr>
        <sz val="12"/>
        <color rgb="FF000000"/>
        <rFont val="Arial Narrow"/>
      </rPr>
      <t>; Bucur, S (Bucur, Stefan) </t>
    </r>
    <r>
      <rPr>
        <sz val="12"/>
        <color rgb="FF5D33BF"/>
        <rFont val="Arial Narrow"/>
      </rPr>
      <t>[Alexandru Ioan Cuza Univ, Fac Chem, Iasi, Romania] </t>
    </r>
    <r>
      <rPr>
        <sz val="12"/>
        <color rgb="FF000000"/>
        <rFont val="Arial Narrow"/>
      </rPr>
      <t>; Rimbu, CM (Rimbu, Cristina Mihaela) </t>
    </r>
    <r>
      <rPr>
        <sz val="12"/>
        <color rgb="FF5D33BF"/>
        <rFont val="Arial Narrow"/>
      </rPr>
      <t>[Ion Ionescu de la Brad Univ Agr Sci &amp; Vet Med, Dept Publ Hlth, Iasi, Romania] </t>
    </r>
    <r>
      <rPr>
        <sz val="12"/>
        <color rgb="FF000000"/>
        <rFont val="Arial Narrow"/>
      </rPr>
      <t>; Neculai-Valeanu, S (Neculai-Valeanu, Sabina) </t>
    </r>
    <r>
      <rPr>
        <sz val="12"/>
        <color rgb="FF5D33BF"/>
        <rFont val="Arial Narrow"/>
      </rPr>
      <t>[Res Stn Cattle Breeding, Iasi, Romania] </t>
    </r>
    <r>
      <rPr>
        <sz val="12"/>
        <color rgb="FF000000"/>
        <rFont val="Arial Narrow"/>
      </rPr>
      <t>; Bou, SF (Bou, Santiago Ferrandiz) </t>
    </r>
    <r>
      <rPr>
        <sz val="12"/>
        <color rgb="FF5D33BF"/>
        <rFont val="Arial Narrow"/>
      </rPr>
      <t>[Univ Politecn Valencia, Dept Mech &amp; Mat Engn, Valencia, Spain] </t>
    </r>
    <r>
      <rPr>
        <sz val="12"/>
        <color rgb="FF000000"/>
        <rFont val="Arial Narrow"/>
      </rPr>
      <t>; Suchea, MP (Suchea, Mirela Petruta), (IMT Bucharest, Natl Inst Res &amp; Dev Microtechnol, Voluntari, Romania
7 Hellen Mediterranean Univ, Ctr Mat Technol &amp; Photon, Iraklion, Greece)</t>
    </r>
  </si>
  <si>
    <r>
      <rPr>
        <sz val="10"/>
        <color rgb="FF000000"/>
        <rFont val="Arial Narrow"/>
      </rPr>
      <t>N</t>
    </r>
    <r>
      <rPr>
        <sz val="10"/>
        <color rgb="FF424242"/>
        <rFont val="Arial Narrow"/>
      </rPr>
      <t xml:space="preserve">anoparticle/biopolymer-based coatings for functionalization of textiles: recent developments (a minireview), </t>
    </r>
  </si>
  <si>
    <r>
      <rPr>
        <sz val="12"/>
        <color rgb="FF5D33BF"/>
        <rFont val="Arial Narrow"/>
      </rPr>
      <t>Syed, MH</t>
    </r>
    <r>
      <rPr>
        <sz val="12"/>
        <color rgb="FF000000"/>
        <rFont val="Arial Narrow"/>
      </rPr>
      <t>; </t>
    </r>
    <r>
      <rPr>
        <sz val="12"/>
        <color rgb="FF5D33BF"/>
        <rFont val="Arial Narrow"/>
      </rPr>
      <t>Zahari, MAKM</t>
    </r>
    <r>
      <rPr>
        <sz val="12"/>
        <color rgb="FF000000"/>
        <rFont val="Arial Narrow"/>
      </rPr>
      <t>; (...); </t>
    </r>
    <r>
      <rPr>
        <sz val="12"/>
        <color rgb="FF5D33BF"/>
        <rFont val="Arial Narrow"/>
      </rPr>
      <t>Abdullah, N; An overview on recent biomedical applications of biopolymers: Their role in drug delivery systems and comparison of major systems; JOURNAL OF DRUG DELIVERY SCIENCE AND TECHNOLOGY</t>
    </r>
  </si>
  <si>
    <t>https://1510a0etx-y-https-www-sciencedirect-com.z.e-nformation.ro/science/article/abs/pii/S1773224722010322?via%3Dihub</t>
  </si>
  <si>
    <r>
      <rPr>
        <sz val="10"/>
        <color rgb="FF000000"/>
        <rFont val="Arial Narrow"/>
      </rPr>
      <t>Vrinceanu, N (Vrinceanu, Narcisa) </t>
    </r>
    <r>
      <rPr>
        <sz val="10"/>
        <color rgb="FF5D33BF"/>
        <rFont val="Arial Narrow"/>
      </rPr>
      <t>[Lucian Blaga Univ Sibiu, Fac Engn, Dept Ind Machines &amp; Equipment, 2-4 Emil Cioran St, Sibiu 550024, Romania] </t>
    </r>
    <r>
      <rPr>
        <sz val="10"/>
        <color rgb="FF000000"/>
        <rFont val="Arial Narrow"/>
      </rPr>
      <t>; Hlihor, RM (Hlihor, Raluca Maria) </t>
    </r>
    <r>
      <rPr>
        <sz val="10"/>
        <color rgb="FF5D33BF"/>
        <rFont val="Arial Narrow"/>
      </rPr>
      <t>[Univ Agr Sci &amp; Vet Med Iasi, Fac Hort, Dept Hort Technol, 3 Mihail Sadoveanu Alley, Iasi 700490, Romania] </t>
    </r>
    <r>
      <rPr>
        <sz val="10"/>
        <color rgb="FF000000"/>
        <rFont val="Arial Narrow"/>
      </rPr>
      <t>; Simion, AI (Simion, Andrei Ionut) </t>
    </r>
    <r>
      <rPr>
        <sz val="10"/>
        <color rgb="FF5D33BF"/>
        <rFont val="Arial Narrow"/>
      </rPr>
      <t>[Univ Bacau, Fac Engn, Dept Chem &amp; Food Engn, 157 Calea Marasesti, Bacau 600115, Romania] </t>
    </r>
    <r>
      <rPr>
        <sz val="10"/>
        <color rgb="FF000000"/>
        <rFont val="Arial Narrow"/>
      </rPr>
      <t>; Rusu, L (Rusu, Lacramioara) </t>
    </r>
    <r>
      <rPr>
        <sz val="10"/>
        <color rgb="FF5D33BF"/>
        <rFont val="Arial Narrow"/>
      </rPr>
      <t>[Univ Bacau, Fac Engn, Dept Chem &amp; Food Engn, 157 Calea Marasesti, Bacau 600115, Romania] </t>
    </r>
    <r>
      <rPr>
        <sz val="10"/>
        <color rgb="FF000000"/>
        <rFont val="Arial Narrow"/>
      </rPr>
      <t>; Fekete-Kertesz, I (Fekete-Kertesz, Ildiko) </t>
    </r>
    <r>
      <rPr>
        <sz val="10"/>
        <color rgb="FF5D33BF"/>
        <rFont val="Arial Narrow"/>
      </rPr>
      <t>[Budapest Univ Technol &amp; Econ, Dept Appl Biotechnol &amp; Food Sci, H-1111 Budapest, Hungary] </t>
    </r>
    <r>
      <rPr>
        <sz val="10"/>
        <color rgb="FF000000"/>
        <rFont val="Arial Narrow"/>
      </rPr>
      <t>; Barka, N (Barka, Noureddine) </t>
    </r>
    <r>
      <rPr>
        <sz val="10"/>
        <color rgb="FF5D33BF"/>
        <rFont val="Arial Narrow"/>
      </rPr>
      <t>[Sultan Moulay Slimane Univ Beni Mellal, Res Grp Environm Sci &amp; Appl Mat SEMA, BP 145, Fp Khouribga 25000, Khouribga, Morocco] </t>
    </r>
    <r>
      <rPr>
        <sz val="10"/>
        <color rgb="FF000000"/>
        <rFont val="Arial Narrow"/>
      </rPr>
      <t>; Favier, L (Favier, Lidia) </t>
    </r>
    <r>
      <rPr>
        <sz val="10"/>
        <color rgb="FF5D33BF"/>
        <rFont val="Arial Narrow"/>
      </rPr>
      <t>[Univ Rennes, ISCR UMR6226, Ecole Natl Super Chim Rennes, CNRS, F-35000 Rennes, France]</t>
    </r>
  </si>
  <si>
    <t>New Evidence of the Enhanced Elimination of a Persistent Drug Used as a Lipid Absorption Inhibitor by Advanced Oxidation with UV-A and Nanosized Catalysts</t>
  </si>
  <si>
    <r>
      <rPr>
        <sz val="12"/>
        <color rgb="FF5D33BF"/>
        <rFont val="Arial Narrow"/>
      </rPr>
      <t>Camcioglu, S</t>
    </r>
    <r>
      <rPr>
        <sz val="12"/>
        <color theme="1"/>
        <rFont val="Arial Narrow"/>
      </rPr>
      <t>; </t>
    </r>
    <r>
      <rPr>
        <sz val="12"/>
        <color rgb="FF5D33BF"/>
        <rFont val="Arial Narrow"/>
      </rPr>
      <t>Ozyurt, B</t>
    </r>
    <r>
      <rPr>
        <sz val="12"/>
        <color theme="1"/>
        <rFont val="Arial Narrow"/>
      </rPr>
      <t>; (...); </t>
    </r>
    <r>
      <rPr>
        <sz val="12"/>
        <color rgb="FF5D33BF"/>
        <rFont val="Arial Narrow"/>
      </rPr>
      <t xml:space="preserve">Oturan, MA; 
Fast and Complete Destruction of the Anti-Cancer Drug Cytarabine from Water by Electrocatalytic Oxidation Using Electro-Fenton Process; CATALYSTS </t>
    </r>
  </si>
  <si>
    <t>https://www.mdpi.com/2073-4344/12/12/1598</t>
  </si>
  <si>
    <r>
      <rPr>
        <sz val="12"/>
        <color rgb="FF5D33BF"/>
        <rFont val="Arial Narrow"/>
      </rPr>
      <t>Vrinceanu, N</t>
    </r>
    <r>
      <rPr>
        <sz val="12"/>
        <color rgb="FF000000"/>
        <rFont val="Arial Narrow"/>
      </rPr>
      <t> and </t>
    </r>
    <r>
      <rPr>
        <sz val="12"/>
        <color rgb="FF5D33BF"/>
        <rFont val="Arial Narrow"/>
      </rPr>
      <t>Coman, D</t>
    </r>
  </si>
  <si>
    <t>Wang, YF; Baheti, V; (...); Militky, J.; A facile approach to develop multifunctional cotton fabrics with hydrophobic, self-cleaning and UV protection properties using ZnO particles and fluorocarbon; JOURNAL OF THE TEXTILE INSTITUTE</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</si>
  <si>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</si>
  <si>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</si>
  <si>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</si>
  <si>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</si>
  <si>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</si>
  <si>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</si>
  <si>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</si>
  <si>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sz val="10"/>
        <color theme="1"/>
        <rFont val="Arial Narrow"/>
      </rPr>
      <t xml:space="preserve">* </t>
    </r>
    <r>
      <rPr>
        <b/>
        <sz val="10"/>
        <color theme="1"/>
        <rFont val="Arial Narrow"/>
      </rPr>
      <t xml:space="preserve">Punctaje de referință:                                                                                                                                                                                                                                                                                                             
</t>
    </r>
    <r>
      <rPr>
        <sz val="10"/>
        <color theme="1"/>
        <rFont val="Arial Narrow"/>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</si>
  <si>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</si>
  <si>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</si>
  <si>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</si>
  <si>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</si>
  <si>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</si>
  <si>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</si>
  <si>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</si>
  <si>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</si>
  <si>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</si>
  <si>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</si>
  <si>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</si>
  <si>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</si>
  <si>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</si>
  <si>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</si>
  <si>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b/>
        <sz val="10"/>
        <color rgb="FF000000"/>
        <rFont val="Arial Narrow"/>
      </rPr>
      <t>* Punctaje de referință:</t>
    </r>
    <r>
      <rPr>
        <sz val="10"/>
        <color rgb="FF000000"/>
        <rFont val="Arial Narrow"/>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</si>
  <si>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</si>
  <si>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</si>
  <si>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</si>
  <si>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Automobil electric personal/RO130763</t>
  </si>
  <si>
    <t>Ţîţu, M.(ULBS), Oprean, C.(ULBS), Bondrea, I.(ULBS), Mărginean, I.(pensionar), Țîțu, S.(IOCN), Moldovan, A.(Thyssenkrupp Bilstein), Bogorin-Predescu, A.(Continental)</t>
  </si>
  <si>
    <t>29.07.2015/30.06.2022</t>
  </si>
  <si>
    <t>Sistem de comandă și control pentru o bicicletă electrică / 129293 - 29.04.2022</t>
  </si>
  <si>
    <t>Ţîţu, M.(ULBS), Oprean, C.(ULBS), Bondrea, I.(ULBS), Carabulea, I.(Atlassib), Mărginean, I. (pensionar), Moldovan, A. (Thyssenkrupp Bilstein), Bogorin-Predescu, A. (Continental), Iuonaș. I.D. (Marquardt)</t>
  </si>
  <si>
    <t>BOPI Nr. 4 din 2022 / pag. 86</t>
  </si>
  <si>
    <t>Method and computer system for capture and analysis of repetitive actions generated by the employee-computer interaction</t>
  </si>
  <si>
    <t>Sergiu N. (ULBS), Kifor C. V., Receu I. (ULBS)</t>
  </si>
  <si>
    <t>Metoda si sistem informatic pentru capturarea si analiza actiunilor repetitive generate de interactiunea angajat - calculator</t>
  </si>
  <si>
    <t>Sistem personal antisedentarism / 133869 - 30.08.2022</t>
  </si>
  <si>
    <t>Ţîțu, M. (ULBS), Moldovan, A. (Thyssenkrupp Bilstein), Bogorin-Predescu, A. (Continental), Țîțu Ș. (IOCN), Bogorin-Predescu, Oana (Med. Stom.), Oprean C. (ULBS), Mărginean I. (pensionar)</t>
  </si>
  <si>
    <t>BOPI Nr. 8 din 2022 / pag 69; indexare TR - 18.03.2020</t>
  </si>
  <si>
    <t xml:space="preserve">BOPI Nr. 4 din 2022 / pag. 86; indexare TR - 01.03.2014 </t>
  </si>
  <si>
    <t>Automobil electric personal individual / 130763 - 30.06.2022</t>
  </si>
  <si>
    <t xml:space="preserve">BOPI Nr. 6 din 2022 / pag. 96; indexare TR - 01.08.2016 </t>
  </si>
  <si>
    <t>Sistem modular flexibil de fixare a semifabricatelor pentru procedeul de deformare incrementala</t>
  </si>
  <si>
    <t>Racz Sever-Gabriel, Breaz Radu-Eugen, Oleksik Valentin Stefan, Pascu Adrian Marius, Popp Ilie Octavian, Girjob Claudia Emilia, Tera Melania, Chicea Anca Lucia, Biris Cristina Maria, Crenganis Mihai</t>
  </si>
  <si>
    <t>Sistem modular flexibil de fixare a semifabricatelor pentru procedeul de deformare incrementală / a 2019 00712</t>
  </si>
  <si>
    <t>Racz S. G., Breaz R. E., Oleksik V. Ș., Pascu A. M., Popp I. O., Gîrjob C. E., Tera M., Chicea A. L., Biriș C. M., Crenganiș M.</t>
  </si>
  <si>
    <t>Aprilie 2022</t>
  </si>
  <si>
    <t>Racz, S.G., Breaz, R.E., Oleksik, V.Ș., Pascu, A. M., Popp, I.O., Gîrjob, C.E., Tera, M:,  Chicea, A.L., Biriș, C.M.,Crenganiș, M.</t>
  </si>
  <si>
    <t>Sistem modular flexibil de fixare a semifabricatelorbpentru deformare incrementală/ Nr. 134103</t>
  </si>
  <si>
    <t>Racz Sever-Gabriel, Breaz Radu-Eugen, Oleksik Valentin Stefan, Pascu Adrian Marius, Popp Ilie Octavian, Gîrjob Claudia Emilia, Tera Melania, Chicea Anca Lucia, Biriș Cristina Maria, Crenganiș Mihai</t>
  </si>
  <si>
    <t>30/06/2022</t>
  </si>
  <si>
    <t>Sistem modular flexibil de fixare a semifabricatelor pentru deformare incrementală / Nr. 134103</t>
  </si>
  <si>
    <r>
      <rPr>
        <sz val="10"/>
        <color theme="1"/>
        <rFont val="Arial Narrow"/>
      </rPr>
      <t xml:space="preserve">Racz Sever-Gabriel, Breaz Radu-Eugen, Oleksik Valentin Stefan, </t>
    </r>
    <r>
      <rPr>
        <b/>
        <sz val="10"/>
        <color theme="1"/>
        <rFont val="Arial Narrow"/>
      </rPr>
      <t>Pascu Adrian Marius</t>
    </r>
    <r>
      <rPr>
        <sz val="10"/>
        <color theme="1"/>
        <rFont val="Arial Narrow"/>
      </rPr>
      <t>, Popp Ilie Octavian, Gîrjob Claudia Emilia, Tera Melania, Chicea Anca Lucia, Biriș Cristina Maria, Crenganiș Mihai</t>
    </r>
  </si>
  <si>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</si>
  <si>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</si>
  <si>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</si>
  <si>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</si>
  <si>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</si>
  <si>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b/>
        <sz val="10"/>
        <color theme="1"/>
        <rFont val="Arial Narrow"/>
      </rPr>
      <t>* Punctaje de referință:</t>
    </r>
    <r>
      <rPr>
        <sz val="10"/>
        <color theme="1"/>
        <rFont val="Arial Narrow"/>
      </rPr>
      <t xml:space="preserve">
• </t>
    </r>
    <r>
      <rPr>
        <b/>
        <sz val="10"/>
        <color theme="1"/>
        <rFont val="Arial Narrow"/>
      </rPr>
      <t>a)        Organizare/management eveniment artistic (Artele spectacolului/Arte vizuale-resta</t>
    </r>
    <r>
      <rPr>
        <sz val="10"/>
        <color theme="1"/>
        <rFont val="Arial Narrow"/>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b/>
        <sz val="10"/>
        <color theme="1"/>
        <rFont val="Arial Narrow"/>
      </rPr>
      <t>b)	Film de lung metraj (Artele spectacolului):</t>
    </r>
    <r>
      <rPr>
        <sz val="10"/>
        <color theme="1"/>
        <rFont val="Arial Narrow"/>
      </rPr>
      <t xml:space="preserve">
• regie = 600 p; rol principal = 450 p.; rol secundar = 200 p.; rol episodic = 100 p.
</t>
    </r>
    <r>
      <rPr>
        <b/>
        <sz val="10"/>
        <color theme="1"/>
        <rFont val="Arial Narrow"/>
      </rPr>
      <t>c)	Roluri în spectacole în cadrul instituțiilor producătoare (Artele spectacolului):</t>
    </r>
    <r>
      <rPr>
        <sz val="10"/>
        <color theme="1"/>
        <rFont val="Arial Narrow"/>
      </rPr>
      <t xml:space="preserve">
• rol în spectacol nou / premieră a unei stagiuni din cadrul unei instituții producătoare de spectacol (teatru național / de stat / independent): rol principal = 350 p.; rol secundar = 200 p.; rol episodic sau corp-ansamblu = 100 p.
</t>
    </r>
    <r>
      <rPr>
        <b/>
        <sz val="10"/>
        <color theme="1"/>
        <rFont val="Arial Narrow"/>
      </rPr>
      <t>d)	Roluri în spectacole jucate la festivaluri internaționale (Artele spectacolului):</t>
    </r>
    <r>
      <rPr>
        <sz val="10"/>
        <color theme="1"/>
        <rFont val="Arial Narrow"/>
      </rPr>
      <t xml:space="preserve">
• rol într-un spectacol invitat / selectat în programul unui festival internațional din străinătate și în cadrul FITS: rol principal = 100 p.; rol secundar = 50 p.; rol episodic sau corp-ansamblu = 40 p.
</t>
    </r>
    <r>
      <rPr>
        <b/>
        <sz val="10"/>
        <color theme="1"/>
        <rFont val="Arial Narrow"/>
      </rPr>
      <t>e)	Producție artistică în cadrul instituțiilor producătoare de spectacol (Artele spectacolului):</t>
    </r>
    <r>
      <rPr>
        <sz val="10"/>
        <color theme="1"/>
        <rFont val="Arial Narrow"/>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b/>
        <sz val="10"/>
        <color theme="1"/>
        <rFont val="Arial Narrow"/>
      </rPr>
      <t>f)	Concerte internaționale (Muzică – inclusiv muzică religioasă):</t>
    </r>
    <r>
      <rPr>
        <sz val="10"/>
        <color theme="1"/>
        <rFont val="Arial Narrow"/>
      </rPr>
      <t xml:space="preserve">
• spectacol invitat / selectat în programul unui festival (deplasare) internațional din străinătate sau în cadrul FITS: solist = 120 puncte; membru cor/ansamblu/instrumentist = 60 p.
• concert de muzică religioasă în străinătate = 100 p.
</t>
    </r>
    <r>
      <rPr>
        <b/>
        <sz val="10"/>
        <color theme="1"/>
        <rFont val="Arial Narrow"/>
      </rPr>
      <t>g)	Expoziții în străinătate (Arte vizuale)</t>
    </r>
    <r>
      <rPr>
        <sz val="10"/>
        <color theme="1"/>
        <rFont val="Arial Narrow"/>
      </rPr>
      <t xml:space="preserve">:
• expoziție personala = 500 p.;
• participare la expoziție = 100 p.
</t>
    </r>
    <r>
      <rPr>
        <b/>
        <sz val="10"/>
        <color theme="1"/>
        <rFont val="Arial Narrow"/>
      </rPr>
      <t>h)	Vizibilitate internațională:</t>
    </r>
    <r>
      <rPr>
        <sz val="10"/>
        <color theme="1"/>
        <rFont val="Arial Narrow"/>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</si>
  <si>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</si>
  <si>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</si>
  <si>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</si>
  <si>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</si>
  <si>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</si>
  <si>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</si>
  <si>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</si>
  <si>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</si>
  <si>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</si>
  <si>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</si>
  <si>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</si>
  <si>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</si>
  <si>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</si>
  <si>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sz val="10"/>
        <color theme="1"/>
        <rFont val="Arial Narrow"/>
      </rPr>
      <t xml:space="preserve">* Punctaje de referință:
</t>
    </r>
    <r>
      <rPr>
        <b/>
        <sz val="10"/>
        <color theme="1"/>
        <rFont val="Arial Narrow"/>
      </rPr>
      <t>a)        Organizare:</t>
    </r>
    <r>
      <rPr>
        <sz val="10"/>
        <color theme="1"/>
        <rFont val="Arial Narrow"/>
      </rPr>
      <t xml:space="preserve"> 
•        competiție internațională: 500 p.</t>
    </r>
    <r>
      <rPr>
        <sz val="10"/>
        <color theme="1"/>
        <rFont val="Arial Narrow"/>
      </rPr>
      <t>/ echipă organizatorică;</t>
    </r>
    <r>
      <rPr>
        <sz val="10"/>
        <color theme="1"/>
        <rFont val="Arial Narrow"/>
      </rPr>
      <t xml:space="preserve">
•        competiție națională: 300</t>
    </r>
    <r>
      <rPr>
        <sz val="10"/>
        <color theme="1"/>
        <rFont val="Arial Narrow"/>
      </rPr>
      <t xml:space="preserve"> p./ echipă organizatorică.</t>
    </r>
    <r>
      <rPr>
        <sz val="10"/>
        <color theme="1"/>
        <rFont val="Arial Narrow"/>
      </rPr>
      <t xml:space="preserve">
</t>
    </r>
    <r>
      <rPr>
        <b/>
        <sz val="10"/>
        <color theme="1"/>
        <rFont val="Arial Narrow"/>
      </rPr>
      <t>b)        Participare:</t>
    </r>
    <r>
      <rPr>
        <sz val="10"/>
        <color theme="1"/>
        <rFont val="Arial Narrow"/>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</si>
  <si>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</si>
  <si>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</si>
  <si>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Finala Campionatului national de sah prin corespondenta/60th Romanian Final</t>
  </si>
  <si>
    <t>Campionat national</t>
  </si>
  <si>
    <t>The end date was 8/31/2022</t>
  </si>
  <si>
    <t>https://www.iccf.com/event?id=94979</t>
  </si>
  <si>
    <t>participant: premiul II</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</si>
  <si>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</si>
  <si>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</si>
  <si>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</si>
  <si>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</si>
  <si>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</si>
  <si>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sz val="10"/>
        <color theme="1"/>
        <rFont val="Arial Narrow"/>
      </rPr>
      <t xml:space="preserve">* </t>
    </r>
    <r>
      <rPr>
        <b/>
        <sz val="10"/>
        <color theme="1"/>
        <rFont val="Arial Narrow"/>
      </rPr>
      <t>Punctaje de referință:</t>
    </r>
    <r>
      <rPr>
        <sz val="10"/>
        <color theme="1"/>
        <rFont val="Arial Narrow"/>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</si>
  <si>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</si>
  <si>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</si>
  <si>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</si>
  <si>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</si>
  <si>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</si>
  <si>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</si>
  <si>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PRECISION ANALYSIS OF THE TURNING TOOLS WITH INDEXABLE INSERTS, ALONG Y-AXIS</t>
  </si>
  <si>
    <t>articol</t>
  </si>
  <si>
    <t>Beju Livia Dana  - ULBS,  Purcar Carmen  - ULBS</t>
  </si>
  <si>
    <t>ACTA UNIVERSITATIS CIBINIENSIS – TECHNICAL SERIES Vol. 74 2022</t>
  </si>
  <si>
    <t>ISSN 2668-6449</t>
  </si>
  <si>
    <t>DOI: 10.2478/aucts-2022-0001</t>
  </si>
  <si>
    <t>Copernicus, Index Copernicus 77.51</t>
  </si>
  <si>
    <t>Humility and Spiritual Intelligence: Some insights from the Christian Orthodox anthropology view</t>
  </si>
  <si>
    <t>Remus Constantin BUTĂNESCU-VOLANIN</t>
  </si>
  <si>
    <t>2nd International Congress on Scientific Advances (ICONSAD'22), 21-24 december 2022 - Proceeding Book (https://drive.google.com/file/d/1TqIl7hfTqZz-S014sY1iSccGIqUFImvg/view)</t>
  </si>
  <si>
    <t>978‐605‐73639‐5‐4</t>
  </si>
  <si>
    <t>353-355</t>
  </si>
  <si>
    <t>Sampling of material from an object of processing electric conductivity reduced to electrical discharge machining</t>
  </si>
  <si>
    <t>Articol</t>
  </si>
  <si>
    <t>Nioata Alin - Universitatea "Constantin Brancusi " - Tg Jiu                                Ciofu Florin - Universitatea "Lucian Blaga" - Sibiu</t>
  </si>
  <si>
    <t>Fiabilitate si Durabilitate, nr.1, 2022</t>
  </si>
  <si>
    <t>ISSN 1844-640X</t>
  </si>
  <si>
    <t>99 - 102</t>
  </si>
  <si>
    <t>Indexcopernicus: Index Copernicus
EBSCO: EBSCO
JournalSeek: JournalSeek
DOAJ: DOAJ
ULRICHS: ULRICHS
SCIPIO: SCIPIO</t>
  </si>
  <si>
    <t>Ciofu Florin</t>
  </si>
  <si>
    <t>Surface hardening heat treatments applied to cast irons and steels used in the manufacture of heat exchanger subassemblies</t>
  </si>
  <si>
    <t xml:space="preserve">Ciofu Florin - Universitatea "Lucian Blaga" - Sibiu                       Nioata Alin - Universitatea "Constantin Brancusi " - Tg Jiu                                </t>
  </si>
  <si>
    <t>82 - 91</t>
  </si>
  <si>
    <t>Finite element analysis of stress states and deformations of civil construction structures</t>
  </si>
  <si>
    <t xml:space="preserve">Ciofu Florin - Universitatea "Lucian Blaga" - Sibiu                      </t>
  </si>
  <si>
    <t>92 - 98</t>
  </si>
  <si>
    <t>Development of a mobile application monitoring of sound pollution</t>
  </si>
  <si>
    <t>Analele Universitatii "Constantin Brancusi" din Tg Jiu, Seria Inginerie, nr.2, 2022</t>
  </si>
  <si>
    <t>ISSN 1842-4856</t>
  </si>
  <si>
    <t>62 - 69</t>
  </si>
  <si>
    <t xml:space="preserve">
EBSCO: EBSCO
DOAJ: DOAJ
JournalSeek: JournalSeek
Open Academic Journals Index: OAJI
Academic Resource Index: Academic Resource Index ResearchBib
CiteFactor: Citefactor
Global Impact Factor: GIF
Scientific Indexing Services: Scientific Indexing Services</t>
  </si>
  <si>
    <t>Sound pollution monitoring using mobile applications</t>
  </si>
  <si>
    <t>70 - 75</t>
  </si>
  <si>
    <t>EBSCO: EBSCO
DOAJ: DOAJ
JournalSeek: JournalSeek
Open Academic Journals Index: OAJI
Academic Resource Index: Academic Resource Index ResearchBib
CiteFactor: Citefactor
Global Impact Factor: GIF
Scientific Indexing Services: Scientific Indexing Services</t>
  </si>
  <si>
    <t>The Influence of Promotion Polycy on Sales</t>
  </si>
  <si>
    <t>Manea, N., Sîrbu, A., Dumitrescu, C. I, Deneș, C., Scripcaru, A.M., Stan, A.E.</t>
  </si>
  <si>
    <t>Bussines &amp; Management Joutnal, Volume 10, Issue4</t>
  </si>
  <si>
    <t>ISSN-L: 2344-4088
ISSN: 2344-4088</t>
  </si>
  <si>
    <t>63-71</t>
  </si>
  <si>
    <t>https://www.proquest.com/openview/2b71eecafb9ecb6fd679889a44a4a6b8/1?pq-origsite=gscholar&amp;cbl=2037693</t>
  </si>
  <si>
    <t xml:space="preserve">The Impact of COVID-19 Pandemic on the Romanian Foreign Trade Results in the Year 2021 </t>
  </si>
  <si>
    <t>Economic Review (Revista Economică)</t>
  </si>
  <si>
    <t>1582-6260</t>
  </si>
  <si>
    <t>de la 17 pana la 21</t>
  </si>
  <si>
    <t>10.56043/reveco-2022-0012</t>
  </si>
  <si>
    <t>RePeC Research Papers in Economics, Ulrich's Periodical Directory, DOAJ - Directory of Open Access Journals, EBSCO - Business Source Complete Plus</t>
  </si>
  <si>
    <t>Predicting Dose-Range Chemical Toxicity in Large Scale using 
Novel Hybrid Deep Machine Learning Method.</t>
  </si>
  <si>
    <t>review</t>
  </si>
  <si>
    <t>Sarita Limbu1, Cyril Zakka2 and Sivanesan Dakshanamurthy1</t>
  </si>
  <si>
    <t>www.mdpi.com/journal/toxics       Toxics 2022, 10(11), 706</t>
  </si>
  <si>
    <t>2305-6304</t>
  </si>
  <si>
    <t>https://doi.org/10.3390/toxics10110706</t>
  </si>
  <si>
    <t>Autonomous Vehicle Overtaking: Modeling and an Optimal
Trajectory Generation Scheme</t>
  </si>
  <si>
    <t>Yu Yamada1, A. S. M. Bakibillah2 , Kotaro Hashikura1, Md Abdus Samad Kamal 1,* , and Kou Yamada1</t>
  </si>
  <si>
    <t>https://www.mdpi.com/journal/sustainability    Sustainability 2022, 14(3), 1807</t>
  </si>
  <si>
    <t>https://doi.org/10.3390/su14031807</t>
  </si>
  <si>
    <t>SocialMedia 2Traffic: Derivation of traffic information from
social media data</t>
  </si>
  <si>
    <t>Mohammed Zia 1,† , Johannes Fürle 2,† , Christina Ludwig 2,† , Sven Lautenbach 1,2,_x0003_ , Stefan Gumbrich 1, and
Alexander Zipf</t>
  </si>
  <si>
    <t>https://www.mdpi.com/journal/ijgi
ISPRS Int. J. Geo-Inf. 2022, 11(9), 482</t>
  </si>
  <si>
    <t>2220-9964</t>
  </si>
  <si>
    <t>https://doi.org/10.3390/ijgi11090482</t>
  </si>
  <si>
    <t>Covid-19 Public Opinion: A Twitter Healthcare Data Processing  Using Machine Learning Methodologies</t>
  </si>
  <si>
    <t>Shweta Agrawal 1,*, Sanjiv Kumar Jain 2,*, Ram Krishn Mishra 3,*, Shruti Sharma 4 and Ajay Khatri</t>
  </si>
  <si>
    <t>www.mdpi.com/journal/ijerph   Int. J. Environ. Res. Public Health 2023, 20(1), 432</t>
  </si>
  <si>
    <t>https://doi.org/10.3390/ijerph20010432</t>
  </si>
  <si>
    <t>Access to City Center: Automobile vs. Public Transit</t>
  </si>
  <si>
    <t>Linlin Liu 1, Bohong Zheng *, Chen Luo 1, Komi Bernard Bedra 1 and Francis Masrabaye</t>
  </si>
  <si>
    <t>www.mdpi.com/journal/ijerph       nt. J. Environ. Res. Public Health 2022, 19(9), 5622</t>
  </si>
  <si>
    <t>https://doi.org/10.3390/ijerph19095622</t>
  </si>
  <si>
    <t>Level of Service Model of the Non-motorized Vehicle Crossing  the Signalized Intersection Based on Riders’ Perception data</t>
  </si>
  <si>
    <t>Xiaofei Ye1, Yi Zhu2, Tao Wang3,*, Xingchen Yan4, Jun Chen5 and Bin Ran6</t>
  </si>
  <si>
    <t>www.mdpi.com/journal/ijerph        Int. J. Environ. Res. Public Health 2022, 19(8), 4534</t>
  </si>
  <si>
    <t>https://doi.org/10.3390/ijerph19084534</t>
  </si>
  <si>
    <t>Evaluation of urban traffic accidents based on pedestrian landing injury risks</t>
  </si>
  <si>
    <t>Liangliang Shi 1, Ming Liu 1, Yu Liu 1, Qingjiang Zhao 1, Kuo Cheng 1, Honghao Zhang 1,2,*, and Amir M. Fathollahi-4 Fard</t>
  </si>
  <si>
    <t>www.mdpi.com/journal/applsci      Appl. Sci. 2022, 12(12), 6040</t>
  </si>
  <si>
    <t>https://doi.org/10.3390/app12126040</t>
  </si>
  <si>
    <t>Estimation of traffic demand considering route trajectory re
construction in congested network</t>
  </si>
  <si>
    <t>Wenyun Tang 1, Jiahui Chen 2, Chao Sun 3*, Hanbing Wang 4, and Gen Li</t>
  </si>
  <si>
    <t>www.mdpi.com/journal/algorithms Algorithms 2022, 15(9), 307</t>
  </si>
  <si>
    <t>https://doi.org/10.3390/a15090307</t>
  </si>
  <si>
    <t>Research on the Performance Recovery Strategy Model of Hangzhou Metro Network Based on Complex Network and Tenacity Theory</t>
  </si>
  <si>
    <t>Xiaohong Yin and Jiakun Wu</t>
  </si>
  <si>
    <t>https://www.mdpi.com/journal/sustainability    Sustainability 2023, 15(8)</t>
  </si>
  <si>
    <t>10.3390/su15086613</t>
  </si>
  <si>
    <t>A self-supervised learning model for unknown Internet traffic
identification based on surge period</t>
  </si>
  <si>
    <t>Dawei Wei 1, Feifei Shi 1, Sahraoui Dhelim</t>
  </si>
  <si>
    <t>https://www.mdpi.com/1999-5903/14/10/289  Future Internet 2022, 14(10), 289</t>
  </si>
  <si>
    <t>1999-5903</t>
  </si>
  <si>
    <t>https://doi.org/10.3390/fi14100289</t>
  </si>
  <si>
    <t>TECHNOLOGICAL DEVELOPMENT IN THE WORLDWIDE LOGISTICS SECTOR. IS THE BUSINESS ENVIRONMENT GOVERNED BY UNCERTAINTY AND INSTABILITY?</t>
  </si>
  <si>
    <r>
      <rPr>
        <b/>
        <sz val="10"/>
        <color theme="1"/>
        <rFont val="Arial Narrow"/>
      </rPr>
      <t>D. Miricescu</t>
    </r>
    <r>
      <rPr>
        <sz val="10"/>
        <color theme="1"/>
        <rFont val="Arial Narrow"/>
      </rPr>
      <t>, 
Lucian Blaga University of Sibiu, Sibiu, Romania,
D.M. Sitea, PhD Student 
Lucian Blaga University of Sibiu, Sibiu, Romania</t>
    </r>
  </si>
  <si>
    <t>Bulletin of Taras Shevchenko National University of Kyiv. Economics, 2021; 4(217): 51-61
УДК 338.47; 656</t>
  </si>
  <si>
    <t>ISSN 1728-2667</t>
  </si>
  <si>
    <t>pag. 51 - 61</t>
  </si>
  <si>
    <t xml:space="preserve">https://doi.org/10.17721/1728-2667.2021/217-4/5 </t>
  </si>
  <si>
    <t>ANALYSIS OF THE DYADIC RELATIONSHIP BETWEEN LEADER AND
SUPPORTERS IN TEAM WORK AT AN AUTOMOTIVE COMPANY</t>
  </si>
  <si>
    <r>
      <rPr>
        <b/>
        <sz val="10"/>
        <color theme="1"/>
        <rFont val="Arial Narrow"/>
      </rPr>
      <t>D. Miricescu</t>
    </r>
    <r>
      <rPr>
        <sz val="10"/>
        <color theme="1"/>
        <rFont val="Arial Narrow"/>
      </rPr>
      <t>, 
Lucian Blaga University of Sibiu, Sibiu, Romania,
A.M. Deaconu, Thyssenkrupp Bilstein SA Sibiu, Romania</t>
    </r>
  </si>
  <si>
    <t>Proceedings of the 8th
Review of Management and Economic Engineering
International Management Conference
“Management Challenges
and Opportunities
in the Post-Pandemic Reality”
22nd – 24th of September 2022, Technical University of Cluj-Napoca, Romania</t>
  </si>
  <si>
    <t>ISSN 2247 – 8639
ISSN-L = 2247 - 8639</t>
  </si>
  <si>
    <t>pag. 521 - 530</t>
  </si>
  <si>
    <t>http://conference.rmee.org/wp-content/uploads/2022/10/RMEE2022_Proceedings.pdf</t>
  </si>
  <si>
    <t>Implementation of a Microsoft Hololens 2 for Supporting Diagnosis and Monitoring Treatment of Scoliosis</t>
  </si>
  <si>
    <t>Kirstin Krueger (Germania), Xhensila Lakti (Germania), Carolin Vosseler (Germania), Radu E Petruse (ULBS), Sasa Cukovic (Elveția), Gerrit Meixner (Germania)</t>
  </si>
  <si>
    <t>Book of Abstracts. IX International Conference on Computational Bioengineering</t>
  </si>
  <si>
    <t>https://doi.org/10.3929/ethz-b-000584408</t>
  </si>
  <si>
    <t>neindexat</t>
  </si>
  <si>
    <t>STUDY REGARDING THE IMPROVEMENT OF SERVICES IN PRESCHOOL INSTITUTIONS IN SIBIU COUNTY</t>
  </si>
  <si>
    <t>L.G. Popescu (ULBS)</t>
  </si>
  <si>
    <t>EDULEARN22 Proceedings/ 14th International Conference on Education and New Learning Technologies Palma, Mallorca, Spain</t>
  </si>
  <si>
    <t>ISBN: 978-84-09-42484-9
ISSN: 2340-1117</t>
  </si>
  <si>
    <t>6027-6033</t>
  </si>
  <si>
    <t>10.21125/edulearn.2022.1418
(https://library.iated.org/view/POPESCU2022STU)</t>
  </si>
  <si>
    <t>Popescu Liliana</t>
  </si>
  <si>
    <t>IMPROVING THE QUALITY MANAGEMENT SYSTEM IN A UNIVERSITY CULTURAL CENTER IN ROMANIA</t>
  </si>
  <si>
    <t>6063-6068</t>
  </si>
  <si>
    <t>10.21125/edulearn.2022.1427
(https://library.iated.org/view/POPESCU2022IMP)</t>
  </si>
  <si>
    <t>TRANSDISCIPLINARITY AND INTERDISCIPLINARITY IN THE TEACHING OF PSYCHOLOGY</t>
  </si>
  <si>
    <r>
      <rPr>
        <sz val="10"/>
        <color theme="1"/>
        <rFont val="Arial Narrow"/>
      </rPr>
      <t xml:space="preserve">M. V. Zerbes (ULBS), </t>
    </r>
    <r>
      <rPr>
        <b/>
        <sz val="10"/>
        <color theme="1"/>
        <rFont val="Arial Narrow"/>
      </rPr>
      <t>L. G. Popescu</t>
    </r>
    <r>
      <rPr>
        <sz val="10"/>
        <color theme="1"/>
        <rFont val="Arial Narrow"/>
      </rPr>
      <t xml:space="preserve"> (ULBS)</t>
    </r>
    <r>
      <rPr>
        <sz val="10"/>
        <color theme="1"/>
        <rFont val="Arial Narrow"/>
      </rPr>
      <t>,F. Brudea (Conexiuni Association), A Olteanu (Conexiuni Association)</t>
    </r>
  </si>
  <si>
    <t xml:space="preserve"> ICERI2022 Proceedings/ 15th annual International Conference of Education, Research and Innovation, Seville, Spain</t>
  </si>
  <si>
    <t>ISBN: 978-84-09-45476-1
ISSN: 2340-1095</t>
  </si>
  <si>
    <t>5723-5729</t>
  </si>
  <si>
    <t>10.21125/iceri.2022.1411
(https://library.iated.org/view/ZERBES2022TRA)</t>
  </si>
  <si>
    <t>DEVELOPMENT OF A PROJECT TO IMPROVE THE NUTRITIONAL MODEL OF CHILDREN IN A PRESCHOOL INSTITUTION IN ROMANIA</t>
  </si>
  <si>
    <r>
      <rPr>
        <sz val="10"/>
        <color theme="1"/>
        <rFont val="Arial Narrow"/>
      </rPr>
      <t xml:space="preserve">M. V. Zerbes (ULBS), </t>
    </r>
    <r>
      <rPr>
        <b/>
        <sz val="10"/>
        <color theme="1"/>
        <rFont val="Arial Narrow"/>
      </rPr>
      <t>L. G. Popescu</t>
    </r>
    <r>
      <rPr>
        <sz val="10"/>
        <color theme="1"/>
        <rFont val="Arial Narrow"/>
      </rPr>
      <t xml:space="preserve"> (ULBS)</t>
    </r>
    <r>
      <rPr>
        <sz val="10"/>
        <color theme="1"/>
        <rFont val="Arial Narrow"/>
      </rPr>
      <t>,V.S. Neamu (Conexiuni Association), A Olteanu (Conexiuni Association)</t>
    </r>
  </si>
  <si>
    <t>5758-5764</t>
  </si>
  <si>
    <t>10.21125/iceri.2022.1424 (https://library.iated.org/view/ZERBES2022DEV)</t>
  </si>
  <si>
    <t>Knowledge and management knowledge in road transport organization</t>
  </si>
  <si>
    <t>Țîțu, M.(ULBS), Neamțu, G.(PhD), Bulgariu, C.(PhD)</t>
  </si>
  <si>
    <t>Journal of Research and Innovation for Sustainable Society (JRISS)</t>
  </si>
  <si>
    <t>2668-0416</t>
  </si>
  <si>
    <t>139-148</t>
  </si>
  <si>
    <t>10.33727/JRISS.2022.2.14:139-148</t>
  </si>
  <si>
    <t>BDI</t>
  </si>
  <si>
    <t>Suistanable and durable development of Romanian road transport, în the context of european requirements of the European Union</t>
  </si>
  <si>
    <t>Neamțu, G. (PhD), Bulgariu, C.(PhD), Țîțu, M.(ULBS)</t>
  </si>
  <si>
    <t>2668-0417</t>
  </si>
  <si>
    <t>211-220</t>
  </si>
  <si>
    <t>10.33727/JRISS.2022.2.21:211-220</t>
  </si>
  <si>
    <t>he Factorial Experiment used in the Analysis of the Quality of Noxes Emitted by Automobiles</t>
  </si>
  <si>
    <t>Bănică, M. (UTCN), Pop, Alina Bianca (UTCN), Țîțu, M.(ULBS)</t>
  </si>
  <si>
    <t>Scientific Bulletin Series C: Fascicle Mechanics, Tribology, Machine Manufacturing Technology</t>
  </si>
  <si>
    <t>1224-3264</t>
  </si>
  <si>
    <t>8-12</t>
  </si>
  <si>
    <t>Contributions Regarding the Study of Noxes in Automobiles Equipped with Spark Ignition Engines</t>
  </si>
  <si>
    <t>Țîțu, M.(ULBS), Pop, Alina Bianca (UTCN),  Bănică, M. (UTCN)</t>
  </si>
  <si>
    <t>37-43</t>
  </si>
  <si>
    <t>The current state of knowledge in the field, considering the digitization process at the level of a central public authority</t>
  </si>
  <si>
    <t>Moisescu, Iuliana(PhD), Țîțu, M.(ULBS)</t>
  </si>
  <si>
    <t>Review of Management and Economic Engineering</t>
  </si>
  <si>
    <t>2360-2155</t>
  </si>
  <si>
    <t>293-300</t>
  </si>
  <si>
    <t>Rationality and irrationality in the organizations of the ministry of internal affairs</t>
  </si>
  <si>
    <t>Tertereanu, P.(PhD), Pană, Mădălina Maria(PhD), Țîțu, M.(ULBS)</t>
  </si>
  <si>
    <t>2360-2156</t>
  </si>
  <si>
    <t>326-332</t>
  </si>
  <si>
    <t>The Romanian Health Clusters Landscape and its Role in the Projects Development and Implementation</t>
  </si>
  <si>
    <t>Rotaru, F.(PhD), Ţîţu, M.(PhD)</t>
  </si>
  <si>
    <t>Applied Medical Informatics</t>
  </si>
  <si>
    <t>2067-7855</t>
  </si>
  <si>
    <t>The digital transformation of the law or the legal adaptation of technology management?</t>
  </si>
  <si>
    <t>Tertereanu, P.(PhD), Țîțu, M.(ULBS)</t>
  </si>
  <si>
    <t>58-64</t>
  </si>
  <si>
    <t>Transdisciplinarity and interdisciplinarity in the teaching of psychology</t>
  </si>
  <si>
    <t>Zerbes M.V. (Lucian Blaga University of Sibiu), Neamu, V.S. (Conexiuni Association, ROMANIA), Popescu, L.G. (Lucian Blaga University of Sibiu), Olteanu A. (Conexiuni Association, ROMANIA)</t>
  </si>
  <si>
    <t>ICERI2022 Proceedings</t>
  </si>
  <si>
    <t>doi: 10.21125/iceri.2022.1411</t>
  </si>
  <si>
    <t>Google Academic,
iated DIGITAL LIBRARY</t>
  </si>
  <si>
    <t>Development of a project to improve the nutritional model of children in a preschool institution in Romania</t>
  </si>
  <si>
    <t>Zerbes M.V. (Lucian Blaga University of Sibiu), Brudea F. (Conexiuni Association, ROMANIA), Popescu, L.G. (Lucian Blaga University of Sibiu), Olteanu A. (Conexiuni Association, ROMANIA)</t>
  </si>
  <si>
    <t>doi: 10.21125/iceri.2022.1424</t>
  </si>
  <si>
    <t>WHO IS MY GOD?</t>
  </si>
  <si>
    <t>Zerbes M.V. (Lucian Blaga University of Sibiu), Neamu, V.S. (Conexiuni Association, ROMANIA), Olteanu A. (Conexiuni Association, ROMANIA)</t>
  </si>
  <si>
    <t>GOD, SIENCES &amp; COSMIC CONFLICT
Proceesings of the 6th International Conference
”Anthropology of communication”</t>
  </si>
  <si>
    <t>ISBN: 978-606-733-290-2</t>
  </si>
  <si>
    <t>298-301</t>
  </si>
  <si>
    <t>https://www.lobbyart-anthropology.ro/Anthropology--and--Communication.php</t>
  </si>
  <si>
    <t>THE PORTRAIT OF THE IDEAL TEACHER</t>
  </si>
  <si>
    <t>Zerbes M.V. (Lucian Blaga University of Sibiu), Neamu, V.S. (Conexiuni Association, ROMANIA)</t>
  </si>
  <si>
    <t>222-226</t>
  </si>
  <si>
    <t>Light intensity measurement using
LabVIEW graphical programming
environment</t>
  </si>
  <si>
    <t>International Journal of Advanced Statistics and IT&amp;C for Economics and Life Sciences, Vol. 12 No. 2 (2022): IJASITELS</t>
  </si>
  <si>
    <t>eISSN2067-354X</t>
  </si>
  <si>
    <t>11-16</t>
  </si>
  <si>
    <t>DOI: 10.2478/ijasitels-2022-0002</t>
  </si>
  <si>
    <t>Sciendo</t>
  </si>
  <si>
    <t>In search for the simplest example that proves Huffman coding overperforms Shannon-Fano coding</t>
  </si>
  <si>
    <t>BREAZU Macarie (ULBS), 
MORARIU I. Daniel (ULBS),
CREȚULESCU Radu G. (ULBS), 
PITIC Antoniu G. (ULBS), 
BĂRGLĂZAN Adrian A. (ULBS)</t>
  </si>
  <si>
    <t>International Journal of Advanced Statistics and IT&amp;C for Economics and Life Sciences</t>
  </si>
  <si>
    <t>ISSN 2559 - 365X</t>
  </si>
  <si>
    <t>3 - 10</t>
  </si>
  <si>
    <t>10.2478/ijasitels-2022-0001</t>
  </si>
  <si>
    <t>SCIENDO</t>
  </si>
  <si>
    <t>Study of Two-Phase Induction Motor with Non-Orthogonal Stator Windings in Sensorless Systems</t>
  </si>
  <si>
    <t>Craciunas Gabriela (ULBS)</t>
  </si>
  <si>
    <t>Acta Universitatis Cibiniensis. Technical Series 70(1); Vol. 74, 2022</t>
  </si>
  <si>
    <t>2668-6449</t>
  </si>
  <si>
    <t>15-20</t>
  </si>
  <si>
    <t>Copernicus</t>
  </si>
  <si>
    <r>
      <rPr>
        <sz val="9"/>
        <color theme="1"/>
        <rFont val="Palatino Linotype"/>
      </rPr>
      <t>Florea, A., &amp; Brad, S. (2022). Digital Transformation-A Prerequisite for Sustainability in all Economic Sectors and for Society at Sibiu Innovation Days 2021. </t>
    </r>
    <r>
      <rPr>
        <i/>
        <sz val="9"/>
        <color rgb="FF222222"/>
        <rFont val="Arial"/>
      </rPr>
      <t>International Journal of Advanced Statistics and IT&amp;C for Economics and Life Sciences</t>
    </r>
    <r>
      <rPr>
        <sz val="9"/>
        <color rgb="FF222222"/>
        <rFont val="Arial"/>
      </rPr>
      <t>, </t>
    </r>
    <r>
      <rPr>
        <i/>
        <sz val="9"/>
        <color rgb="FF222222"/>
        <rFont val="Arial"/>
      </rPr>
      <t>12</t>
    </r>
    <r>
      <rPr>
        <sz val="9"/>
        <color rgb="FF222222"/>
        <rFont val="Arial"/>
      </rPr>
      <t>(1).</t>
    </r>
  </si>
  <si>
    <t xml:space="preserve">Florea, A. (ULBS), Brad, S. (UTCN). </t>
  </si>
  <si>
    <t>2559 - 365X</t>
  </si>
  <si>
    <t>pp. 8-13</t>
  </si>
  <si>
    <t>Sciendo, Baidu Scholar, EBSCO, GoogleScholar</t>
  </si>
  <si>
    <t>Design Thinking Applied to the Internet of Things - A Project on Technological Innovation in Agriculture and Food Processing</t>
  </si>
  <si>
    <t>Berntzen L. (Univ. of South-Eastern of Norway), Florea A. (ULBS)</t>
  </si>
  <si>
    <t>Proceedings of The Sixteenth International Conference on Digital Society, June, 2022, Porto</t>
  </si>
  <si>
    <t>978-1-61208-981-2</t>
  </si>
  <si>
    <t>pp. 44-49</t>
  </si>
  <si>
    <t>ThikMind, GoogleScholar</t>
  </si>
  <si>
    <t>Macarie Breazu(ULBS), Daniel Morariu(ULBS); Radu G. Cretulescu(ULBS); Antoniu Pitic(ULBS), Adrian Bărglăzan(ULBS)</t>
  </si>
  <si>
    <t>L-2067-354X</t>
  </si>
  <si>
    <t>3..10</t>
  </si>
  <si>
    <t xml:space="preserve">Sciendo,
PKP-index ,
 ROAD,  </t>
  </si>
  <si>
    <r>
      <rPr>
        <sz val="11"/>
        <rFont val="Calibri"/>
      </rPr>
      <t xml:space="preserve">Using infrared imaging for surface dosimetric measurements during microwaves exposures
</t>
    </r>
    <r>
      <rPr>
        <u/>
        <sz val="11"/>
        <color rgb="FF1155CC"/>
        <rFont val="Calibri"/>
      </rPr>
      <t>https://iopscience.iop.org/issue/1757-899X/1254/1</t>
    </r>
    <r>
      <rPr>
        <sz val="11"/>
        <rFont val="Calibri"/>
      </rPr>
      <t xml:space="preserve">
</t>
    </r>
  </si>
  <si>
    <t xml:space="preserve"> C Neghină
 A Cotoi 
R Voina
S Miclăuş </t>
  </si>
  <si>
    <t>FING2
AFT
Technical University
 of Cluj-Napoca
AFT</t>
  </si>
  <si>
    <t>IOP Conference Series: Materials Science and Engineering
International Conference on Electromagnetic Fields, Signals and BioMedical Engineering (ICEMS-BIOMED 2022) 18/05/2022 - 20/05/2022 Sibiu, Romania</t>
  </si>
  <si>
    <t>10.1088/1757-899X/1254/1/012011</t>
  </si>
  <si>
    <t>https://publishingsupport.iopscience.iop.org/questions/proceedings-are-abstracted-in/</t>
  </si>
  <si>
    <t>Microwaves propagation through a small fire curtain at 3.55 GHz and 6.26 GHz and the impact on vital signs detection by using a four-element patch antenna array</t>
  </si>
  <si>
    <r>
      <rPr>
        <sz val="11"/>
        <color theme="1"/>
        <rFont val="Calibri"/>
      </rPr>
      <t>S Miclăuş
D</t>
    </r>
    <r>
      <rPr>
        <sz val="11"/>
        <color theme="1"/>
        <rFont val="Calibri"/>
      </rPr>
      <t xml:space="preserve"> Vatamanu
R Mitran
C Neghină</t>
    </r>
    <r>
      <rPr>
        <vertAlign val="superscript"/>
        <sz val="11"/>
        <color theme="1"/>
        <rFont val="Calibri"/>
      </rPr>
      <t>3</t>
    </r>
  </si>
  <si>
    <t>AFT
AFT
Stratec Biomedical, Cluj-Napoca
FING2</t>
  </si>
  <si>
    <t>10.1088/1757-899X/1254/1/012010</t>
  </si>
  <si>
    <t>STREAMLINING BANKING PROCESSES BY IMPLEMENTING RPA</t>
  </si>
  <si>
    <t xml:space="preserve">BAYRAKTAR Dorin  (ULBS)
PITIC Antoniu Gabriel  (ULBS)
MIHU Cantemir (ULBS) </t>
  </si>
  <si>
    <t>Revista Economică, Lucian Blaga University of Sibiu, Faculty of Economic Sciences, vol.74(2), pages 7-16, September.</t>
  </si>
  <si>
    <t>ISSN: 1582-6260 (print), 2344-5424 (online)</t>
  </si>
  <si>
    <t>7-16</t>
  </si>
  <si>
    <t>10.56043/reveco-2022-0011</t>
  </si>
  <si>
    <t>RePeC, Cabell, DOAJ, DOI</t>
  </si>
  <si>
    <t>Simultaneous open conductor and ground fault analysis using MATLAB</t>
  </si>
  <si>
    <t>Şolea C.(UPT), Toader D. (UPT), Vintan M (ULBS), Greconici M. (UPT), Vesa D (UPT), Tatai  I (UPT)</t>
  </si>
  <si>
    <t>CIGRE Regional South-East European Conference RSEEC 2022</t>
  </si>
  <si>
    <t>ISSN 2392 – 716X</t>
  </si>
  <si>
    <t>223-233</t>
  </si>
  <si>
    <t>Modeling the base tests of monophase transformer</t>
  </si>
  <si>
    <t xml:space="preserve">VIOREL Alina (ULBS)
</t>
  </si>
  <si>
    <t>10.2478/ijasitels-2022-0005</t>
  </si>
  <si>
    <t>problema propusa la Faza nationala a Olimpiadei de Informatica – clasa a IX-a</t>
  </si>
  <si>
    <t>„Ski”</t>
  </si>
  <si>
    <t>Stelian Ciurea (ULBS) Iordache Bogdan Ioan (Univ. Bucuresti)</t>
  </si>
  <si>
    <t>https://sepi.ro/page/oni2022 https://www.pbinfo.ro/probleme/4125/schi1</t>
  </si>
  <si>
    <t>Stelian Ciurea</t>
  </si>
  <si>
    <t>Design of a unmanned underwater vehicle</t>
  </si>
  <si>
    <t>Mihai CRENGANIȘ, Alexandru BÂRSAN
Alexandru SOARE, Sever-Gabriel RACZ (ULBS)</t>
  </si>
  <si>
    <t>The Scientific Bulletin Addendum</t>
  </si>
  <si>
    <t>2501-3157</t>
  </si>
  <si>
    <t>96-105</t>
  </si>
  <si>
    <t>EBSCO, EuroPub</t>
  </si>
  <si>
    <t>Analysis of forming forces at SPIF using Taguchi method</t>
  </si>
  <si>
    <t>MO Popp, SG Racz, M Oleksik, C Gîrjob, C BIRIȘ</t>
  </si>
  <si>
    <t>NEWTECH 2022 – The 7th International Conference on Advanced Manufacturing Engineering and Technologies / MATEC Web of Conferences, 368, 01007</t>
  </si>
  <si>
    <t xml:space="preserve">eISSN: 2261-236X </t>
  </si>
  <si>
    <t>https://www.matec-conferences.org/articles/matecconf/abs/2022/15/matecconf_newtech22_01007/matecconf_newtech22_01007.html</t>
  </si>
  <si>
    <t>A NEW REALITY: SMART FABRICS AND WEARABLE TECHNOLOGY</t>
  </si>
  <si>
    <t>Brad Raluca</t>
  </si>
  <si>
    <t>Annals of University of Oradea, Fascicle of Textiles, Leatherwork, vol. 23, no. 2</t>
  </si>
  <si>
    <t>ISSN 1843 – 813X</t>
  </si>
  <si>
    <t>5-22</t>
  </si>
  <si>
    <t>EBSCO</t>
  </si>
  <si>
    <t>Ectopic pregnancy treatment - options in Obstetrics and Gynecology Clinic Sibiu</t>
  </si>
  <si>
    <t>Radu Chicea, ULB Sibiu, Luminita Dobrota, ULB Sibiu, Anca Lucia Chicea, ULB Sibiu, Eugen Chicea, Spitalul Clinic Judetean Sibiu</t>
  </si>
  <si>
    <t>Acta Medica Transilvanica, vol. 27, nr. 4</t>
  </si>
  <si>
    <t>2285-7079</t>
  </si>
  <si>
    <t>52-55</t>
  </si>
  <si>
    <t xml:space="preserve"> IDB
INDEX COPERNICUS,EBSCOhost™, ULRICH'S, OPEN J-GATE, DIRECTORY OF RESEARCH JOURNAL INDEXING (DRJI), DIRECTORY OF OPEN ACCESS JOURNALS (DOAJ), GENAMICS</t>
  </si>
  <si>
    <t>Complete blood count, a multifaceted inflammatory marker. Clinical and biological study in pneumonia in children</t>
  </si>
  <si>
    <t>Luminita Dobrota, ULB Sibiu, Ioana Matacuta, ULB Sibiu, Cristian Berghea-Neamtu, ULB Sibiu, Maria Popa, ULB Sibiu, Anca Chicea, ULB Sibiu</t>
  </si>
  <si>
    <t>p11-14</t>
  </si>
  <si>
    <t>INDEX COPERNICUS,EBSCOhost™, ULRICH'S, OPEN J-GATE, DIRECTORY OF RESEARCH JOURNAL INDEXING (DRJI), DIRECTORY OF OPEN ACCESS JOURNALS (DOAJ), GENAMICS</t>
  </si>
  <si>
    <t>DESIGN OF MECHATRONIC MODULES THAT CAN FORM MULTIPLE CONFIGURATIONS OF MOBILE ROBOTS</t>
  </si>
  <si>
    <t>Adrian Marosan, George Constantin (UPB), Anca Lucia Chicea, Mihai Crenganis, Fineas Morariu, (ULBS)</t>
  </si>
  <si>
    <t>Proceedings in Manufacturing Systems; Bucharest</t>
  </si>
  <si>
    <t>47-53</t>
  </si>
  <si>
    <t>https://www.proquest.com/scholarly-journals/design-mechatronic-modules-that-can-form-multiple/docview/2765803007/se-2.</t>
  </si>
  <si>
    <t>ProQuest Central</t>
  </si>
  <si>
    <t>Determining the Forming Limit Diagram by Experimental Methods</t>
  </si>
  <si>
    <t>Gabriela-Petruța Rusu, Mihai-Octavian Popp, Anca Lucia Chicea, Ilie-Octavian Popp (ULBS)</t>
  </si>
  <si>
    <t>Acta Universitatis Cibiniensis. Technical Series</t>
  </si>
  <si>
    <t>de la 10 pana la 14</t>
  </si>
  <si>
    <t>https://doi.org/10.2478/aucts-2022-0002</t>
  </si>
  <si>
    <t>Ultrasound aspects of the ectopic pregnancy in different locations .</t>
  </si>
  <si>
    <t>Eugen Chicea(Spitalul judetean Sibiu), Anca Lucia Chicea(ULBS)</t>
  </si>
  <si>
    <t>Ginecologia</t>
  </si>
  <si>
    <t xml:space="preserve"> 2457-5666</t>
  </si>
  <si>
    <t>pag. 14</t>
  </si>
  <si>
    <t>http://www.revistaginecologia.ro/index.php/arhiv/441</t>
  </si>
  <si>
    <t>Mihai CRENGANIȘ, Alexandru BÂRSAN</t>
  </si>
  <si>
    <t>Alexandru SOARE, Sever-Gabriel RACZ (ULBS)</t>
  </si>
  <si>
    <t>PREDICTING ACADEMIC STAFF INVOLVEMENT IN ORGANIZATIONAL CHANGE FROM DEMOGRAPHIC FACTORS</t>
  </si>
  <si>
    <t>Ratana Som (Royal University of Phnom Penh), Raksmey Chan (Royal University of Phnom Penh), Oana Dumitrașcu (ULBS)</t>
  </si>
  <si>
    <t>Review of Management and Economic Engineering Vol. 21, Nr. 1(83), march 2022, p. 41 - 49</t>
  </si>
  <si>
    <t>1583-624X (ISSN print), 2360-2155 (ISSN online)</t>
  </si>
  <si>
    <t>41-49</t>
  </si>
  <si>
    <t>Ulrichsweb, Ebsco,
Google Scholar,
Index Copernicus International,
Cabell's Directories,
PBN Polska Bibliografia Naukowa</t>
  </si>
  <si>
    <t>Change management at Cambodian public higher education institutions: appraising change acceptance from culture, trust, process and elements</t>
  </si>
  <si>
    <t>Review of Management and Economic Engineering Vol. 21, No. 1(83), March 2022</t>
  </si>
  <si>
    <t>2-14</t>
  </si>
  <si>
    <t>Numerical Study of a Variable Wall Angle Made of DC01 Steel by Incremental Forming Process</t>
  </si>
  <si>
    <t>Mihai-Octavian Popp, Gabriela-Petruța Rusu, Ilie-Octavian Popp, Claudia-Emilia Gîrjob</t>
  </si>
  <si>
    <r>
      <rPr>
        <sz val="10"/>
        <color theme="1"/>
        <rFont val="Arial Narrow"/>
      </rPr>
      <t xml:space="preserve">Acta Universitatis Cibiniensis. Technical Series, vol. 74, </t>
    </r>
    <r>
      <rPr>
        <b/>
        <sz val="10"/>
        <color theme="1"/>
        <rFont val="Arial Narrow"/>
      </rPr>
      <t>I</t>
    </r>
    <r>
      <rPr>
        <sz val="10"/>
        <color theme="1"/>
        <rFont val="Arial Narrow"/>
      </rPr>
      <t>ssue 1</t>
    </r>
  </si>
  <si>
    <t>eISSN2668-6449</t>
  </si>
  <si>
    <t>21-25</t>
  </si>
  <si>
    <t>https://doi.org/10.2478/aucts-2022-0004</t>
  </si>
  <si>
    <t>Importanţa interdisciplinarităţii
și a transferului tehnologic</t>
  </si>
  <si>
    <r>
      <rPr>
        <sz val="10"/>
        <color theme="1"/>
        <rFont val="Arial Narrow"/>
      </rPr>
      <t xml:space="preserve">I.M. Matran- 
G. Vrapcea - UMFST Tg. Mureș
</t>
    </r>
    <r>
      <rPr>
        <b/>
        <sz val="10"/>
        <color theme="1"/>
        <rFont val="Arial Narrow"/>
      </rPr>
      <t>C. Matran - ULBS</t>
    </r>
    <r>
      <rPr>
        <sz val="10"/>
        <color theme="1"/>
        <rFont val="Arial Narrow"/>
      </rPr>
      <t xml:space="preserve">
M. Tarcea - UMFST Tg. Mureș</t>
    </r>
  </si>
  <si>
    <t>farmacist.ro</t>
  </si>
  <si>
    <t>ISSN 1584-6539</t>
  </si>
  <si>
    <t>42-44</t>
  </si>
  <si>
    <t>10.26416/Farm.207.4.2022</t>
  </si>
  <si>
    <t>EBSCO Academic Search &amp; One Belt 
One Road Reference Source 
DOAJ
Crossref-DOI: 10.26416/Farm</t>
  </si>
  <si>
    <t>2067-9238</t>
  </si>
  <si>
    <t>AUTONOMOUS LAWN MOWERS: A COMPARATIVE APPROACH</t>
  </si>
  <si>
    <t>Fineas Morariu, Sever-Gabriel Racz (ULBS)</t>
  </si>
  <si>
    <t>63-77</t>
  </si>
  <si>
    <t>https://www.proquest.com/openview/77b15db8e760237a6b36b8dc3da2faec/1?pq-origsite=gscholar&amp;cbl=2035956</t>
  </si>
  <si>
    <t>Determining the Forming Limit Diagram by Experimental Methods.</t>
  </si>
  <si>
    <r>
      <rPr>
        <sz val="10"/>
        <color theme="1"/>
        <rFont val="Arial Narrow"/>
      </rPr>
      <t>GP Rusu, MO Popp, AL Chicea,</t>
    </r>
    <r>
      <rPr>
        <b/>
        <sz val="10"/>
        <color theme="1"/>
        <rFont val="Arial Narrow"/>
      </rPr>
      <t xml:space="preserve"> IO Popp (</t>
    </r>
    <r>
      <rPr>
        <sz val="10"/>
        <color theme="1"/>
        <rFont val="Arial Narrow"/>
      </rPr>
      <t>ULBS)</t>
    </r>
  </si>
  <si>
    <t>Acta Universitatis Cibiniensis. Technical Series 74 (1)</t>
  </si>
  <si>
    <t>10…14</t>
  </si>
  <si>
    <t>Numerical Study of a Variable Wall Angle Made of DC01 Steel by Incremental Forming Process.</t>
  </si>
  <si>
    <r>
      <rPr>
        <sz val="10"/>
        <color theme="1"/>
        <rFont val="Arial Narrow"/>
      </rPr>
      <t>MO Popp, GP Rusu,</t>
    </r>
    <r>
      <rPr>
        <b/>
        <sz val="10"/>
        <color theme="1"/>
        <rFont val="Arial Narrow"/>
      </rPr>
      <t xml:space="preserve"> IO Popp</t>
    </r>
    <r>
      <rPr>
        <sz val="10"/>
        <color theme="1"/>
        <rFont val="Arial Narrow"/>
      </rPr>
      <t>, CE Gîrjob (ULBS)</t>
    </r>
  </si>
  <si>
    <t>20-25</t>
  </si>
  <si>
    <t>Autonomous lawn mowers: a comparative approach</t>
  </si>
  <si>
    <t xml:space="preserve">Morariu F , Racz SG </t>
  </si>
  <si>
    <t>Proceedings in Manufacturing Systems</t>
  </si>
  <si>
    <t>ISSN 2343–7472</t>
  </si>
  <si>
    <t>63-67</t>
  </si>
  <si>
    <t>http://icmas.eu/Journal_archive_files/Vol_17-Issue2_2022_PDF/63-67_MORARIU.pdf</t>
  </si>
  <si>
    <t xml:space="preserve"> Index Copernicus</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</si>
  <si>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</si>
  <si>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</si>
  <si>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</si>
  <si>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</si>
  <si>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</si>
  <si>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</si>
  <si>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</si>
  <si>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b/>
        <sz val="10"/>
        <color theme="1"/>
        <rFont val="Arial Narrow"/>
      </rPr>
      <t>coeficient de multiplicare de 2</t>
    </r>
    <r>
      <rPr>
        <sz val="10"/>
        <color theme="1"/>
        <rFont val="Arial Narrow"/>
      </rPr>
      <t>.</t>
    </r>
  </si>
  <si>
    <r>
      <rPr>
        <b/>
        <sz val="10"/>
        <color theme="1"/>
        <rFont val="Arial Narrow"/>
      </rPr>
      <t>* Punctaje de referință:</t>
    </r>
    <r>
      <rPr>
        <sz val="10"/>
        <color theme="1"/>
        <rFont val="Arial Narrow"/>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b/>
        <sz val="10"/>
        <color theme="1"/>
        <rFont val="Arial Narrow"/>
      </rPr>
      <t>edituri internaționale (</t>
    </r>
    <r>
      <rPr>
        <sz val="10"/>
        <color theme="1"/>
        <rFont val="Arial Narrow"/>
      </rPr>
      <t>altele decât cele de la IC02) se aplică un</t>
    </r>
    <r>
      <rPr>
        <b/>
        <sz val="10"/>
        <color theme="1"/>
        <rFont val="Arial Narrow"/>
      </rPr>
      <t xml:space="preserve"> coeficient de multiplicare de 2.</t>
    </r>
  </si>
  <si>
    <t>Numele și prenumele autorilor</t>
  </si>
  <si>
    <t>Editura</t>
  </si>
  <si>
    <t>ISBN-ul cărții</t>
  </si>
  <si>
    <t>Luna publicării</t>
  </si>
  <si>
    <t>Nr. pag.</t>
  </si>
  <si>
    <t xml:space="preserve">System approach and research in sport performance. </t>
  </si>
  <si>
    <t>Bădescu, D., Deneș, C., Bădescu, M.</t>
  </si>
  <si>
    <t>Lap Lambert Academic Publishing, 2022. https://www.lap-publishing.com/catalog/details/store/cn/book/978-620-5-52797-
9/systemic-approach-and-research-in-sport-
performance?search=Secure%20Data%20Collection</t>
  </si>
  <si>
    <t>ISBN-13 978-620-5-52797-9</t>
  </si>
  <si>
    <t>dec.</t>
  </si>
  <si>
    <t>228x2:3x2 = 304</t>
  </si>
  <si>
    <t>Sursa Suprema - Kunjed Gyalpo - Tantra fundamentala din Dzogchen</t>
  </si>
  <si>
    <t>Adriano Clemente, Namkhai Norbu</t>
  </si>
  <si>
    <t xml:space="preserve"> FING3</t>
  </si>
  <si>
    <t>ISBN 978-973-111-940-3</t>
  </si>
  <si>
    <t>2022</t>
  </si>
  <si>
    <t>mai</t>
  </si>
  <si>
    <t>Algoritmii de organizare, soluția ecuației performanței și a productivității</t>
  </si>
  <si>
    <t>Editura Universitară</t>
  </si>
  <si>
    <t>978-606-28-1402-1 </t>
  </si>
  <si>
    <t>Overcoming workplace issues with effective communication and creative thinking</t>
  </si>
  <si>
    <t xml:space="preserve">GRECU Valentin, DENEŞ Călin </t>
  </si>
  <si>
    <t>LAP- LAMBERT Academic Publishing</t>
  </si>
  <si>
    <t>978-620-5-52568-5</t>
  </si>
  <si>
    <t>Grundlagen von Innovation und Nachhaltigkeit</t>
  </si>
  <si>
    <t>978-620-5-36560-1</t>
  </si>
  <si>
    <t>Fundamentos de la innovación y la sostenibilidad</t>
  </si>
  <si>
    <t>978-620-5-36561-8</t>
  </si>
  <si>
    <t>Les bases de l'innovation et du développement durable</t>
  </si>
  <si>
    <t>978-620-5-36562-5</t>
  </si>
  <si>
    <t>Fondamenti di innovazione e sostenibilità</t>
  </si>
  <si>
    <t>978-620-5-36563-2</t>
  </si>
  <si>
    <t>Noções básicas de Inovação e Sustentabilidade</t>
  </si>
  <si>
    <t>978-620-5-36564-9</t>
  </si>
  <si>
    <t>Основы инноваций и устойчивого развития</t>
  </si>
  <si>
    <t>978-620-5-36566-3</t>
  </si>
  <si>
    <t>Systemic approach and research in sport performance. Aspects related to the scientific ways of approaching sports training to increase training efficiency</t>
  </si>
  <si>
    <t>BĂDESCU Delia, DENEŞ Călin, BĂDESCU Mircea</t>
  </si>
  <si>
    <t>SBN 978-620-5-52797-9</t>
  </si>
  <si>
    <t xml:space="preserve">Guide for the implementation of the Harzburg management model – From Authoritarian Leadership Style to the Harzburg Leadership Model, </t>
  </si>
  <si>
    <t>Georgiana Oana Andronic, Dănuț Dumitru Dumitrașcu</t>
  </si>
  <si>
    <t>Lambert Academic Publishing, Germany</t>
  </si>
  <si>
    <t>ISBN 978-620-0-54025-6.</t>
  </si>
  <si>
    <t>ianuarie</t>
  </si>
  <si>
    <t>Sustenabilitatea, factor de succes pentru întreprinderile mici şi mijlocii, exemple de bune practici</t>
  </si>
  <si>
    <t>Catălina Elena Costache, Dănuț Dumitru Dumitrașcu</t>
  </si>
  <si>
    <t>Editura Prouniversitaria, București</t>
  </si>
  <si>
    <t>ISBN 978-620-2-05070-8</t>
  </si>
  <si>
    <t>noiembrie</t>
  </si>
  <si>
    <t xml:space="preserve">Abordări și studii de caz relevante privind Managementul organizațiilor din România în contextul socio-economic complex influențat de pandemia Covid-19, digitalizare și trecerea la economia bazată pe cunoștințe, </t>
  </si>
  <si>
    <t>Nicolescu, Ovidiu, Popa, Ion, Dănuț Dumitrașcu (coordonatori)</t>
  </si>
  <si>
    <t>ISBN 978-606-26-1617-5.</t>
  </si>
  <si>
    <t>octombrie</t>
  </si>
  <si>
    <t xml:space="preserve">Reziliența în afaceri - strategii manageriale pentru a gestiona crizele. Capitol in volumul ”Abordări și studii de caz relevante privind Managementul organizațiilor din România în contextul socio-economic complex influențat de pandemia Covid-19, digitalizare și trecerea la economia bazată pe cunoștințe” </t>
  </si>
  <si>
    <t>Costin-Dan David, Dănuț-Dumitru Dumitrașcu</t>
  </si>
  <si>
    <t>Economics - Second Part</t>
  </si>
  <si>
    <t>Fleischer Wiegand Helmut</t>
  </si>
  <si>
    <t>LAP Lambert Academic Publishing, OmniScriptum Marketing DEU GmbH, Bahnhofstr. 28, D-66111 Saarbrücken https://www.morebooks.shop/store/gb/book/economics-second-part/isbn/978-620-4-73560-3; https://www.booklooker.de/B%C3%BCcher/Wiegand-Helmut-Fleischer+Economics-Second-Part/id/A02z7DM201ZZa</t>
  </si>
  <si>
    <t>978-620-4-73560-3</t>
  </si>
  <si>
    <t xml:space="preserve">GRECU Valentin, Deneș Călin </t>
  </si>
  <si>
    <t>Verlag Unser Wissen</t>
  </si>
  <si>
    <t>Ediciones Nuestro Conocimiento</t>
  </si>
  <si>
    <t>Editions Notre Savoir</t>
  </si>
  <si>
    <t>Edizioni Sapienza</t>
  </si>
  <si>
    <t>Edições Nosso Conhecimento</t>
  </si>
  <si>
    <t>Sciencia Scripts</t>
  </si>
  <si>
    <t>Eroziunea electrică cu rupere de contact cu obiect de transfer bandă metalică (https://mail.agir.ro/carte/eroziunea-electrica-cu-rupere-de-contact-cu-obiect-de-transfer-banda-metalica-124156.html)</t>
  </si>
  <si>
    <t>Bucur, V.(pensionar), Țîțu, M.(ULBS)</t>
  </si>
  <si>
    <t>AGIR</t>
  </si>
  <si>
    <t xml:space="preserve"> 978-973-720-865-1</t>
  </si>
  <si>
    <t>Mai</t>
  </si>
  <si>
    <t>Ghid privind cercetarea-dezvoltarea alimentelor cu destinație nutrițională specială</t>
  </si>
  <si>
    <r>
      <rPr>
        <sz val="10"/>
        <color theme="1"/>
        <rFont val="Arial Narrow"/>
      </rPr>
      <t xml:space="preserve">Matran, I.M.
</t>
    </r>
    <r>
      <rPr>
        <b/>
        <sz val="10"/>
        <color theme="1"/>
        <rFont val="Arial Narrow"/>
      </rPr>
      <t>Matran, Cristian</t>
    </r>
    <r>
      <rPr>
        <sz val="10"/>
        <color theme="1"/>
        <rFont val="Arial Narrow"/>
      </rPr>
      <t xml:space="preserve">
Tarcea, Monica</t>
    </r>
  </si>
  <si>
    <t>University Press, UMFST Tg. Mureș</t>
  </si>
  <si>
    <t>978-606-581-184-4</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</si>
  <si>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</si>
  <si>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</si>
  <si>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</si>
  <si>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</si>
  <si>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</si>
  <si>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</si>
  <si>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</si>
  <si>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b/>
        <sz val="10"/>
        <color theme="1"/>
        <rFont val="Arial Narrow"/>
      </rPr>
      <t>* Punctaje de referință:</t>
    </r>
    <r>
      <rPr>
        <sz val="10"/>
        <color theme="1"/>
        <rFont val="Arial Narrow"/>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</si>
  <si>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</si>
  <si>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</si>
  <si>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</si>
  <si>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</si>
  <si>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Petruse Radu Emanuil, Ioan Bondrea, Horia Branescu</t>
  </si>
  <si>
    <t>Automatic SMD reels sorting system Contract nr. 1250/2022</t>
  </si>
  <si>
    <t>CONTINENTAL AUTOMOTIVE SYSTEMS S.R.L</t>
  </si>
  <si>
    <t>03.2022 - 09.2022</t>
  </si>
  <si>
    <t>Automatic SMD reels sorting system </t>
  </si>
  <si>
    <t>Dumitrascu Danut, Rosca Liviu, Roxana Savescu</t>
  </si>
  <si>
    <t>„Cercetarea necesităţilor de instruire în domeniul managementului proiectului ale unor categorii de resurse umane din Primăria Sibiu și instruirea acestora în conformitate cu nevoile constatate” Contract nr. 70528/20.09.2022, nr.ULBS. 3832/22.09.22,</t>
  </si>
  <si>
    <t>Municipiul Sibiu</t>
  </si>
  <si>
    <t>09/2022-12/2022</t>
  </si>
  <si>
    <t>Mutiu Nicolae Calin</t>
  </si>
  <si>
    <t>CONTRACT DE PRESTĂRI SERVICII CERCETARE Nr. 4853 din 18.11.2022 : Cercetare în domeniul fabricării unei freze profilate complexe cu canale elicoidale, realizată din materiale foarte dure (carburi metalice sinterizate). Prelucrarea se face cu ajutorul discurilor abrazive diamantate, pe MU-CN asistate de computer cu 5-6 axe interpolabile simultan.</t>
  </si>
  <si>
    <t>TOOLS WIZARD GmbH, Elvetia</t>
  </si>
  <si>
    <t>11/2022 - 12/2022</t>
  </si>
  <si>
    <t>560 EUR</t>
  </si>
  <si>
    <t>CONTRACT DE PRESTĂRI SERVICII CERCETARE Nr. 5087 din 12.12.2022 : Cercetare în domeniul fabricării unei scule așchietoare combinate cu canale elicoidale și trei trepte de prelucrare simultană: Burghiu + Adâncitor conic + Adâncitor cilindric, realizată din HSS-E (oțel înalt aliat pentru scule). Prelucrarea se face cu ajutorul discurilor abrazive CBN (din Nitrură Cubică de Bor), pe MU-CN asistate de computer cu 5-6 axe interpolabile simultan.</t>
  </si>
  <si>
    <t>Cercetarea necesităţilor de
instruire în domeniul managementului proiectului ale unor categorii de resurse umane din
Primăria Sibiu și instruirea acestora în conformitate cu nevoile constatate</t>
  </si>
  <si>
    <t>Primaria Sibiu</t>
  </si>
  <si>
    <t>Dumitrascu Dan</t>
  </si>
  <si>
    <t>22.09.2022- 30.12.2022</t>
  </si>
  <si>
    <t>18112 lei</t>
  </si>
  <si>
    <t>“Cercetarea necesităţilor de instruire
în domeniul managementului proiectului ale unor categorii de resurse umane din Primăria Sibiu și instruirea acestora în conformitate cu nevoile constatate”, contract nr. 3832 / 22.09.2022</t>
  </si>
  <si>
    <t>Dan Dumitrascu</t>
  </si>
  <si>
    <t>09/2022 -  12/2022</t>
  </si>
  <si>
    <t>100 
(18112lei - 4080x3lei(chelt salarie)= 5872 lei )</t>
  </si>
  <si>
    <t>Romanian National Quantum Communication Infrastructure – RoNaQCI – DIGITAL-2021-QCI-01</t>
  </si>
  <si>
    <t xml:space="preserve"> EU Secure Quantum Communication Infrastructure (DIGITAL-2021-QCI-01) </t>
  </si>
  <si>
    <t>01/2023 - 06/2025</t>
  </si>
  <si>
    <t>10 milioane euro</t>
  </si>
  <si>
    <t>52130 Eur</t>
  </si>
  <si>
    <t>300/3</t>
  </si>
  <si>
    <t>Romanian National Quantum Communication Infrastructure - RONAQCI</t>
  </si>
  <si>
    <t>European Commission-EU, DIGITAL-2021-QCI-01</t>
  </si>
  <si>
    <t>01.01.2023 - 30.06.2025</t>
  </si>
  <si>
    <t>16942.38 Eur</t>
  </si>
  <si>
    <t>Oana Dumitrascu</t>
  </si>
  <si>
    <t>”Cercetări referitoare la oportunitățile de dezvoltare a SC System V&amp; SRL în domeniul producției și comercializării de scule aschietoare”, contract nr 3378/1.09.2022</t>
  </si>
  <si>
    <t xml:space="preserve">SC SYSTEM V&amp; S.R.L. </t>
  </si>
  <si>
    <t xml:space="preserve">09/22 – 04/23 </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</si>
  <si>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</si>
  <si>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</si>
  <si>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</si>
  <si>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</si>
  <si>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</si>
  <si>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</si>
  <si>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</si>
  <si>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</si>
  <si>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b/>
        <sz val="10"/>
        <color theme="1"/>
        <rFont val="Arial Narrow"/>
      </rPr>
      <t>*Punctaje de referință:</t>
    </r>
    <r>
      <rPr>
        <b/>
        <u/>
        <sz val="10"/>
        <color theme="1"/>
        <rFont val="Arial Narrow"/>
      </rPr>
      <t xml:space="preserve">
</t>
    </r>
    <r>
      <rPr>
        <sz val="10"/>
        <color theme="1"/>
        <rFont val="Arial Narrow"/>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</si>
  <si>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</si>
  <si>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</si>
  <si>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</si>
  <si>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Petr M. Pivkin, Artem A. Ershov, Vladimir A. Grechisnikov, Elena Yu. Malysheva, Ekaterina S.; Nazarenko, Alexey B. Nadykto    Identification of new indicators for recognition of cutting grains and wear of the grinding wheel based on image recogntion;               SPIE Digital Library - Proceedings Volume 12319, Optical Metrology and Inspection for Industrial Applications IX; December 2022</t>
  </si>
  <si>
    <t>https://doi.org/10.1117/12.2646533</t>
  </si>
  <si>
    <t>O. Malkov, I. Puvlyuchenkov;    Technological preparation of thread milling cutter production at the design stage;                    Research Square Company, December 2022</t>
  </si>
  <si>
    <t>https://doi.org/10.21203/rs.3.rs-2158812/v1</t>
  </si>
  <si>
    <t>Borza Sorin-Ioan, Beju Livia Dana, Brindasu Paul Dan</t>
  </si>
  <si>
    <t>Modern methods of education, research and design used in mechanical engineering</t>
  </si>
  <si>
    <r>
      <rPr>
        <sz val="10"/>
        <color theme="1"/>
        <rFont val="Arial Narrow"/>
      </rPr>
      <t>Arahman, R., I Geda Eka Lesmana, Rovida C. Hartantrie, &amp; Muhammad Nurtanto. (2022). INOVASI PENGEMBANGAN MODUL DIGITAL UNTUK PENDIDIKAN TINGGI MELALUI KOMBINASI METODE 4D, MODEL TOMLINSON DAN CHUNKING. </t>
    </r>
    <r>
      <rPr>
        <i/>
        <sz val="9"/>
        <color theme="1"/>
        <rFont val="Open Sans"/>
      </rPr>
      <t>Jurnal JANATA</t>
    </r>
    <r>
      <rPr>
        <sz val="9"/>
        <color theme="1"/>
        <rFont val="Open Sans"/>
      </rPr>
      <t>, </t>
    </r>
    <r>
      <rPr>
        <i/>
        <sz val="9"/>
        <color theme="1"/>
        <rFont val="Open Sans"/>
      </rPr>
      <t>2</t>
    </r>
    <r>
      <rPr>
        <sz val="9"/>
        <color theme="1"/>
        <rFont val="Open Sans"/>
      </rPr>
      <t>(1), 11-25. https://doi.org/10.35814/janata.v2i1.3544</t>
    </r>
  </si>
  <si>
    <r>
      <rPr>
        <sz val="10"/>
        <color theme="1"/>
        <rFont val="Arial Narrow"/>
      </rPr>
      <t> </t>
    </r>
    <r>
      <rPr>
        <u/>
        <sz val="11"/>
        <color theme="10"/>
        <rFont val="Calibri"/>
      </rPr>
      <t>https://doi.org/10.35814/janata.v2i1.3544</t>
    </r>
  </si>
  <si>
    <t>Adaptation of managerial style to the personality of engineers, in order to increase performance in the workplace</t>
  </si>
  <si>
    <t>Yoplac Silupu, Evelyn. Comunicación asertiva y desempeño laboral en colaboradores de una empresa de servicios de Lima, 2021. Lima Norte 2022</t>
  </si>
  <si>
    <t>https://repositorio.ucv.edu.pe/handle/20.500.12692/93678</t>
  </si>
  <si>
    <r>
      <rPr>
        <sz val="10"/>
        <color theme="1"/>
        <rFont val="Arial Narrow"/>
      </rPr>
      <t>Rodney, C. A. B. (2022). </t>
    </r>
    <r>
      <rPr>
        <i/>
        <sz val="10"/>
        <color theme="1"/>
        <rFont val="Arial Narrow"/>
      </rPr>
      <t>A Statistical Comparison of Outcomes of Elementary-School Learning Formats during the COVID-19 Pandemic</t>
    </r>
    <r>
      <rPr>
        <sz val="10"/>
        <color theme="1"/>
        <rFont val="Arial Narrow"/>
      </rPr>
      <t> (Doctoral dissertation, Northcentral University).</t>
    </r>
  </si>
  <si>
    <t>https://www.proquest.com/openview/54df97905144b6c9591b2894b9593b49/1?pq-origsite=gscholar&amp;cbl=18750&amp;diss=y</t>
  </si>
  <si>
    <t>BAŤA, FILIP. "Vliv pandemie Covid-19 na environmentální výchovu ve volnočasové organizaci." (2022)</t>
  </si>
  <si>
    <t>https://is.muni.cz/th/tv5j0/Diplomova_prace_-_Filip_Bata.pdf</t>
  </si>
  <si>
    <r>
      <rPr>
        <sz val="10"/>
        <color theme="1"/>
        <rFont val="Arial Narrow"/>
      </rPr>
      <t>Bag, R. C., Chicu, N., Maiorescu, F. C., &amp; Murafa, C. (2022). The Impact of COVID-19 on Learning Systems-Communication Difference and Deficiencies in Romanian Schools. </t>
    </r>
    <r>
      <rPr>
        <i/>
        <sz val="10"/>
        <color theme="1"/>
        <rFont val="Arial Narrow"/>
      </rPr>
      <t>Res. &amp; Sci. Today</t>
    </r>
    <r>
      <rPr>
        <sz val="10"/>
        <color theme="1"/>
        <rFont val="Arial Narrow"/>
      </rPr>
      <t>, </t>
    </r>
    <r>
      <rPr>
        <i/>
        <sz val="10"/>
        <color theme="1"/>
        <rFont val="Arial Narrow"/>
      </rPr>
      <t>24</t>
    </r>
    <r>
      <rPr>
        <sz val="10"/>
        <color theme="1"/>
        <rFont val="Arial Narrow"/>
      </rPr>
      <t>, 297.</t>
    </r>
  </si>
  <si>
    <t>https://heinonline.org/HOL/LandingPage?handle=hein.journals/rescito24&amp;div=26&amp;id=&amp;page=</t>
  </si>
  <si>
    <r>
      <rPr>
        <sz val="10"/>
        <color theme="1"/>
        <rFont val="Arial Narrow"/>
      </rPr>
      <t>Mikhel’kevich, Valentin N., and Lyudmila P. Ovchinnikova. "Development of Technical Students’ Motivation for Innovative Professional Activity." </t>
    </r>
    <r>
      <rPr>
        <i/>
        <sz val="10"/>
        <color theme="1"/>
        <rFont val="Arial Narrow"/>
      </rPr>
      <t>Izvestiya of the Samara Russian Academy of Sciences scientific center. Social, humanitarian, medicobiological sciences</t>
    </r>
    <r>
      <rPr>
        <sz val="10"/>
        <color theme="1"/>
        <rFont val="Arial Narrow"/>
      </rPr>
      <t> 24.83 (2022): 59-66.</t>
    </r>
  </si>
  <si>
    <t>https://journals.eco-vector.com/2413-9645/article/view/120143</t>
  </si>
  <si>
    <r>
      <rPr>
        <sz val="10"/>
        <color theme="1"/>
        <rFont val="Arial Narrow"/>
      </rPr>
      <t>Marisda, Dewi Hikmah. "High School Students' Interest in Choosing Physics as a Major in College." </t>
    </r>
    <r>
      <rPr>
        <i/>
        <sz val="10"/>
        <color theme="1"/>
        <rFont val="Arial Narrow"/>
      </rPr>
      <t>KnE Social Sciences</t>
    </r>
    <r>
      <rPr>
        <sz val="10"/>
        <color theme="1"/>
        <rFont val="Arial Narrow"/>
      </rPr>
      <t> (2022): 356-366.</t>
    </r>
  </si>
  <si>
    <t>https://knepublishing.com/index.php/KnE-Social/article/view/11540</t>
  </si>
  <si>
    <t>Dewiyani, W., Derini, I., Yokanigya, D., Desti, G. T., Bayan, H. N., &amp; Sofyandi, H. (2022). The Effects of Work from Home and Work Motivation On Employee Performance Of The Supervision Team At Otoritas Jasa Keuangan Regional Office 2 West Java.</t>
  </si>
  <si>
    <t>https://repository.widyatama.ac.id/items/9a5c2849-77a4-4994-b7c3-e1351c389fe8</t>
  </si>
  <si>
    <t>Is organizational skill a will or a way to a successful lifestyle and workstyle?</t>
  </si>
  <si>
    <r>
      <rPr>
        <sz val="10"/>
        <color theme="1"/>
        <rFont val="Arial Narrow"/>
      </rPr>
      <t>Myronchuk, N. "THEORETICAL AND METHODOLOGICAL BASIS OF FORMING THE ORGANIZATIONAL SKILLS OF THE SCIENTIFIC LYCEUMS STUDENTS." </t>
    </r>
    <r>
      <rPr>
        <i/>
        <sz val="10"/>
        <color theme="1"/>
        <rFont val="Arial Narrow"/>
      </rPr>
      <t>Zhytomyr Ivan Franko state university journal. Рedagogical sciences</t>
    </r>
    <r>
      <rPr>
        <sz val="10"/>
        <color theme="1"/>
        <rFont val="Arial Narrow"/>
      </rPr>
      <t> 4 (111) (2022): 94-110.</t>
    </r>
  </si>
  <si>
    <t>http://pedagogy.visnyk.zu.edu.ua/article/view/277007</t>
  </si>
  <si>
    <r>
      <rPr>
        <sz val="10"/>
        <color theme="1"/>
        <rFont val="Arial Narrow"/>
      </rPr>
      <t>Myronchuk, N. (2022). FORMATION OF FUTURE TEACHERS’ORGANIZATIONAL RESEARCH SKILLS: CURRENT STATUS AND CHALLENGES. </t>
    </r>
    <r>
      <rPr>
        <i/>
        <sz val="10"/>
        <color theme="1"/>
        <rFont val="Arial Narrow"/>
      </rPr>
      <t>Zhytomyr Ivan Franko state university journal. Рedagogical sciences</t>
    </r>
    <r>
      <rPr>
        <sz val="10"/>
        <color theme="1"/>
        <rFont val="Arial Narrow"/>
      </rPr>
      <t>, (3 (110)), 171-183.</t>
    </r>
  </si>
  <si>
    <t>http://pedagogy.visnyk.zu.edu.ua/article/view/272914</t>
  </si>
  <si>
    <t>Spiritual Intelligence as a Driver of Financial Intelligence in a Company</t>
  </si>
  <si>
    <t>Nita Sari, Mardi, Achmad Fauzi.
Analysis of the factors determining financial management in students at the economics faculty.
Review of multidisciplinary education, culture and pedagogy (ROMEO) volume 1, issue 3 (2022)</t>
  </si>
  <si>
    <t>http://ojs.transpublika.com/index.php/ROMEO/article/view/332/272</t>
  </si>
  <si>
    <t>Crossref
Google Scholar
Garuda</t>
  </si>
  <si>
    <t>NITA SARI. PENGARUH GAYA HIDUP, KONTROL DIRI, DAN KECERDASAN SPIRITUAL TERHADAP PENGELOLAAN KEUANGAN MAHASISWA FAKULTAS EKONOMI UNIVERSITAS NEGERI JAKARTA. 2022</t>
  </si>
  <si>
    <t>http://repository.unj.ac.id/35414/7/DAFTAR%20PUSTAKA.pdf</t>
  </si>
  <si>
    <t>Google Scholar</t>
  </si>
  <si>
    <t>The imperative of addressing the contemporary crisis of economics with spiritual intelligence</t>
  </si>
  <si>
    <t>Fakhrian, Samaneh; Bolghan-Abadi, Mustafa. Investigating the Mediating Role of Self-Compassion in the Relationship between Spiritual Intelligence and Hope in Female Nurses of Neyshabur-Iran Hospitals in 2019. Preventive Care in Nursing &amp; Midwifery Journal. 2022, Vol. 12 Issue 2, p. 1-9.</t>
  </si>
  <si>
    <t>https://scholar.google.ro/scholar?oi=bibs&amp;hl=ro&amp;cites=17458928721219274183&amp;as_sdt=5&amp;as_ylo=2022&amp;as_yhi=2022
https://mhlib.zums.ac.ir/nmcjournal/browse.php?a_id=772&amp;sid=1&amp;slc_lang=en&amp;ftxt=1
https://crdu-mh.zums.ac.ir/nmcjournal/browse.php?a_id=772&amp;sid=1&amp;slc_lang=en&amp;ftxt=1</t>
  </si>
  <si>
    <t>Google Scholar
EBSCO</t>
  </si>
  <si>
    <t>Spiritual Intelligence (SQ) and Its Critical Role for the General Management of the Firm, in the Context of Contemporary Economic Crisis.</t>
  </si>
  <si>
    <t>Elena Nedelcu . Consumerism versus the Culture of Existential Intelligence. Romanian Review of Social Sciences (2021) 12 (1): 3-15
(Citare nedeclarată anterior)</t>
  </si>
  <si>
    <t xml:space="preserve">http://rrss.univnt.ro/CONSUMERISM-VERSUS-THE-CULTURE-OF-EXISTENTIAL-INTELLIGENCE_a484.html
http://rrss.univnt.ro/download/484_2021.rrss.vol12.issue.21.art.001.pdf
</t>
  </si>
  <si>
    <t>GetInfo - German National Library of Science and Technology
WorldCat
WZB – Social Science Research Center (Berlin)
Index Copernicus
New Jour Catalog (Georgetown Library)
EBSCO</t>
  </si>
  <si>
    <r>
      <rPr>
        <sz val="10"/>
        <color theme="1"/>
        <rFont val="Arial Narrow"/>
      </rPr>
      <t>Rodney, C. A. B. (2022). </t>
    </r>
    <r>
      <rPr>
        <i/>
        <sz val="10"/>
        <color theme="1"/>
        <rFont val="Arial Narrow"/>
      </rPr>
      <t>A Statistical Comparison of Outcomes of Elementary-School Learning Formats during the COVID-19 Pandemic</t>
    </r>
    <r>
      <rPr>
        <sz val="10"/>
        <color theme="1"/>
        <rFont val="Arial Narrow"/>
      </rPr>
      <t> (Doctoral dissertation, Northcentral University).</t>
    </r>
  </si>
  <si>
    <r>
      <rPr>
        <sz val="10"/>
        <color theme="1"/>
        <rFont val="Arial Narrow"/>
      </rPr>
      <t>Bag, R. C., Chicu, N., Maiorescu, F. C., &amp; Murafa, C. (2022). The Impact of COVID-19 on Learning Systems-Communication Difference and Deficiencies in Romanian Schools. </t>
    </r>
    <r>
      <rPr>
        <i/>
        <sz val="10"/>
        <color theme="1"/>
        <rFont val="Arial Narrow"/>
      </rPr>
      <t>Res. &amp; Sci. Today</t>
    </r>
    <r>
      <rPr>
        <sz val="10"/>
        <color theme="1"/>
        <rFont val="Arial Narrow"/>
      </rPr>
      <t>, </t>
    </r>
    <r>
      <rPr>
        <i/>
        <sz val="10"/>
        <color theme="1"/>
        <rFont val="Arial Narrow"/>
      </rPr>
      <t>24</t>
    </r>
    <r>
      <rPr>
        <sz val="10"/>
        <color theme="1"/>
        <rFont val="Arial Narrow"/>
      </rPr>
      <t>, 297.</t>
    </r>
  </si>
  <si>
    <r>
      <rPr>
        <sz val="10"/>
        <color theme="1"/>
        <rFont val="Arial Narrow"/>
      </rPr>
      <t>Mikhel’kevich, Valentin N., and Lyudmila P. Ovchinnikova. "Development of Technical Students’ Motivation for Innovative Professional Activity." </t>
    </r>
    <r>
      <rPr>
        <i/>
        <sz val="10"/>
        <color theme="1"/>
        <rFont val="Arial Narrow"/>
      </rPr>
      <t>Izvestiya of the Samara Russian Academy of Sciences scientific center. Social, humanitarian, medicobiological sciences</t>
    </r>
    <r>
      <rPr>
        <sz val="10"/>
        <color theme="1"/>
        <rFont val="Arial Narrow"/>
      </rPr>
      <t> 24.83 (2022): 59-66.</t>
    </r>
  </si>
  <si>
    <r>
      <rPr>
        <sz val="10"/>
        <color theme="1"/>
        <rFont val="Arial Narrow"/>
      </rPr>
      <t>Marisda, Dewi Hikmah. "High School Students' Interest in Choosing Physics as a Major in College." </t>
    </r>
    <r>
      <rPr>
        <i/>
        <sz val="10"/>
        <color theme="1"/>
        <rFont val="Arial Narrow"/>
      </rPr>
      <t>KnE Social Sciences</t>
    </r>
    <r>
      <rPr>
        <sz val="10"/>
        <color theme="1"/>
        <rFont val="Arial Narrow"/>
      </rPr>
      <t> (2022): 356-366.</t>
    </r>
  </si>
  <si>
    <r>
      <rPr>
        <sz val="10"/>
        <color theme="1"/>
        <rFont val="Arial Narrow"/>
      </rPr>
      <t>Myronchuk, N. "THEORETICAL AND METHODOLOGICAL BASIS OF FORMING THE ORGANIZATIONAL SKILLS OF THE SCIENTIFIC LYCEUMS STUDENTS." </t>
    </r>
    <r>
      <rPr>
        <i/>
        <sz val="10"/>
        <color theme="1"/>
        <rFont val="Arial Narrow"/>
      </rPr>
      <t>Zhytomyr Ivan Franko state university journal. Рedagogical sciences</t>
    </r>
    <r>
      <rPr>
        <sz val="10"/>
        <color theme="1"/>
        <rFont val="Arial Narrow"/>
      </rPr>
      <t> 4 (111) (2022): 94-110.</t>
    </r>
  </si>
  <si>
    <r>
      <rPr>
        <sz val="10"/>
        <color theme="1"/>
        <rFont val="Arial Narrow"/>
      </rPr>
      <t>Myronchuk, N. (2022). FORMATION OF FUTURE TEACHERS’ORGANIZATIONAL RESEARCH SKILLS: CURRENT STATUS AND CHALLENGES. </t>
    </r>
    <r>
      <rPr>
        <i/>
        <sz val="10"/>
        <color theme="1"/>
        <rFont val="Arial Narrow"/>
      </rPr>
      <t>Zhytomyr Ivan Franko state university journal. Рedagogical sciences</t>
    </r>
    <r>
      <rPr>
        <sz val="10"/>
        <color theme="1"/>
        <rFont val="Arial Narrow"/>
      </rPr>
      <t>, (3 (110)), 171-183.</t>
    </r>
  </si>
  <si>
    <t>Methodological provisions for the analysis of integration processes in enterprise management, Oleh Kuzmin, et all., Ekonomichnyy analiz, Vol 32, No 3 (2022)</t>
  </si>
  <si>
    <t>https://www.econa.org.ua/index.php/econa/article/view/2305#google_vignette</t>
  </si>
  <si>
    <t>Scholar Google</t>
  </si>
  <si>
    <t>Cioca, M., Cioca L.I.</t>
  </si>
  <si>
    <t>Multi-criterion analysis of reference architectures and modeling languages used in production systems modeling</t>
  </si>
  <si>
    <t>Apriori Algorithm Based Component Classifications and Adaptation for Software Reuses, Sampath Korra, Indian Journal of Computer Science, DOI: 10.17010/ijcs/2022/v7/i2/169683, Volume 7, Issue 2, March-April 2022</t>
  </si>
  <si>
    <t>https://indianjournalofmarketing.com/index.php/tcsj/article/view/169683</t>
  </si>
  <si>
    <t>Cioca, L.I.; Cioca M.</t>
  </si>
  <si>
    <t>Using distributed programming in production system management.</t>
  </si>
  <si>
    <t>Analysis of mental effort and its subjective and psychophysiological indicators for gas transport dispatchers,  Iordache, Raluca Maria et all, DOI: 10.3233/HSM-220068,  Journal: Human Systems Management, vol. 42, no. 3, pp. 289-297, Received 9 May 2022 | Accepted 3 July 2022</t>
  </si>
  <si>
    <t>https://content.iospress.com/articles/human-systems-management/hsm220068</t>
  </si>
  <si>
    <t xml:space="preserve">IMPACT OF INNOVATIVE MARKETING ON SUSTAINABLE DEVELOPMENT, Happy Agrawal et all., Shodhsamhita, ISSN 2277-7067, </t>
  </si>
  <si>
    <t>https://www.researchgate.net/profile/Dr-Khushboo-Sharma/publication/359336587_Sodhsamits_Research_Paper/links/623556425b303e5c5aa7b4f0/Sodhsamits-Research-Paper.pdf</t>
  </si>
  <si>
    <t>TIRESIAS’ GIFT OF FORESIGHT: DETECTING FIRMS IN DISTRESS, r RĂDULESCU T et all., Journal of Public Administration, Finance and Law, 2022, Issue 25/2022 Special Issue GEBA 2022</t>
  </si>
  <si>
    <t>https://www.jopafl.com/uploads/issue25/issue.pdf#page=61</t>
  </si>
  <si>
    <t>L Duta (Univ. Targoviste), CB Zamfirescu, M Cioca</t>
  </si>
  <si>
    <t>Integrating DSS in public transportation monitoring systems</t>
  </si>
  <si>
    <t>A simulation model for flexible public transport in rural/ peri-urban areas, Carlos Miguel Salazar Carvalho, Dissertação de Mestrado, Orientador na FEUP: Professora Teresa Galvão Dias
Orientadores no INESC TEC: Armando Dauer e Professor Jorge Pinho de Sousa, Mestrado Integrado em Engenharia e Gestão Industrial, 2022-07-01</t>
  </si>
  <si>
    <t>https://scholar.google.ro/scholar?oi=bibs&amp;hl=ro&amp;cites=960262243655466135&amp;as_sdt=5&amp;as_ylo=2022&amp;as_yhi=2022</t>
  </si>
  <si>
    <t>Ilie Gligorea (AFT), Muhammad Usman Yaseen (Pakistan), Marius Cioca, Hortensia Gorski (AFT), Romana Oancea (AFT)</t>
  </si>
  <si>
    <t>An Interpretable Framework for an Efficient Analysis of Students’ Academic Performance</t>
  </si>
  <si>
    <t>The Effects of Combining a Growth Mindset Intervention and Learning Analytics on Mindset and Learning Engagement, Tossaint, Evie D., 2022, Master Thesis</t>
  </si>
  <si>
    <t>https://pure.tue.nl/ws/portalfiles/portal/215278050/Master_Thesis_HTI_Evie_Tossaint.pdf</t>
  </si>
  <si>
    <t>A Florea, II Cofaru, L ROMAN, N Cofaru,</t>
  </si>
  <si>
    <t xml:space="preserve"> Applying the Multi-objective Optimization Techniques in the Design of Suspension Systems. Journal of Digital Information Management     Volume ,4     Number  6       December   20,6</t>
  </si>
  <si>
    <t>KIBURI, Florence Gatwiri. Exergetic analysis and optimization of a hybrid solar-biomass greenhouse dryer for drying banana slices. 2022. PhD Thesis. JKUAT-CoANRE.</t>
  </si>
  <si>
    <t>http://ir.jkuat.ac.ke/handle/123456789/5836</t>
  </si>
  <si>
    <t>Teza doctorat</t>
  </si>
  <si>
    <t>Grecu Valentin (ULBS) si Denes Calin (ULBS)</t>
  </si>
  <si>
    <t>Kara, A., Spillan, J. E., Mintu-Wimsatt, A., &amp; Zhang, L. (2022). The Role of Higher Education in Developing Entrepreneurship: A Two-Country Study. Latin American Business Review, 1-22.</t>
  </si>
  <si>
    <t>https://www.tandfonline.com/doi/abs/10.1080/10978526.2022.2026782</t>
  </si>
  <si>
    <t>Cvetko, S. (2022). Stjecanje poduzetničkih kompetencija kroz formalno visoko obrazovanje (Doctoral dissertation, University North. University centre Varaždin. Department of Business Economics).</t>
  </si>
  <si>
    <t xml:space="preserve">https://repozitorij.unin.hr/islandora/object/unin:4829 </t>
  </si>
  <si>
    <t>Fahmi, M. A., Khalisa, A., Sari, D. N., &amp; Hassan, Z. I. (2022). Analysis of entrepreneurial implementation intention on vocational education student at Universitas Padjadjaran: An Empirical Analysis. International Journal of Research in Business and Social Science (2147-4478), 11(9), 313-327.</t>
  </si>
  <si>
    <t xml:space="preserve">https://www.ssbfnet.com/ojs/index.php/ijrbs/article/view/2229 </t>
  </si>
  <si>
    <t>de Fatima Xavier, D., &amp; Ghina, A. (2022). Evaluation of Faculty of Readiness in Achieving the Entrepreneurial University Study Agenda in the Faculty of Economics and Business, Institute of Business Dili Timor Leste. International Journal of Science and Society, 4(1), 283-303.</t>
  </si>
  <si>
    <t>http://www.ijsoc.goacademica.com/index.php/ijsoc/article/view/436</t>
  </si>
  <si>
    <t>Jardim, J. (2022). Competências Empreendedoras para Ser Bem-Sucedido no Mundo Global e Digital: proposta de um quadro de referência. Video Journal of Social and Human Research, 1-24.</t>
  </si>
  <si>
    <t xml:space="preserve">https://repositorioaberto.uab.pt/handle/10400.2/13113 </t>
  </si>
  <si>
    <r>
      <rPr>
        <sz val="10"/>
        <color theme="1"/>
        <rFont val="Arial Narrow"/>
      </rPr>
      <t>Fadzil, N. A. F. M., Fuza, Z. I. M., Bayah, W. N., &amp; Kamarudin, W. (2022). Entrepreneurial Attributes and Entrepreneurial Intention among Hospitality Students in Malaysian Higher Education Institutions: An Educational Approach. </t>
    </r>
    <r>
      <rPr>
        <i/>
        <sz val="10"/>
        <color rgb="FF222222"/>
        <rFont val="Arial"/>
      </rPr>
      <t>Sciences</t>
    </r>
    <r>
      <rPr>
        <sz val="10"/>
        <color rgb="FF222222"/>
        <rFont val="Arial"/>
      </rPr>
      <t>, </t>
    </r>
    <r>
      <rPr>
        <i/>
        <sz val="10"/>
        <color rgb="FF222222"/>
        <rFont val="Arial"/>
      </rPr>
      <t>12</t>
    </r>
    <r>
      <rPr>
        <sz val="10"/>
        <color rgb="FF222222"/>
        <rFont val="Arial"/>
      </rPr>
      <t>(8), 830-846.</t>
    </r>
  </si>
  <si>
    <t>https://www.researchgate.net/profile/Wan-Nor-Bayah-Kamarudin/publication/362860730_Entrepreneurial_Attributes_and_Entrepreneurial_Intention_among_Hospitality_Students_in_Malaysian_Higher_Education_Institutions_An_Educational_Approach/links/63047c8fceb9764f7218b6ef/Entrepreneurial-Attributes-and-Entrepreneurial-Intention-among-Hospitality-Students-in-Malaysian-Higher-Education-Institutions-An-Educational-Approach.pdf</t>
  </si>
  <si>
    <r>
      <rPr>
        <sz val="10"/>
        <color theme="1"/>
        <rFont val="Arial Narrow"/>
      </rPr>
      <t>Gul, B., Azhar, F., &amp; Anwar, S. (2022). The Influence of Entrepreneurial Education on Post Graduate Students of Healthcare Management. </t>
    </r>
    <r>
      <rPr>
        <i/>
        <sz val="10"/>
        <color rgb="FF222222"/>
        <rFont val="Arial"/>
      </rPr>
      <t>Advances in Research</t>
    </r>
    <r>
      <rPr>
        <sz val="10"/>
        <color rgb="FF222222"/>
        <rFont val="Arial"/>
      </rPr>
      <t>, </t>
    </r>
    <r>
      <rPr>
        <i/>
        <sz val="10"/>
        <color rgb="FF222222"/>
        <rFont val="Arial"/>
      </rPr>
      <t>23</t>
    </r>
    <r>
      <rPr>
        <sz val="10"/>
        <color rgb="FF222222"/>
        <rFont val="Arial"/>
      </rPr>
      <t>(6), 1-4.</t>
    </r>
  </si>
  <si>
    <t>http://euroarchives.uk/id/eprint/4/</t>
  </si>
  <si>
    <r>
      <rPr>
        <sz val="10"/>
        <color theme="1"/>
        <rFont val="Arial Narrow"/>
      </rPr>
      <t>Kalogiannidis, S., Loizou, E., Melfou, K., &amp; Papaevangelou, O. (2022, September). Assessing Relationship Between Entrepreneurship Education and Business Growth. In </t>
    </r>
    <r>
      <rPr>
        <i/>
        <sz val="10"/>
        <color rgb="FF222222"/>
        <rFont val="Arial"/>
      </rPr>
      <t>Business Development and Economic Governance in Southeastern Europe: 13th International Conference on the Economies of the Balkan and Eastern European Countries (EBEEC), Pafos, Cyprus, 2021</t>
    </r>
    <r>
      <rPr>
        <sz val="10"/>
        <color rgb="FF222222"/>
        <rFont val="Arial"/>
      </rPr>
      <t> (pp. 183-194). Cham: Springer International Publishing.</t>
    </r>
  </si>
  <si>
    <t>https://link.springer.com/chapter/10.1007/978-3-031-05351-1_10</t>
  </si>
  <si>
    <t>Sunday-Nwosu, C. E. (2022). Impact of Entrepreneurship Education on Students’ Entrepreneurial Intentions: A Study of Selected Universities in Lagos, South-West Nigeria.</t>
  </si>
  <si>
    <t>https://journalspress.com/LJRMB_Volume22/Impact-of-Entrepreneurship-Education-on-Students-Entrepreneurial-Intentions-A-Study-of-Selected-Universities-in-Lagos-South-West-Nigeria.pdf</t>
  </si>
  <si>
    <r>
      <rPr>
        <sz val="10"/>
        <color theme="1"/>
        <rFont val="Arial Narrow"/>
      </rPr>
      <t>Darwish, S. (2022). Socio-Economic Development Via Managing Entrepreneurship Education: Critical Review. </t>
    </r>
    <r>
      <rPr>
        <i/>
        <sz val="10"/>
        <color rgb="FF222222"/>
        <rFont val="Arial"/>
      </rPr>
      <t>Journal of Positive School Psychology</t>
    </r>
    <r>
      <rPr>
        <sz val="10"/>
        <color rgb="FF222222"/>
        <rFont val="Arial"/>
      </rPr>
      <t>, </t>
    </r>
    <r>
      <rPr>
        <i/>
        <sz val="10"/>
        <color rgb="FF222222"/>
        <rFont val="Arial"/>
      </rPr>
      <t>6</t>
    </r>
    <r>
      <rPr>
        <sz val="10"/>
        <color rgb="FF222222"/>
        <rFont val="Arial"/>
      </rPr>
      <t>(2), 6403-6413.</t>
    </r>
  </si>
  <si>
    <t>https://journalppw.com/index.php/jpsp/article/view/10661</t>
  </si>
  <si>
    <r>
      <rPr>
        <sz val="10"/>
        <color theme="1"/>
        <rFont val="Arial Narrow"/>
      </rPr>
      <t>Nani, G. V. (2022). Non-business students’ Perceptions and Experiences of Learning Entrepreneurship: Implications for Curriculum Developers and Lecturers in Zimbabwe. </t>
    </r>
    <r>
      <rPr>
        <i/>
        <sz val="10"/>
        <color rgb="FF222222"/>
        <rFont val="Arial"/>
      </rPr>
      <t>Randwick International of Education and Linguistics Science Journal</t>
    </r>
    <r>
      <rPr>
        <sz val="10"/>
        <color rgb="FF222222"/>
        <rFont val="Arial"/>
      </rPr>
      <t>, </t>
    </r>
    <r>
      <rPr>
        <i/>
        <sz val="10"/>
        <color rgb="FF222222"/>
        <rFont val="Arial"/>
      </rPr>
      <t>3</t>
    </r>
    <r>
      <rPr>
        <sz val="10"/>
        <color rgb="FF222222"/>
        <rFont val="Arial"/>
      </rPr>
      <t>(4), 643-654.</t>
    </r>
  </si>
  <si>
    <t>http://www.randwickresearch.com/index.php/rielsj/article/view/590</t>
  </si>
  <si>
    <r>
      <rPr>
        <sz val="10"/>
        <color theme="1"/>
        <rFont val="Arial Narrow"/>
      </rPr>
      <t>Puspito, D. R. A., &amp; Nurlaila, E. (2022). Analisis Kemampuan Wirausaha Mahasiswa PGSD. </t>
    </r>
    <r>
      <rPr>
        <i/>
        <sz val="10"/>
        <color rgb="FF222222"/>
        <rFont val="Arial"/>
      </rPr>
      <t>Cendekiawan</t>
    </r>
    <r>
      <rPr>
        <sz val="10"/>
        <color rgb="FF222222"/>
        <rFont val="Arial"/>
      </rPr>
      <t>, </t>
    </r>
    <r>
      <rPr>
        <i/>
        <sz val="10"/>
        <color rgb="FF222222"/>
        <rFont val="Arial"/>
      </rPr>
      <t>4</t>
    </r>
    <r>
      <rPr>
        <sz val="10"/>
        <color rgb="FF222222"/>
        <rFont val="Arial"/>
      </rPr>
      <t>(1), 50-59.</t>
    </r>
  </si>
  <si>
    <t>https://cendekiawan.unmuhbabel.ac.id/index.php/CENDEKIAWAN/article/view/256</t>
  </si>
  <si>
    <r>
      <rPr>
        <sz val="10"/>
        <color theme="1"/>
        <rFont val="Arial Narrow"/>
      </rPr>
      <t>Omaliko, J. C., &amp; Ejimonye, J. C. (2022). The Nexus between Entrepreneurship Education and Socio-economic Development of Enugu State Amidst Covid-19 Pandemic. </t>
    </r>
    <r>
      <rPr>
        <i/>
        <sz val="10"/>
        <color rgb="FF222222"/>
        <rFont val="Arial"/>
      </rPr>
      <t>International Journal of Early Childhood Special Education</t>
    </r>
    <r>
      <rPr>
        <sz val="10"/>
        <color rgb="FF222222"/>
        <rFont val="Arial"/>
      </rPr>
      <t>, </t>
    </r>
    <r>
      <rPr>
        <i/>
        <sz val="10"/>
        <color rgb="FF222222"/>
        <rFont val="Arial"/>
      </rPr>
      <t>14</t>
    </r>
    <r>
      <rPr>
        <sz val="10"/>
        <color rgb="FF222222"/>
        <rFont val="Arial"/>
      </rPr>
      <t>(6).</t>
    </r>
  </si>
  <si>
    <t>https://search.ebscohost.com/login.aspx?direct=true&amp;profile=ehost&amp;scope=site&amp;authtype=crawler&amp;jrnl=13085581&amp;AN=162690171&amp;h=bfVM82LdROiCMSbjDkfZyys0%2BXLigKxAKBC0BdhF9G4EsH%2F%2BI6jtbPFFFSwWToEIsEVaeEd1JPqR2bspyl1Irw%3D%3D&amp;crl=c</t>
  </si>
  <si>
    <t>Charalabidis, Y., Lachana, Z., &amp; Davalas, A. (2022). PROMETHEUS: A NEW WAY TO SUPPORT ENTREPRENEURSHIP IN HIGHER EDUCATION INSTITUTES IN EUROPE.</t>
  </si>
  <si>
    <t>https://aisel.aisnet.org/mcis2022/10/</t>
  </si>
  <si>
    <t>Iwu, C. G. THE ACADEMIC JOURNEY OF ENTREPRENEURSHIP STUDENTS IN HIGHER EDUCATION INSTITUTIONS. THE SYSTEMS THEORY APPROACH.</t>
  </si>
  <si>
    <t>https://www.academia.edu/download/85240847/94.pdf</t>
  </si>
  <si>
    <t>Ritah, N., Nicholas, N., &amp; Phelix, B. M. (2022). Entrepreneurship skills application among ICT Graduates of Muni University, Uganda.</t>
  </si>
  <si>
    <t>https://idr.kab.ac.ug/handle/20.500.12493/622</t>
  </si>
  <si>
    <r>
      <rPr>
        <sz val="10"/>
        <color theme="1"/>
        <rFont val="Arial Narrow"/>
      </rPr>
      <t>Ifeoma, U. D. (2022). AVAILABILITY AND ADEQUACY OF RESOURCES FOR ENTREPRENEURSHIP STUDIES IN UNIVERSITIES IN SOUTH-EAST, NIGERIA. </t>
    </r>
    <r>
      <rPr>
        <i/>
        <sz val="10"/>
        <color rgb="FF222222"/>
        <rFont val="Arial"/>
      </rPr>
      <t>African Journal of Educational Management, Teaching and Entrepreneurship Studies</t>
    </r>
    <r>
      <rPr>
        <sz val="10"/>
        <color rgb="FF222222"/>
        <rFont val="Arial"/>
      </rPr>
      <t>, </t>
    </r>
    <r>
      <rPr>
        <i/>
        <sz val="10"/>
        <color rgb="FF222222"/>
        <rFont val="Arial"/>
      </rPr>
      <t>7</t>
    </r>
    <r>
      <rPr>
        <sz val="10"/>
        <color rgb="FF222222"/>
        <rFont val="Arial"/>
      </rPr>
      <t>(1), 211-224.</t>
    </r>
  </si>
  <si>
    <t>https://ajemates.org/index.php/ajemates/article/view/165</t>
  </si>
  <si>
    <t>El-Kafafi, S. Entrepreneurial Leadership Effectuation in Higher Education after the COVID-19 Pandemic.</t>
  </si>
  <si>
    <t>https://czasopisma.marszalek.com.pl/images/pliki/ajepss/1/ajepss107.pdf</t>
  </si>
  <si>
    <t>Amoah, R., Amponsah, D. A., &amp; Mdletshe, B. Assessing the Quality of Local Government Training on Small Medium Enterprises (SMEs) in the Implementation of Local Economic Development initiatives (LED) in Ghana.</t>
  </si>
  <si>
    <t>https://ijcsrr.org/wp-content/uploads/2022/09/63-30-2022.pdf</t>
  </si>
  <si>
    <t>Valentin Grecu (ULBS), Calin Deneș (ULBS), Nagore Ipiña</t>
  </si>
  <si>
    <t>Creative Teaching Methods for Educating Engineers</t>
  </si>
  <si>
    <r>
      <rPr>
        <sz val="10"/>
        <color theme="1"/>
        <rFont val="Arial Narrow"/>
      </rPr>
      <t>Velasco, N., Karen, C., Morales, M., &amp; Mendoza, D. (2022, September). Interactive mockup to calculate arc length using integrals. In </t>
    </r>
    <r>
      <rPr>
        <i/>
        <sz val="10"/>
        <color rgb="FF222222"/>
        <rFont val="Arial"/>
      </rPr>
      <t>Journal of Physics: Conference Series</t>
    </r>
    <r>
      <rPr>
        <sz val="10"/>
        <color rgb="FF222222"/>
        <rFont val="Arial"/>
      </rPr>
      <t> (Vol. 2346, No. 1, p. 012005). IOP Publishing.</t>
    </r>
  </si>
  <si>
    <r>
      <rPr>
        <sz val="10"/>
        <color theme="1"/>
        <rFont val="Arial Narrow"/>
      </rPr>
      <t>Boving, V. G. (2022). </t>
    </r>
    <r>
      <rPr>
        <i/>
        <sz val="10"/>
        <color rgb="FF222222"/>
        <rFont val="Arial"/>
      </rPr>
      <t>The Difference in University-Level Engineering Students' Use of the Full Range Model of Leadership Behaviors before and after Creativity Training</t>
    </r>
    <r>
      <rPr>
        <sz val="10"/>
        <color rgb="FF222222"/>
        <rFont val="Arial"/>
      </rPr>
      <t> (Doctoral dissertation, Our Lady of the Lake University).</t>
    </r>
  </si>
  <si>
    <t>https://search.proquest.com/openview/983e486b1d0dfc8d25f83787594fb5d0/1?pq-origsite=gscholar&amp;cbl=18750&amp;diss=y</t>
  </si>
  <si>
    <t>Valentin Grecu (ULBS), Calin Deneș (ULBS)</t>
  </si>
  <si>
    <t>Students’ Perceptions on Sustainability in Higher Education – Case Study at “Lucian Blaga” University of Sibiu</t>
  </si>
  <si>
    <r>
      <rPr>
        <sz val="10"/>
        <color theme="1"/>
        <rFont val="Arial Narrow"/>
      </rPr>
      <t>Andreia, M., Mihaela, R. C., &amp; Costin, B. V. (2022). STUDENTS’VIEWS ON ROMANIAN PROFESSION’S LEVEL OF ETHICS. </t>
    </r>
    <r>
      <rPr>
        <i/>
        <sz val="10"/>
        <color rgb="FF222222"/>
        <rFont val="Arial"/>
      </rPr>
      <t>Annals-Economy Series</t>
    </r>
    <r>
      <rPr>
        <sz val="10"/>
        <color rgb="FF222222"/>
        <rFont val="Arial"/>
      </rPr>
      <t>, </t>
    </r>
    <r>
      <rPr>
        <i/>
        <sz val="10"/>
        <color rgb="FF222222"/>
        <rFont val="Arial"/>
      </rPr>
      <t>5</t>
    </r>
    <r>
      <rPr>
        <sz val="10"/>
        <color rgb="FF222222"/>
        <rFont val="Arial"/>
      </rPr>
      <t>, 102-108.</t>
    </r>
  </si>
  <si>
    <t>https://www.utgjiu.ro/revista/ec/pdf/2022-05/13_Manea.pdf</t>
  </si>
  <si>
    <t>Quality management of the human resource-A factor for the organizational performance</t>
  </si>
  <si>
    <t>Loayza Rodriguez, E. J. (2022). Modelo de gestión de calidad de servicio y desempeño organizacional en una unidad de dosaje etílico de Lima, 2022.</t>
  </si>
  <si>
    <t>https://repositorio.ucv.edu.pe/handle/20.500.12692/99149</t>
  </si>
  <si>
    <t>Calin Deneș (ULBS)</t>
  </si>
  <si>
    <t>THE PROCESSING OF HYPERBOLOID SURFACES USING WIRE ELECTRICAL DISCHARGE MACHINING–PRACTICAL ASPECTS</t>
  </si>
  <si>
    <t>Slătineanu, L., Hriţuc, A., Dodun, O., Nagîţ, G., &amp; Beşliu-Băncescu, I. (2022, March). Obtaining one-sheeted revolution hyperboloid surface by cutting. In IOP Conference Series: Materials Science and Engineering (Vol. 1235, No. 1, p. 012014). IOP Publishing.</t>
  </si>
  <si>
    <t xml:space="preserve">https://iopscience.iop.org/article/10.1088/1757-899X/1235/1/012014/meta </t>
  </si>
  <si>
    <t>The Processing of Hyperboloid Surfaces using Wire Electrical Discharge Machining–Theoretical Aspects</t>
  </si>
  <si>
    <t>Dobrota Dan (ULBS)</t>
  </si>
  <si>
    <t>Corrosion of Welded Metal Structures of Mining Equipment</t>
  </si>
  <si>
    <t xml:space="preserve">Dinu SIMIONESCU, CONTRIBUTIONS REGARDING THE NARROW GAP MAG WELDING PROCESS OF STEEL INTENDED TO GAS PIPELINES EXECUTIONS, Phd Thesis, UPT, februarie 2022
</t>
  </si>
  <si>
    <t>http://www.upt.ro/img/files/2021-2022/doctorat/teze/rezumat_teza/Simionescu_Rezumat_teza_en.pdf</t>
  </si>
  <si>
    <t>google academic - Phd Thesis</t>
  </si>
  <si>
    <t>Dumitrascu O. (ULBS), Dumitrascu M. (ULBS), Dobrota D. (ULBS)</t>
  </si>
  <si>
    <t xml:space="preserve"> Performance evaluation for a sustainable supply chain management system in the automotive industry using artificial intelligence</t>
  </si>
  <si>
    <t>Andi Muhammad Yusuf, Dwi Soediantono, Supply Chain Management and Recommendations for Implementation in the Defense Industry: A Literature Review, INTERNATIONAL JOURNAL OF SOCIAL AND  MANAGEMENT STUDIES, VOL. 3 NO. 3 (2022): JUNE 2022 /</t>
  </si>
  <si>
    <t>https://www.ijosmas.org/index.php/ijosmas/article/view/142</t>
  </si>
  <si>
    <t xml:space="preserve"> Google Schoolar, Publon (Web of Science Group), International Copernicus,  Garuda Ristekdikti
 </t>
  </si>
  <si>
    <t>Bendic V. (UPB), Dobrota D. (ULBS)</t>
  </si>
  <si>
    <t>Theoretical and Experimental Contributions on the Use of Smart Composite Materials in the Construction of Civil Buildings with Low Energy Consumption</t>
  </si>
  <si>
    <t>Eletskii, A.V. Phase Change Materials with Enhanced Thermal Conductivity and Heat Propagation in Them. Physchem 2022, 2, 18-42. https://doi.org/10.3390/physchem2010003</t>
  </si>
  <si>
    <t>https://www.mdpi.com/2673-7167/2/1/3</t>
  </si>
  <si>
    <t>CNKI, DOAJ, EBSCO, PATENTSCOPE, ProQuest</t>
  </si>
  <si>
    <t xml:space="preserve"> Rheological Issues of Phase Change Materials Obtained by the Complex Coacervation of Butyl Stearate in Poly Methyl Methacrylate Membranes</t>
  </si>
  <si>
    <t>Bendic, V. (UPB); Dobrotă, D. (ULBS); Simion, I.(UPB); Bălan, E.(UPB); Pascu, N.-E.(UPB); Tilina, D.I. (UPB)</t>
  </si>
  <si>
    <t xml:space="preserve"> Methods for Determining the Thermal Transfer in Phase-Changing Materials (PCMs)</t>
  </si>
  <si>
    <t>VODA Alina Daniela (ULBS), Gabriela DOBROTĂ (U C. Brancusi Târgu Jiu), Diana Mihaela ȚÎRCĂ (U C. Brancusi Târgu Jiu), Dănuț Dumitru DUMITRAȘCU (ULBS), Dan DOBROTĂ (ULBS).</t>
  </si>
  <si>
    <t>CORPORATE BANKRUPTCY AND INSOLVENCY PREDICTION MODEL</t>
  </si>
  <si>
    <t>Pavlína Urválková, Bankruptcy prediction models after 2015, 2022</t>
  </si>
  <si>
    <t>https://dk.upce.cz/bitstream/handle/10195/79682/UrvalkovaP_BankrotniPredikcni_MK_2022.pdf?sequence=1</t>
  </si>
  <si>
    <t>Dobrotă, D. (ULBS), Dobrotă, G. ( U C. Brancusi Targu Jiu), Dobrescu, T. (UPB)</t>
  </si>
  <si>
    <t>LARISSA DIAS REBOUÇAS, REUTILIZAÇÃO DE FIOS DE POLIAMIDA NA OBTENÇÃO DE MEMBRANAS
PARA O TRATAMENTO DE EFLUENTES CONTENDO CORANTES TÊXTEIS, DISSERTAÇÃO DE MESTRADO, UNIVERSIDADE ESTADUAL DA PARAÍBA – UEPB
PRÓ - REITORIA DE PÓS - GRADUAÇÃO E PESQUISA
CENTRO DE CIÊNCIAS E TECNOLOGIA
MESTRADO EM CIÊNCIA E TECNOLOGIA AMBIENTAL</t>
  </si>
  <si>
    <t>http://tede.bc.uepb.edu.br/jspui/bitstream/tede/4411/6/DS%20%E2%80%93%20Larissa%20Dias%20Rebou%C3%A7as.pdf</t>
  </si>
  <si>
    <t xml:space="preserve"> Optimization of the Technological Parameters for Obtaining Zn-Ti Based Composites to Increase the Performance of H2S Removal from Syngas</t>
  </si>
  <si>
    <t xml:space="preserve">
Nikolaos Margaritis, Christos Evaggelou,Panagiotis Grammelis, Haris Yiannoulakis, Polykarpos Papageorgiou, Stefan Puschnigg, Use of Biomass as Alternative Fuel in Magnesia Sector, Fuels 2022, 3(4), 642-666; https://doi.org/10.3390/fuels3040039 (registering DOI)</t>
  </si>
  <si>
    <t>https://www.mdpi.com/2673-3994/3/4/39/htm</t>
  </si>
  <si>
    <t xml:space="preserve">AGRIS, CNKI, DOAJ, EBSCO, OpenAIRE, OSTI (U.S. Department of Energy), PATENTSCOPE, ProQuest
</t>
  </si>
  <si>
    <t>Dobrotă Dan (ULBS), Dobrotă Gabriela (U C. Brancusi Targu Jiu)</t>
  </si>
  <si>
    <t xml:space="preserve">Ramírez Ruiz, Willie Orlando, Efecto del caucho reciclado en las propiedades mecánicas de la mezcla asfáltica mediante proceso por vía seca, TESIS PARA OBTENER EL TÍTULO PROFESIONAL DE:
Ingeniero Civil, 2022
</t>
  </si>
  <si>
    <t>https://repositorio.ucv.edu.pe/bitstream/handle/20.500.12692/101990/Ram%C3%ADrez_RWO-SD.pdf?sequence=1</t>
  </si>
  <si>
    <t xml:space="preserve">Ocolisanu, A. (Curtea de Conturi a României), Dobrota, G. ( U C Brancusi Targu Jiu), Dobrota, D. (ULBS)
</t>
  </si>
  <si>
    <t xml:space="preserve"> The effects of public investment on sustainable economic growth: empirical evidence from emerging countries in Central and Eastern Europe. </t>
  </si>
  <si>
    <t xml:space="preserve">Anthony Enisan Akinlo, Impact of Public and Private Investment on Economic Growth in Nigeria: A Markov Regime-Switching Approach, Review of Innovation and Competitiveness : A Journal of Economic and Social Research, Vol. 8 No. 1, 2022, </t>
  </si>
  <si>
    <t>https://hrcak.srce.hr/en/clanak/414242</t>
  </si>
  <si>
    <t>Hrčak: Portal of Scientific Journals of Croatia
Google Scholar Citation</t>
  </si>
  <si>
    <t>Oleksik, M. (ULBS); Dobrotă, D. (ULBS); Tomescu, M. (ULBS); Petrescu, V. (ULBS)</t>
  </si>
  <si>
    <r>
      <rPr>
        <sz val="11"/>
        <color theme="1"/>
        <rFont val="Arial"/>
      </rPr>
      <t>Improving the Performance of Steel Machining Processes through Cutting by Vibration Control. </t>
    </r>
  </si>
  <si>
    <t>Mădălin TOMESCU., Cosmin IONESCU, ANALYSIS OF THE INFLUENCE OF THE SEATTING ANGLE „α„ ON THE VIBRATIONS THAT APPEAR DURING TURNING PROCESSING, Annals of the Constantin Branscuși University of Targu Jiu, Engineering Series, No 4/2022.</t>
  </si>
  <si>
    <t>https://www.utgjiu.ro/rev_ing/?page=curent&amp;nr=2022-4</t>
  </si>
  <si>
    <t xml:space="preserve"> EBSCO, DOAJ: JournalSeek: JournalSeek, Open Academic Journals Index: OAJI
Academic Resource Index: Academic Resource Index ResearchBib, CiteFactor: Citefactor
Global Impact Factor: GIF, Scientific Indexing Services: Scientific Indexing Services</t>
  </si>
  <si>
    <t>Dobrotă, D.(ULBS); Racz, S.-G.(ULBS); Oleksik, M.(ULBS); Rotaru, I.(ULBS); Tomescu, M.(ULBS); Simion, C.M. (ULBS)</t>
  </si>
  <si>
    <t xml:space="preserve">Smart Cutting Tools Used in the Processing of Aluminum Alloys. </t>
  </si>
  <si>
    <t>Donrota Dan (ULBS)</t>
  </si>
  <si>
    <t>Modern materials manufacturing technologies</t>
  </si>
  <si>
    <t>https://www.utgjiu.ro/rev_ing/pdf/2022-4/19_%20M%C4%83d%C4%83lin%20TOMESCU,%20Cosmin%20IONESCU_ANALYSIS%20OF%20THE%20INFLUENCE%20OF%20THE%20SEATTING%20ANGLE%20%E2%80%9E%CE%B1%E2%80%9E%20ON%20THE%20VIBRATIONS%20THAT%20APPEAR%20DURING%20TURNING%20PROCESSING.pdf</t>
  </si>
  <si>
    <t>Emranul Hoque &amp; Tarik Hossain &amp; Trina Saha, 2022. "Predicting the Bankruptcy of Cement Companies in Bangladesh: A Study on Dhaka Stock Exchange," International Journal of Business, Economics and Management, Conscientia Beam, vol. 9(5), pages 162-174.</t>
  </si>
  <si>
    <t>https://archive.conscientiabeam.com/index.php/62/article/view/3207</t>
  </si>
  <si>
    <t xml:space="preserve">Ulrichs Web Global Serials Directory (USA), Scilit (Switzerland), DOI, Crossref
Academic Informa, Google Scholar, Microsoft Academic Search, RePEc (Germany), IDEAS
Periodical Liberary (University Regensburg), Worldcat, EconStor (German National Library of Economics)
</t>
  </si>
  <si>
    <t>Rojas Gonzales Jardy Luis, Gestión de proyecto de inversión pública y calidad de vida en la ciudad de Lamas, 2022, TESIS PARA OBTENER EL GRADO ACADÉMICO DE: Maestro en Gestión Pública.</t>
  </si>
  <si>
    <t>https://repositorio.ucv.edu.pe/bitstream/handle/20.500.12692/105414/Rojas_GJL-SD.pdf?sequence=1</t>
  </si>
  <si>
    <t>Dăncilă, A.M. (UPB); Căprărescu, S.(UPB); Bobiricǎ, C.(UPB); Purcar, V.(UPB); Gârleanu, G.(UPB); Vasile, E.(UPB); Modrogan, C.(UPB); Borda, C.(UPB); Dobrotǎ, D. (ULBS)</t>
  </si>
  <si>
    <t xml:space="preserve">Optimization of the Technological Parameters for Obtaining Zn-Ti Based Composites to Increase the Performance of H2S Removal from Syngas. </t>
  </si>
  <si>
    <t>Margaritis, N.; Evaggelou, C.; Grammelis, P.; Yiannoulakis, H.; Papageorgiou, P.; Puschnigg, S.; Lindorfer, J. Use of Biomass as Alternative Fuel in Magnesia Sector. Fuels 2022, 3, 642-666. https://doi.org/10.3390/fuels3040039</t>
  </si>
  <si>
    <t>https://www.mdpi.com/2673-3994/3/4/39</t>
  </si>
  <si>
    <t>AGRIS, CNKI, DOAJ, EBSCO, OpenAIRE, OSTI (U.S. Department of Energy), PATENTSCOPE, ProQuest</t>
  </si>
  <si>
    <t>Dumitraşcu-Băldău, Iulia (ULBS), Dumitraşcu, Oana (ULBS)</t>
  </si>
  <si>
    <t>Research on the Behavior of Factors That Influence the International Virtual Project Team Performance, Using Data Modeling Techniques</t>
  </si>
  <si>
    <r>
      <rPr>
        <sz val="10"/>
        <color rgb="FF222222"/>
        <rFont val="Arial"/>
      </rPr>
      <t xml:space="preserve">Payne, H. (2022). 
</t>
    </r>
    <r>
      <rPr>
        <i/>
        <sz val="10"/>
        <color rgb="FF222222"/>
        <rFont val="Arial"/>
      </rPr>
      <t>Mobile Virtual Teams and Task Performance: A Qualitative Study</t>
    </r>
    <r>
      <rPr>
        <sz val="10"/>
        <color rgb="FF222222"/>
        <rFont val="Arial"/>
      </rPr>
      <t> (Doctoral dissertation, Capella University).</t>
    </r>
  </si>
  <si>
    <t>https://www.proquest.com/openview/d035cbe43f0c0d3b8f8c9df00fedf3c4/1?pq-origsite=gscholar&amp;cbl=18750&amp;diss=y</t>
  </si>
  <si>
    <t>LI Xingwei,HE Jinrong,LI Jingru,HUANG Yicheng. (2022). Influencing Factors of Rural Living Environments Based onHierarchical Theory of Needs: A Perspective of Green Developmentin Urban and Rural Construction. Journal of Hebei Agricultural University</t>
  </si>
  <si>
    <t>http://scholar.googleusercontent.com/scholar?q=cache:zJzcpZrTFzUJ:scholar.google.com/&amp;hl=ro&amp;as_sdt=2005&amp;sciodt=0,5</t>
  </si>
  <si>
    <t>Vuorinen, E. E. (2022). 
E-leadership in virtual teams during Covid-19 pandemic: the role and skills of a leader in the e-environment.</t>
  </si>
  <si>
    <t>https://osuva.uwasa.fi/handle/10024/13867</t>
  </si>
  <si>
    <t>Maris Juruss, Baiba Smite-Roke, Anita Zeila, International Scientific Conference „Business and Management“, 12th International Scientific Conference „Business and Management 2022“</t>
  </si>
  <si>
    <t xml:space="preserve"> Alina Daniela Voda, Gabriela Dobrota, Diana-Mihaela Țîrcă, Danut Dumitru Dumitrascu, Dan Dobrota</t>
  </si>
  <si>
    <t>Yu Zhao, Huaming Du, A Comprehensive Survey on Enterprise Financial Risk Analysis: Problems, Methods, Spotlights and Applications, Quantitative Finance &gt; Risk Management</t>
  </si>
  <si>
    <t>https://arxiv.org/abs/2211.14997</t>
  </si>
  <si>
    <t>Veronica Grosu, Ancuta-Anisia Chelba, Anatol Melega, Mihaela Socoliuc, Daniel Botez, Bibliometric analysis of the literature on evaluation models of the bankruptcy risk, Strategic Management, ISSN q821-3448</t>
  </si>
  <si>
    <t>https://scindeks.ceon.rs/Article.aspx?artid=1821-34488800042Gtrategic Management</t>
  </si>
  <si>
    <t xml:space="preserve">Patricia del Carmen Mendoza garcia, Sandra Ivette Garcia Pichardo, Maria Guadalupe Uribe Plaza, El nivel educativo y su impacto en la responsabilidad social del director de las mypes de Valle de Santiago, Guanajuato.Revista RELAYN, Vol. 7, Núm. 1, 2023. </t>
  </si>
  <si>
    <t>https://iquatroeditores.org/revista/index.php/relayn/article/view/981</t>
  </si>
  <si>
    <t xml:space="preserve">Xinyang Xu, The Impact of Financial Risk Management System under Big Data on the Performance of Small and Medium-sized Enterprises, </t>
  </si>
  <si>
    <t xml:space="preserve">https://bcpublication.org/index.php/FSE/article/view/2229, bcpublication, Vol. 2 No. 9 (2022) </t>
  </si>
  <si>
    <t>Tomina Saveanu, Daniel l Badulescu, Mirabela Matei, Comparative Bibliometric Analysis of Social Responsibility Related Literature in Romania and Hungary, BASIQ 2022 International Conference
on New Trends in Sustainable Business and Consumption</t>
  </si>
  <si>
    <t>https://www.conference.ase.ro/wp-content/uploads/2022/06/22042_Final.pdf</t>
  </si>
  <si>
    <t>Clara Inés Pardo Martínez, Alexander Cotte Poveda, Strategies to improve sustainability: an analysis of 120 microenterprises in an emerging economy, Cambridge University Press, February 2022, Global Sustainability vol. 5</t>
  </si>
  <si>
    <t>DOI: 10.1017/sus.2022.3</t>
  </si>
  <si>
    <t>The impact of covid-19 pandemic on the romanian economy in the year 2020</t>
  </si>
  <si>
    <t>Radu, B. M., Balan M., Impact of the covid 19 pandemic on remittances: worldwide, regional, national, Annals of the "Constantin Brancusi" University of Targu Jiu, Economy Series</t>
  </si>
  <si>
    <t>https://ideas.repec.org/a/cbu/jrnlec/y2022v4p137-145.html</t>
  </si>
  <si>
    <t>IDEAS IDEAS
Genamics JournalSeek Database Genamics
EconPapers EcP
EBSCO EBSCO
Cabell's Cabell's
SCIPIO SCIPIO
DOAJ DOAJ
REPEC REPEC
EconBiz EconBiz
YORK UNIVESITY YORK UNIVESITY
GLOABAL IMPACT FACTOR GLOABAL IMPACT FACTOR
SOCIONET Socionet
Directory of Research Journals Indexing Directory of Research Journals Indexing
Electronic Journals Index (SJSU) Electronic Journals Index (SJSU)
Universidad Nacional Autónoma de Mexico, Mexic Universidad Nacional Autónoma de Mexico, Mexic
University of Ottawa Library, Ontario, Canada University of Ottawa Library, Ontario, Canada
University of the West Library, Rosemead, California, U.S.A. University of the West Library, Rosemead, California, U.S.A.</t>
  </si>
  <si>
    <t>Radu, B. M., Balan M., Youth labor market evolution under the impact of the covid-19 pandemic, Annals of the "Constantin Brancusi" University of Targu Jiu, Economy Series</t>
  </si>
  <si>
    <t>https://ideas.repec.org/a/cbu/jrnlec/y2022v4p47-57.html</t>
  </si>
  <si>
    <r>
      <rPr>
        <sz val="10"/>
        <color theme="1"/>
        <rFont val="Arial Narrow"/>
      </rPr>
      <t>Fadzil, N. A. F. M., Fuza, Z. I. M., Bayah, W. N., &amp; Kamarudin, W. (2022). Entrepreneurial Attributes and Entrepreneurial Intention among Hospitality Students in Malaysian Higher Education Institutions: An Educational Approach. </t>
    </r>
    <r>
      <rPr>
        <i/>
        <sz val="10"/>
        <color rgb="FF222222"/>
        <rFont val="Arial"/>
      </rPr>
      <t>Sciences</t>
    </r>
    <r>
      <rPr>
        <sz val="10"/>
        <color rgb="FF222222"/>
        <rFont val="Arial"/>
      </rPr>
      <t>, </t>
    </r>
    <r>
      <rPr>
        <i/>
        <sz val="10"/>
        <color rgb="FF222222"/>
        <rFont val="Arial"/>
      </rPr>
      <t>12</t>
    </r>
    <r>
      <rPr>
        <sz val="10"/>
        <color rgb="FF222222"/>
        <rFont val="Arial"/>
      </rPr>
      <t>(8), 830-846.</t>
    </r>
  </si>
  <si>
    <r>
      <rPr>
        <sz val="10"/>
        <color theme="1"/>
        <rFont val="Arial Narrow"/>
      </rPr>
      <t>Gul, B., Azhar, F., &amp; Anwar, S. (2022). The Influence of Entrepreneurial Education on Post Graduate Students of Healthcare Management. </t>
    </r>
    <r>
      <rPr>
        <i/>
        <sz val="10"/>
        <color rgb="FF222222"/>
        <rFont val="Arial"/>
      </rPr>
      <t>Advances in Research</t>
    </r>
    <r>
      <rPr>
        <sz val="10"/>
        <color rgb="FF222222"/>
        <rFont val="Arial"/>
      </rPr>
      <t>, </t>
    </r>
    <r>
      <rPr>
        <i/>
        <sz val="10"/>
        <color rgb="FF222222"/>
        <rFont val="Arial"/>
      </rPr>
      <t>23</t>
    </r>
    <r>
      <rPr>
        <sz val="10"/>
        <color rgb="FF222222"/>
        <rFont val="Arial"/>
      </rPr>
      <t>(6), 1-4.</t>
    </r>
  </si>
  <si>
    <r>
      <rPr>
        <sz val="10"/>
        <color theme="1"/>
        <rFont val="Arial Narrow"/>
      </rPr>
      <t>Kalogiannidis, S., Loizou, E., Melfou, K., &amp; Papaevangelou, O. (2022, September). Assessing Relationship Between Entrepreneurship Education and Business Growth. In </t>
    </r>
    <r>
      <rPr>
        <i/>
        <sz val="10"/>
        <color rgb="FF222222"/>
        <rFont val="Arial"/>
      </rPr>
      <t>Business Development and Economic Governance in Southeastern Europe: 13th International Conference on the Economies of the Balkan and Eastern European Countries (EBEEC), Pafos, Cyprus, 2021</t>
    </r>
    <r>
      <rPr>
        <sz val="10"/>
        <color rgb="FF222222"/>
        <rFont val="Arial"/>
      </rPr>
      <t> (pp. 183-194). Cham: Springer International Publishing.</t>
    </r>
  </si>
  <si>
    <r>
      <rPr>
        <sz val="10"/>
        <color theme="1"/>
        <rFont val="Arial Narrow"/>
      </rPr>
      <t>Darwish, S. (2022). Socio-Economic Development Via Managing Entrepreneurship Education: Critical Review. </t>
    </r>
    <r>
      <rPr>
        <i/>
        <sz val="10"/>
        <color rgb="FF222222"/>
        <rFont val="Arial"/>
      </rPr>
      <t>Journal of Positive School Psychology</t>
    </r>
    <r>
      <rPr>
        <sz val="10"/>
        <color rgb="FF222222"/>
        <rFont val="Arial"/>
      </rPr>
      <t>, </t>
    </r>
    <r>
      <rPr>
        <i/>
        <sz val="10"/>
        <color rgb="FF222222"/>
        <rFont val="Arial"/>
      </rPr>
      <t>6</t>
    </r>
    <r>
      <rPr>
        <sz val="10"/>
        <color rgb="FF222222"/>
        <rFont val="Arial"/>
      </rPr>
      <t>(2), 6403-6413.</t>
    </r>
  </si>
  <si>
    <r>
      <rPr>
        <sz val="10"/>
        <color theme="1"/>
        <rFont val="Arial Narrow"/>
      </rPr>
      <t>Nani, G. V. (2022). Non-business students’ Perceptions and Experiences of Learning Entrepreneurship: Implications for Curriculum Developers and Lecturers in Zimbabwe. </t>
    </r>
    <r>
      <rPr>
        <i/>
        <sz val="10"/>
        <color rgb="FF222222"/>
        <rFont val="Arial"/>
      </rPr>
      <t>Randwick International of Education and Linguistics Science Journal</t>
    </r>
    <r>
      <rPr>
        <sz val="10"/>
        <color rgb="FF222222"/>
        <rFont val="Arial"/>
      </rPr>
      <t>, </t>
    </r>
    <r>
      <rPr>
        <i/>
        <sz val="10"/>
        <color rgb="FF222222"/>
        <rFont val="Arial"/>
      </rPr>
      <t>3</t>
    </r>
    <r>
      <rPr>
        <sz val="10"/>
        <color rgb="FF222222"/>
        <rFont val="Arial"/>
      </rPr>
      <t>(4), 643-654.</t>
    </r>
  </si>
  <si>
    <r>
      <rPr>
        <sz val="10"/>
        <color theme="1"/>
        <rFont val="Arial Narrow"/>
      </rPr>
      <t>Puspito, D. R. A., &amp; Nurlaila, E. (2022). Analisis Kemampuan Wirausaha Mahasiswa PGSD. </t>
    </r>
    <r>
      <rPr>
        <i/>
        <sz val="10"/>
        <color rgb="FF222222"/>
        <rFont val="Arial"/>
      </rPr>
      <t>Cendekiawan</t>
    </r>
    <r>
      <rPr>
        <sz val="10"/>
        <color rgb="FF222222"/>
        <rFont val="Arial"/>
      </rPr>
      <t>, </t>
    </r>
    <r>
      <rPr>
        <i/>
        <sz val="10"/>
        <color rgb="FF222222"/>
        <rFont val="Arial"/>
      </rPr>
      <t>4</t>
    </r>
    <r>
      <rPr>
        <sz val="10"/>
        <color rgb="FF222222"/>
        <rFont val="Arial"/>
      </rPr>
      <t>(1), 50-59.</t>
    </r>
  </si>
  <si>
    <r>
      <rPr>
        <sz val="10"/>
        <color theme="1"/>
        <rFont val="Arial Narrow"/>
      </rPr>
      <t>Omaliko, J. C., &amp; Ejimonye, J. C. (2022). The Nexus between Entrepreneurship Education and Socio-economic Development of Enugu State Amidst Covid-19 Pandemic. </t>
    </r>
    <r>
      <rPr>
        <i/>
        <sz val="10"/>
        <color rgb="FF222222"/>
        <rFont val="Arial"/>
      </rPr>
      <t>International Journal of Early Childhood Special Education</t>
    </r>
    <r>
      <rPr>
        <sz val="10"/>
        <color rgb="FF222222"/>
        <rFont val="Arial"/>
      </rPr>
      <t>, </t>
    </r>
    <r>
      <rPr>
        <i/>
        <sz val="10"/>
        <color rgb="FF222222"/>
        <rFont val="Arial"/>
      </rPr>
      <t>14</t>
    </r>
    <r>
      <rPr>
        <sz val="10"/>
        <color rgb="FF222222"/>
        <rFont val="Arial"/>
      </rPr>
      <t>(6).</t>
    </r>
  </si>
  <si>
    <r>
      <rPr>
        <sz val="10"/>
        <color theme="1"/>
        <rFont val="Arial Narrow"/>
      </rPr>
      <t>Ifeoma, U. D. (2022). AVAILABILITY AND ADEQUACY OF RESOURCES FOR ENTREPRENEURSHIP STUDIES IN UNIVERSITIES IN SOUTH-EAST, NIGERIA. </t>
    </r>
    <r>
      <rPr>
        <i/>
        <sz val="10"/>
        <color rgb="FF222222"/>
        <rFont val="Arial"/>
      </rPr>
      <t>African Journal of Educational Management, Teaching and Entrepreneurship Studies</t>
    </r>
    <r>
      <rPr>
        <sz val="10"/>
        <color rgb="FF222222"/>
        <rFont val="Arial"/>
      </rPr>
      <t>, </t>
    </r>
    <r>
      <rPr>
        <i/>
        <sz val="10"/>
        <color rgb="FF222222"/>
        <rFont val="Arial"/>
      </rPr>
      <t>7</t>
    </r>
    <r>
      <rPr>
        <sz val="10"/>
        <color rgb="FF222222"/>
        <rFont val="Arial"/>
      </rPr>
      <t>(1), 211-224.</t>
    </r>
  </si>
  <si>
    <t>Valentin Grecu (ULBS), Nagore Ipiña</t>
  </si>
  <si>
    <t>The Sustainable University–A Model for the Sustainable Organization</t>
  </si>
  <si>
    <t>Pocol, C. B., Stanca, L., Dabija, D. C., Pop, I. D., &amp; Mișcoiu, S. (2022). Knowledge co-creation and sustainable education in the labor market-driven university–business environment. Frontiers in Environmental Science, 10, 781075.</t>
  </si>
  <si>
    <t>https://www.frontiersin.org/articles/10.3389/fenvs.2022.781075/full</t>
  </si>
  <si>
    <r>
      <rPr>
        <sz val="10"/>
        <color theme="1"/>
        <rFont val="Arial Narrow"/>
      </rPr>
      <t>Mohiuddin, M., Hosseini, E., Faradonbeh, S. B., &amp; Sabokro, M. (2022). Achieving human resource management sustainability in universities. </t>
    </r>
    <r>
      <rPr>
        <i/>
        <sz val="10"/>
        <color rgb="FF222222"/>
        <rFont val="Arial"/>
      </rPr>
      <t>International Journal of Environmental Research and Public Health</t>
    </r>
    <r>
      <rPr>
        <sz val="10"/>
        <color rgb="FF222222"/>
        <rFont val="Arial"/>
      </rPr>
      <t>, </t>
    </r>
    <r>
      <rPr>
        <i/>
        <sz val="10"/>
        <color rgb="FF222222"/>
        <rFont val="Arial"/>
      </rPr>
      <t>19</t>
    </r>
    <r>
      <rPr>
        <sz val="10"/>
        <color rgb="FF222222"/>
        <rFont val="Arial"/>
      </rPr>
      <t>(2), 928.</t>
    </r>
  </si>
  <si>
    <t>https://www.mdpi.com/article/10.3390/ijerph19020928</t>
  </si>
  <si>
    <r>
      <rPr>
        <sz val="10"/>
        <color theme="1"/>
        <rFont val="Arial Narrow"/>
      </rPr>
      <t>Tamrat, W. (2022). Addressing the higher education for sustainable development agenda at the College of Open and Distance Learning, St. Mary’s University, Ethiopia: opportunities and challenges. </t>
    </r>
    <r>
      <rPr>
        <i/>
        <sz val="10"/>
        <color rgb="FF222222"/>
        <rFont val="Arial"/>
      </rPr>
      <t>International Journal of Sustainability in Higher Education</t>
    </r>
    <r>
      <rPr>
        <sz val="10"/>
        <color rgb="FF222222"/>
        <rFont val="Arial"/>
      </rPr>
      <t>, </t>
    </r>
    <r>
      <rPr>
        <i/>
        <sz val="10"/>
        <color rgb="FF222222"/>
        <rFont val="Arial"/>
      </rPr>
      <t>23</t>
    </r>
    <r>
      <rPr>
        <sz val="10"/>
        <color rgb="FF222222"/>
        <rFont val="Arial"/>
      </rPr>
      <t>(1), 177-195.</t>
    </r>
  </si>
  <si>
    <t>https://www.emerald.com/insight/content/doi/10.1108/IJSHE-08-2020-0316/full/html</t>
  </si>
  <si>
    <r>
      <rPr>
        <sz val="10"/>
        <color theme="1"/>
        <rFont val="Arial Narrow"/>
      </rPr>
      <t>Aung, P. N., &amp; Hallinger, P. (2022). The intellectual structure of the literature on sustainability leadership in higher education: an author co-citation analysis. </t>
    </r>
    <r>
      <rPr>
        <i/>
        <sz val="10"/>
        <color rgb="FF222222"/>
        <rFont val="Arial"/>
      </rPr>
      <t>International Journal of Educational Management</t>
    </r>
    <r>
      <rPr>
        <sz val="10"/>
        <color rgb="FF222222"/>
        <rFont val="Arial"/>
      </rPr>
      <t>, (ahead-of-print).</t>
    </r>
  </si>
  <si>
    <t>https://www.emerald.com/insight/content/doi/10.1108/IJEM-09-2021-0371/full/html</t>
  </si>
  <si>
    <r>
      <rPr>
        <sz val="10"/>
        <color theme="1"/>
        <rFont val="Arial Narrow"/>
      </rPr>
      <t>Pouratashi, M., &amp; Zamani, A. (2022). University students' level of knowledge, attitude and behavior toward sustainable development: a comparative study by GAMES. </t>
    </r>
    <r>
      <rPr>
        <i/>
        <sz val="10"/>
        <color rgb="FF222222"/>
        <rFont val="Arial"/>
      </rPr>
      <t>Journal of Applied Research in Higher Education</t>
    </r>
    <r>
      <rPr>
        <sz val="10"/>
        <color rgb="FF222222"/>
        <rFont val="Arial"/>
      </rPr>
      <t>, </t>
    </r>
    <r>
      <rPr>
        <i/>
        <sz val="10"/>
        <color rgb="FF222222"/>
        <rFont val="Arial"/>
      </rPr>
      <t>14</t>
    </r>
    <r>
      <rPr>
        <sz val="10"/>
        <color rgb="FF222222"/>
        <rFont val="Arial"/>
      </rPr>
      <t>(2), 625-639.</t>
    </r>
  </si>
  <si>
    <t>https://www.emerald.com/insight/content/doi/10.1108/JARHE-06-2020-0163/full/html</t>
  </si>
  <si>
    <r>
      <rPr>
        <sz val="10"/>
        <color theme="1"/>
        <rFont val="Arial Narrow"/>
      </rPr>
      <t>Butum, L. C., Nicolescu, L., &amp; Stan, S. O. (2022). Developing Global Competences via University Internationalization Activities—A Comparative Analysis of Business Students’ Opinions before and during the COVID-19 Pandemic Crisis. </t>
    </r>
    <r>
      <rPr>
        <i/>
        <sz val="10"/>
        <color rgb="FF222222"/>
        <rFont val="Arial"/>
      </rPr>
      <t>Sustainability</t>
    </r>
    <r>
      <rPr>
        <sz val="10"/>
        <color rgb="FF222222"/>
        <rFont val="Arial"/>
      </rPr>
      <t>, </t>
    </r>
    <r>
      <rPr>
        <i/>
        <sz val="10"/>
        <color rgb="FF222222"/>
        <rFont val="Arial"/>
      </rPr>
      <t>14</t>
    </r>
    <r>
      <rPr>
        <sz val="10"/>
        <color rgb="FF222222"/>
        <rFont val="Arial"/>
      </rPr>
      <t>(21), 14581.</t>
    </r>
  </si>
  <si>
    <t>https://www.mdpi.com/article/10.3390/su142114581</t>
  </si>
  <si>
    <r>
      <rPr>
        <sz val="10"/>
        <color theme="1"/>
        <rFont val="Arial Narrow"/>
      </rPr>
      <t>Pasaribu, R. D., Hartaman, A., Sutjipto, M. R., Umbara, T., Purwanadita, R., &amp; Masfiroh, A. (2022). Human-Centered Sustainable University Model. </t>
    </r>
    <r>
      <rPr>
        <i/>
        <sz val="10"/>
        <color rgb="FF222222"/>
        <rFont val="Arial"/>
      </rPr>
      <t>Jurnal Manajemen Indonesia</t>
    </r>
    <r>
      <rPr>
        <sz val="10"/>
        <color rgb="FF222222"/>
        <rFont val="Arial"/>
      </rPr>
      <t>, </t>
    </r>
    <r>
      <rPr>
        <i/>
        <sz val="10"/>
        <color rgb="FF222222"/>
        <rFont val="Arial"/>
      </rPr>
      <t>22</t>
    </r>
    <r>
      <rPr>
        <sz val="10"/>
        <color rgb="FF222222"/>
        <rFont val="Arial"/>
      </rPr>
      <t>(1), 1-12.</t>
    </r>
  </si>
  <si>
    <t>https://journals.telkomuniversity.ac.id/ijm/article/view/4316</t>
  </si>
  <si>
    <r>
      <rPr>
        <sz val="10"/>
        <color theme="1"/>
        <rFont val="Arial Narrow"/>
      </rPr>
      <t>Ivana, D., Drăgan, M., Maftei, M., Gӧtze, U., &amp; Metz, D. (2022). Study of Knowledge Management Impact on Sustainable Higher Education Institutions: A Business Process Modelling Approach. In </t>
    </r>
    <r>
      <rPr>
        <i/>
        <sz val="10"/>
        <color rgb="FF222222"/>
        <rFont val="Arial"/>
      </rPr>
      <t>Navigating Through the Crisis: Business, Technological and Ethical Considerations: The 2020 Annual Griffiths School of Management and IT Conference (GSMAC) Vol 2 11</t>
    </r>
    <r>
      <rPr>
        <sz val="10"/>
        <color rgb="FF222222"/>
        <rFont val="Arial"/>
      </rPr>
      <t> (pp. 85-101). Springer International Publishing.</t>
    </r>
  </si>
  <si>
    <r>
      <rPr>
        <sz val="10"/>
        <color theme="1"/>
        <rFont val="Arial Narrow"/>
      </rPr>
      <t>Rahman, H. (2022). Towards Making a Sustainable Organization. In </t>
    </r>
    <r>
      <rPr>
        <i/>
        <sz val="10"/>
        <color rgb="FF222222"/>
        <rFont val="Arial"/>
      </rPr>
      <t>Achieving Organizational Agility, Intelligence, and Resilience Through Information Systems</t>
    </r>
    <r>
      <rPr>
        <sz val="10"/>
        <color rgb="FF222222"/>
        <rFont val="Arial"/>
      </rPr>
      <t> (pp. 238-268). IGI Global.</t>
    </r>
  </si>
  <si>
    <t>https://www.igi-global.com/chapter/towards-making-a-sustainable-organization/288089</t>
  </si>
  <si>
    <t>Pakpahan, A., Komala, I. G. A. M. K., Ernawati, N. M., Nyoman, N., Triyuni, N. W. W. A., &amp; Suja, I. K. Best Practices of Sustainable Development to Make Six Senses Uluwatu a Green Hotel.</t>
  </si>
  <si>
    <t>https://core.ac.uk/download/pdf/492761724.pdf</t>
  </si>
  <si>
    <t>Jolanta Dvarioniene, Valentin Grecu (ULBS), Sabrina Lai, Francesco Scorza</t>
  </si>
  <si>
    <t>Four perspectives of applied sustainability: research implications and possible integrations</t>
  </si>
  <si>
    <t>Ștefanachi, B., Grecu, S. P., &amp; Chiriac, H. C. (2022). Mapping Sustainability across the World: Signs, Challenges and Opportunities for Democratic Countries. Sustainability, 14(9), 5659.</t>
  </si>
  <si>
    <t>https://www.mdpi.com/2071-1050/14/9/5659</t>
  </si>
  <si>
    <r>
      <rPr>
        <sz val="10"/>
        <color theme="1"/>
        <rFont val="Arial Narrow"/>
      </rPr>
      <t>Scorza, F., Santopietro, L., Corrado, S., Dastoli, P. S., Santarsiero, V., Gatto, R., &amp; Murgante, B. (2022, July). Training for Territorial Sustainable Development Design in Basilicata Remote Areas: GEODESIGN Workshop. In </t>
    </r>
    <r>
      <rPr>
        <i/>
        <sz val="10"/>
        <color rgb="FF222222"/>
        <rFont val="Arial"/>
      </rPr>
      <t>Computational Science and Its Applications–ICCSA 2022 Workshops: Malaga, Spain, July 4–7, 2022, Proceedings, Part III</t>
    </r>
    <r>
      <rPr>
        <sz val="10"/>
        <color rgb="FF222222"/>
        <rFont val="Arial"/>
      </rPr>
      <t> (pp. 242-252). Cham: Springer International Publishing.</t>
    </r>
  </si>
  <si>
    <t>https://link.springer.com/chapter/10.1007/978-3-031-10545-6_17</t>
  </si>
  <si>
    <r>
      <rPr>
        <sz val="10"/>
        <color theme="1"/>
        <rFont val="Arial Narrow"/>
      </rPr>
      <t>Gatto, R., Santopietro, L., &amp; Scorza, F. (2022, July). Tourism and Abandoned Inland Areas Development Demand: A Critical Appraisal. In </t>
    </r>
    <r>
      <rPr>
        <i/>
        <sz val="10"/>
        <color rgb="FF222222"/>
        <rFont val="Arial"/>
      </rPr>
      <t>Computational Science and Its Applications–ICCSA 2022 Workshops: Malaga, Spain, July 4–7, 2022, Proceedings, Part VI</t>
    </r>
    <r>
      <rPr>
        <sz val="10"/>
        <color rgb="FF222222"/>
        <rFont val="Arial"/>
      </rPr>
      <t> (pp. 40-47). Cham: Springer International Publishing.</t>
    </r>
  </si>
  <si>
    <t>https://link.springer.com/chapter/10.1007/978-3-031-10592-0_4</t>
  </si>
  <si>
    <t>Alm, J., Malmberg, H., Emruli, B., &amp; Saenyi, B. Business Intelligence and Analytics for Sustainability.</t>
  </si>
  <si>
    <t>https://lup.lub.lu.se/luur/download?func=downloadFile&amp;recordOId=9092103&amp;fileOId=9092108</t>
  </si>
  <si>
    <t>DASTOLI, P. A place syntax approach to fifteen Minutes cities.</t>
  </si>
  <si>
    <t>BASATO, U. M. D. G. INFRASTRUTTURE CICLABILI E LA CICLOVIA LAGONEGRO-ROTONDA, UN MODELLO DI GESTIONE BASATO SULLA COMUNITÀ: PROSPETTIVE ECO-CICLE.</t>
  </si>
  <si>
    <t>https://iris.unibas.it/bitstream/11563/161587/1/879-6683-1-PB%20%281%29.pdf</t>
  </si>
  <si>
    <t>Valentin Grecu (ULBS), Francesco Scorza</t>
  </si>
  <si>
    <t>Assessing sustainability: research directions and relevant issues</t>
  </si>
  <si>
    <t>Valentin Grecu (ULBS), Radu-Ilie-Gabriel Ciobotea (ULBS), Adrian Florea (ULBS)</t>
  </si>
  <si>
    <r>
      <rPr>
        <sz val="10"/>
        <color theme="1"/>
        <rFont val="Arial Narrow"/>
      </rPr>
      <t>Bartkowiak, G., Krugiełka, A., Kostrzewa-Demczuk, P., Dachowski, R., &amp; Gałek-Bracha, K. (2022). Experiencing stress among different professional groups in the context of their age. </t>
    </r>
    <r>
      <rPr>
        <i/>
        <sz val="10"/>
        <color rgb="FF222222"/>
        <rFont val="Arial"/>
      </rPr>
      <t>International Journal of Environmental Research and Public Health</t>
    </r>
    <r>
      <rPr>
        <sz val="10"/>
        <color rgb="FF222222"/>
        <rFont val="Arial"/>
      </rPr>
      <t>, </t>
    </r>
    <r>
      <rPr>
        <i/>
        <sz val="10"/>
        <color rgb="FF222222"/>
        <rFont val="Arial"/>
      </rPr>
      <t>19</t>
    </r>
    <r>
      <rPr>
        <sz val="10"/>
        <color rgb="FF222222"/>
        <rFont val="Arial"/>
      </rPr>
      <t>(2), 622.</t>
    </r>
  </si>
  <si>
    <t>https://www.mdpi.com/1437612</t>
  </si>
  <si>
    <r>
      <rPr>
        <sz val="10"/>
        <color theme="1"/>
        <rFont val="Arial Narrow"/>
      </rPr>
      <t>Huy, P. Q., &amp; Phuc, V. K. (2022). Insight into the Critical Success Factors of Performance-Based Budgeting Implementation in the Public Sector for Sustainable Development in the COVID-19 Pandemic. </t>
    </r>
    <r>
      <rPr>
        <i/>
        <sz val="10"/>
        <color rgb="FF222222"/>
        <rFont val="Arial"/>
      </rPr>
      <t>Sustainability</t>
    </r>
    <r>
      <rPr>
        <sz val="10"/>
        <color rgb="FF222222"/>
        <rFont val="Arial"/>
      </rPr>
      <t>, </t>
    </r>
    <r>
      <rPr>
        <i/>
        <sz val="10"/>
        <color rgb="FF222222"/>
        <rFont val="Arial"/>
      </rPr>
      <t>14</t>
    </r>
    <r>
      <rPr>
        <sz val="10"/>
        <color rgb="FF222222"/>
        <rFont val="Arial"/>
      </rPr>
      <t>(20), 13198.</t>
    </r>
  </si>
  <si>
    <t>https://www.mdpi.com/1884302</t>
  </si>
  <si>
    <r>
      <rPr>
        <sz val="10"/>
        <color theme="1"/>
        <rFont val="Arial Narrow"/>
      </rPr>
      <t>Ahmad, R., Hussain, A., &amp; Baharom, F. (2022, November). A new approach in developing a software sustainability assessment model. In </t>
    </r>
    <r>
      <rPr>
        <i/>
        <sz val="10"/>
        <color rgb="FF222222"/>
        <rFont val="Arial"/>
      </rPr>
      <t>AIP Conference Proceedings</t>
    </r>
    <r>
      <rPr>
        <sz val="10"/>
        <color rgb="FF222222"/>
        <rFont val="Arial"/>
      </rPr>
      <t> (Vol. 2644, No. 1, p. 030035). AIP Publishing LLC.</t>
    </r>
  </si>
  <si>
    <r>
      <rPr>
        <sz val="10"/>
        <color theme="1"/>
        <rFont val="Arial Narrow"/>
      </rPr>
      <t>Ahmad, R. (2022, November). Software Sustainability Practices and Awareness Amongst Software Practitioners in Malaysia: An Exploratory Study. In </t>
    </r>
    <r>
      <rPr>
        <i/>
        <sz val="10"/>
        <color rgb="FF222222"/>
        <rFont val="Arial"/>
      </rPr>
      <t>2022 2nd International Conference on Electronic and Electrical Engineering and Intelligent System (ICE3IS)</t>
    </r>
    <r>
      <rPr>
        <sz val="10"/>
        <color rgb="FF222222"/>
        <rFont val="Arial"/>
      </rPr>
      <t> (pp. 192-197). IEEE.</t>
    </r>
  </si>
  <si>
    <r>
      <rPr>
        <sz val="10"/>
        <color theme="1"/>
        <rFont val="Arial Narrow"/>
      </rPr>
      <t>Garzón, N. R., &amp; Lozano, M. R. (2022). Organizational Sustainability: An Index From Macroeconomic Variables. In </t>
    </r>
    <r>
      <rPr>
        <i/>
        <sz val="10"/>
        <color rgb="FF222222"/>
        <rFont val="Arial"/>
      </rPr>
      <t>Handbook of Research on Organizational Sustainability in Turbulent Economies</t>
    </r>
    <r>
      <rPr>
        <sz val="10"/>
        <color rgb="FF222222"/>
        <rFont val="Arial"/>
      </rPr>
      <t> (pp. 94-110). IGI Global.</t>
    </r>
  </si>
  <si>
    <t>Soufat, O., &amp; Abi, K. (2022). The Impact Of Organizational Trust On Achieving Organizationally Sustainability Within Msmes In El-oued.</t>
  </si>
  <si>
    <t>http://dspace.univ-eloued.dz/handle/123456789/20165</t>
  </si>
  <si>
    <t>Grecu Valentin(ULBS), Nate Silviu(ULBS)</t>
  </si>
  <si>
    <t>Managing Sustainability with Eco-Business Intelligence Instruments.</t>
  </si>
  <si>
    <r>
      <rPr>
        <sz val="10"/>
        <color theme="1"/>
        <rFont val="Arial Narrow"/>
      </rPr>
      <t>Menaouer, B., Mohammed, S., &amp; Nada, M. (2022). The Impact of Business Intelligence and Knowledge Management on Sustainability Performance in the Tourism Industry in Algeria. </t>
    </r>
    <r>
      <rPr>
        <i/>
        <sz val="10"/>
        <color rgb="FF222222"/>
        <rFont val="Arial"/>
      </rPr>
      <t>Indonesian Journal of Sustainability Accounting and Management</t>
    </r>
    <r>
      <rPr>
        <sz val="10"/>
        <color rgb="FF222222"/>
        <rFont val="Arial"/>
      </rPr>
      <t>, </t>
    </r>
    <r>
      <rPr>
        <i/>
        <sz val="10"/>
        <color rgb="FF222222"/>
        <rFont val="Arial"/>
      </rPr>
      <t>6</t>
    </r>
    <r>
      <rPr>
        <sz val="10"/>
        <color rgb="FF222222"/>
        <rFont val="Arial"/>
      </rPr>
      <t>(1).</t>
    </r>
  </si>
  <si>
    <t>http://ijsam.org/index.php/ijsam/article/view/550</t>
  </si>
  <si>
    <t>Grecu Valentin (ULBS)</t>
  </si>
  <si>
    <t>The global sustainability index: an instrument for assessing the progress towards the sustainable organization</t>
  </si>
  <si>
    <r>
      <rPr>
        <sz val="10"/>
        <color theme="1"/>
        <rFont val="Arial Narrow"/>
      </rPr>
      <t>Gunay, S., Kurtishi-Kastrati, S., &amp; Krsteska, K. (2022). Regional green economy and community impact on global sustainability. </t>
    </r>
    <r>
      <rPr>
        <i/>
        <sz val="10"/>
        <color rgb="FF222222"/>
        <rFont val="Arial"/>
      </rPr>
      <t>Journal of Enterprising Communities: People and Places in the Global Economy</t>
    </r>
    <r>
      <rPr>
        <sz val="10"/>
        <color rgb="FF222222"/>
        <rFont val="Arial"/>
      </rPr>
      <t>, (ahead-of-print).</t>
    </r>
  </si>
  <si>
    <t>https://www.emerald.com/insight/content/doi/10.1108/JEC-03-2022-0040/full/html</t>
  </si>
  <si>
    <r>
      <rPr>
        <sz val="10"/>
        <color theme="1"/>
        <rFont val="Arial Narrow"/>
      </rPr>
      <t>Gede, W. A. N. (2022). Indeks Pembangunan Ekonomi Inklusif Berwawasan Lingkungan di Indonesia. </t>
    </r>
    <r>
      <rPr>
        <i/>
        <sz val="10"/>
        <color rgb="FF222222"/>
        <rFont val="Arial"/>
      </rPr>
      <t>Journal of Regional and Rural Development Planning (Jurnal Perencanaan Pembangunan Wilayah dan Perdesaan)</t>
    </r>
    <r>
      <rPr>
        <sz val="10"/>
        <color rgb="FF222222"/>
        <rFont val="Arial"/>
      </rPr>
      <t>, </t>
    </r>
    <r>
      <rPr>
        <i/>
        <sz val="10"/>
        <color rgb="FF222222"/>
        <rFont val="Arial"/>
      </rPr>
      <t>6</t>
    </r>
    <r>
      <rPr>
        <sz val="10"/>
        <color rgb="FF222222"/>
        <rFont val="Arial"/>
      </rPr>
      <t>(3), 262-275.</t>
    </r>
  </si>
  <si>
    <t>https://jurnal.ipb.ac.id/index.php/p2wd/article/view/38334</t>
  </si>
  <si>
    <r>
      <rPr>
        <sz val="10"/>
        <color theme="1"/>
        <rFont val="Arial Narrow"/>
      </rPr>
      <t>Takhar, S. S. (2022). </t>
    </r>
    <r>
      <rPr>
        <i/>
        <sz val="10"/>
        <color rgb="FF222222"/>
        <rFont val="Arial"/>
      </rPr>
      <t>The Effect of Chemical Regulations on the Aerospace and Defence Industries</t>
    </r>
    <r>
      <rPr>
        <sz val="10"/>
        <color rgb="FF222222"/>
        <rFont val="Arial"/>
      </rPr>
      <t>. University of Derby (United Kingdom).</t>
    </r>
  </si>
  <si>
    <t>https://search.proquest.com/openview/1066be76419d99a1759362daea9133b5/1?pq-origsite=gscholar&amp;cbl=51922&amp;diss=y</t>
  </si>
  <si>
    <t>Radu Emanuil Petruse (ULBS), Valentin Grecu (ULBS), Bogdan Marius Chiliban (ULBS)</t>
  </si>
  <si>
    <r>
      <rPr>
        <sz val="10"/>
        <color theme="1"/>
        <rFont val="Arial Narrow"/>
      </rPr>
      <t>Szczekala, Ł., &amp; Stadnicka, D. (2022). Knowledge management as a sustainable development supporting method in manufacturing organizations–a systematic literature review. In </t>
    </r>
    <r>
      <rPr>
        <i/>
        <sz val="10"/>
        <color rgb="FF222222"/>
        <rFont val="Arial"/>
      </rPr>
      <t>Global Congress on Manufacturing and Management</t>
    </r>
    <r>
      <rPr>
        <sz val="10"/>
        <color rgb="FF222222"/>
        <rFont val="Arial"/>
      </rPr>
      <t> (pp. 431-459). Springer, Cham.</t>
    </r>
  </si>
  <si>
    <r>
      <rPr>
        <sz val="10"/>
        <color theme="1"/>
        <rFont val="Arial Narrow"/>
      </rPr>
      <t>Bulková, Z., Dedík, M., Gašparík, J., Kurenkov, P. V., &amp; Pečený, L. (2022). Augmented Reality as a Tool in a Train Set Processing Technology. </t>
    </r>
    <r>
      <rPr>
        <i/>
        <sz val="10"/>
        <color rgb="FF222222"/>
        <rFont val="Arial"/>
      </rPr>
      <t>LOGI–Scientific Journal on Transport and Logistics</t>
    </r>
    <r>
      <rPr>
        <sz val="10"/>
        <color rgb="FF222222"/>
        <rFont val="Arial"/>
      </rPr>
      <t>, </t>
    </r>
    <r>
      <rPr>
        <i/>
        <sz val="10"/>
        <color rgb="FF222222"/>
        <rFont val="Arial"/>
      </rPr>
      <t>13</t>
    </r>
    <r>
      <rPr>
        <sz val="10"/>
        <color rgb="FF222222"/>
        <rFont val="Arial"/>
      </rPr>
      <t>(1), 108-118.</t>
    </r>
  </si>
  <si>
    <r>
      <rPr>
        <sz val="10"/>
        <color theme="1"/>
        <rFont val="Arial Narrow"/>
      </rPr>
      <t>Velasco, N., Karen, C., Morales, M., &amp; Mendoza, D. (2022, September). Interactive mockup to calculate arc length using integrals. In </t>
    </r>
    <r>
      <rPr>
        <i/>
        <sz val="10"/>
        <color rgb="FF222222"/>
        <rFont val="Arial"/>
      </rPr>
      <t>Journal of Physics: Conference Series</t>
    </r>
    <r>
      <rPr>
        <sz val="10"/>
        <color rgb="FF222222"/>
        <rFont val="Arial"/>
      </rPr>
      <t> (Vol. 2346, No. 1, p. 012005). IOP Publishing.</t>
    </r>
  </si>
  <si>
    <r>
      <rPr>
        <sz val="10"/>
        <color theme="1"/>
        <rFont val="Arial Narrow"/>
      </rPr>
      <t>Boving, V. G. (2022). </t>
    </r>
    <r>
      <rPr>
        <i/>
        <sz val="10"/>
        <color rgb="FF222222"/>
        <rFont val="Arial"/>
      </rPr>
      <t>The Difference in University-Level Engineering Students' Use of the Full Range Model of Leadership Behaviors before and after Creativity Training</t>
    </r>
    <r>
      <rPr>
        <sz val="10"/>
        <color rgb="FF222222"/>
        <rFont val="Arial"/>
      </rPr>
      <t> (Doctoral dissertation, Our Lady of the Lake University).</t>
    </r>
  </si>
  <si>
    <t>Eugen Avrigean (ULBS), Valentin GRECU (ULBS)</t>
  </si>
  <si>
    <t>Market Research Regarding Problems in Using Polyethylene Pipe and Fittings</t>
  </si>
  <si>
    <r>
      <rPr>
        <sz val="10"/>
        <color theme="1"/>
        <rFont val="Arial Narrow"/>
      </rPr>
      <t>Zhang, Y., Abdellah, M. H., Kentish, S., &amp; Scholes, C. A. (2022). The compatibility of high‐density polyethylene piping and elastomers with the future fuel methanol. </t>
    </r>
    <r>
      <rPr>
        <i/>
        <sz val="10"/>
        <color rgb="FF222222"/>
        <rFont val="Arial"/>
      </rPr>
      <t>International Journal of Energy Research</t>
    </r>
    <r>
      <rPr>
        <sz val="10"/>
        <color rgb="FF222222"/>
        <rFont val="Arial"/>
      </rPr>
      <t>, </t>
    </r>
    <r>
      <rPr>
        <i/>
        <sz val="10"/>
        <color rgb="FF222222"/>
        <rFont val="Arial"/>
      </rPr>
      <t>46</t>
    </r>
    <r>
      <rPr>
        <sz val="10"/>
        <color rgb="FF222222"/>
        <rFont val="Arial"/>
      </rPr>
      <t>(6), 8376-8388.</t>
    </r>
  </si>
  <si>
    <r>
      <rPr>
        <sz val="10"/>
        <color theme="1"/>
        <rFont val="Arial Narrow"/>
      </rPr>
      <t>Zhang, Y., Kentish, S., &amp; Scholes, C. A. (2022). Compatibility of High-Density Polyethylene Piping and Associated Elastomers with the Renewable Fuels Ammonia and Dimethyl Ether. </t>
    </r>
    <r>
      <rPr>
        <i/>
        <sz val="10"/>
        <color rgb="FF222222"/>
        <rFont val="Arial"/>
      </rPr>
      <t>Energy &amp; Fuels</t>
    </r>
    <r>
      <rPr>
        <sz val="10"/>
        <color rgb="FF222222"/>
        <rFont val="Arial"/>
      </rPr>
      <t>, </t>
    </r>
    <r>
      <rPr>
        <i/>
        <sz val="10"/>
        <color rgb="FF222222"/>
        <rFont val="Arial"/>
      </rPr>
      <t>36</t>
    </r>
    <r>
      <rPr>
        <sz val="10"/>
        <color rgb="FF222222"/>
        <rFont val="Arial"/>
      </rPr>
      <t>(23), 14500-14511.</t>
    </r>
  </si>
  <si>
    <t>https://pubs.acs.org/doi/abs/10.1021/acs.energyfuels.2c03041</t>
  </si>
  <si>
    <r>
      <rPr>
        <sz val="10"/>
        <color theme="1"/>
        <rFont val="Arial Narrow"/>
      </rPr>
      <t>Andreia, M., Mihaela, R. C., &amp; Costin, B. V. (2022). STUDENTS’VIEWS ON ROMANIAN PROFESSION’S LEVEL OF ETHICS. </t>
    </r>
    <r>
      <rPr>
        <i/>
        <sz val="10"/>
        <color rgb="FF222222"/>
        <rFont val="Arial"/>
      </rPr>
      <t>Annals-Economy Series</t>
    </r>
    <r>
      <rPr>
        <sz val="10"/>
        <color rgb="FF222222"/>
        <rFont val="Arial"/>
      </rPr>
      <t>, </t>
    </r>
    <r>
      <rPr>
        <i/>
        <sz val="10"/>
        <color rgb="FF222222"/>
        <rFont val="Arial"/>
      </rPr>
      <t>5</t>
    </r>
    <r>
      <rPr>
        <sz val="10"/>
        <color rgb="FF222222"/>
        <rFont val="Arial"/>
      </rPr>
      <t>, 102-108.</t>
    </r>
  </si>
  <si>
    <t>Lia Alexandra Baltador (ULBS), Valentin Grecu (ULBS), Alma Pentescu (ULBS)</t>
  </si>
  <si>
    <t>Using Design Thinking to Redesign the Educational Experience</t>
  </si>
  <si>
    <r>
      <rPr>
        <sz val="10"/>
        <color theme="1"/>
        <rFont val="Arial Narrow"/>
      </rPr>
      <t>Purwanto, E. S., Jap, E. B., Wijaya, E. S., Juwanda, R., &amp; Sari, A. C. (2022, October). Application of Design Thinking in the Creation of UI/UX on E-learning Websites. In </t>
    </r>
    <r>
      <rPr>
        <i/>
        <sz val="10"/>
        <color rgb="FF222222"/>
        <rFont val="Arial"/>
      </rPr>
      <t>2022 4th International Conference on Cybernetics and Intelligent System (ICORIS)</t>
    </r>
    <r>
      <rPr>
        <sz val="10"/>
        <color rgb="FF222222"/>
        <rFont val="Arial"/>
      </rPr>
      <t> (pp. 1-6). IEEE.</t>
    </r>
  </si>
  <si>
    <t>https://ieeexplore.ieee.org/abstract/document/10031471/</t>
  </si>
  <si>
    <t>Silviu Nate (ULBS), Valentin Grecu (ULBS), Andriy Stavytskyy, Ganna Kharlamova</t>
  </si>
  <si>
    <r>
      <rPr>
        <sz val="10"/>
        <color theme="1"/>
        <rFont val="Arial Narrow"/>
      </rPr>
      <t>Mathura, R. (2022). </t>
    </r>
    <r>
      <rPr>
        <i/>
        <sz val="10"/>
        <color rgb="FF222222"/>
        <rFont val="Arial"/>
      </rPr>
      <t>Towards a framework for a sustainable ecosystem for informal entrepreneurship in South Africa</t>
    </r>
    <r>
      <rPr>
        <sz val="10"/>
        <color rgb="FF222222"/>
        <rFont val="Arial"/>
      </rPr>
      <t> (Doctoral dissertation).</t>
    </r>
  </si>
  <si>
    <t>https://uir.unisa.ac.za/handle/10500/30002</t>
  </si>
  <si>
    <r>
      <rPr>
        <sz val="10"/>
        <color theme="1"/>
        <rFont val="Arial Narrow"/>
      </rPr>
      <t>Ismaiyah, N., Suyadi, S., Nadlifah, N., Putro, K. Z., &amp; Astuti, R. Edupreneurship in Stimulating the Independence of Early Childhood. </t>
    </r>
    <r>
      <rPr>
        <i/>
        <sz val="10"/>
        <color rgb="FF222222"/>
        <rFont val="Arial"/>
      </rPr>
      <t>Golden Age: Jurnal Ilmiah Tumbuh Kembang Anak Usia Dini</t>
    </r>
    <r>
      <rPr>
        <sz val="10"/>
        <color rgb="FF222222"/>
        <rFont val="Arial"/>
      </rPr>
      <t>, </t>
    </r>
    <r>
      <rPr>
        <i/>
        <sz val="10"/>
        <color rgb="FF222222"/>
        <rFont val="Arial"/>
      </rPr>
      <t>7</t>
    </r>
    <r>
      <rPr>
        <sz val="10"/>
        <color rgb="FF222222"/>
        <rFont val="Arial"/>
      </rPr>
      <t>(3), 143-150.</t>
    </r>
  </si>
  <si>
    <t>https://ejournal.uin-suka.ac.id/tarbiyah/goldenage/article/view/6119</t>
  </si>
  <si>
    <t>Borza S, Inta M, Serbu R, Marza B (ULBS)</t>
  </si>
  <si>
    <t>Multi-criteria analysis of pollution caused by auto traffic in a geographical area limited to applicability for an eco-economy environment.</t>
  </si>
  <si>
    <t>Mansoor Ahmad Bhat, Eftade O. Gaga &amp; Aysun Özka.n A New Approach Within AHP Framework for Prioritization of Air Quality Management in Kashmir</t>
  </si>
  <si>
    <t>https://link.springer.com/chapter/10.1007/978-3-030-73943-0_54     Biodiversity, Conservation and Sustainability in Asia pp 981–995</t>
  </si>
  <si>
    <t>Inta M (ULBS)</t>
  </si>
  <si>
    <t>Improving performance of roundabout intersections by optimizing traffic-flow speed</t>
  </si>
  <si>
    <t>Philip O. Odion,Babangida Zachariah,Saidu R. Isah and Juliet David Shekarau. Enhancing Road Traffic Flows Across Multiple Roundabouts Using Adaptive Neuro-Fuzzy Inference System</t>
  </si>
  <si>
    <t>https://www.journal.kasu.edu.ng/index.php/kjms/article/view/604/495</t>
  </si>
  <si>
    <t>Croitoru Sorin Mihai(UPB), Inta M (ULBS)</t>
  </si>
  <si>
    <t>Study on Shape of Dental Implants</t>
  </si>
  <si>
    <t>B Mohammadi, E Anbarzadeh. Evaluation of Viability and Cell Proliferation in Bone and Gingival on Dental Implant Fixtures with Active Sandblasted and Sandblasted Surfaces by the Cytotoxicity Test Method</t>
  </si>
  <si>
    <t>https://www.scientific.net/JBBBE.56.165</t>
  </si>
  <si>
    <t>Muntean, A. Inta, M. (ULBS),  Stroila, I.A.</t>
  </si>
  <si>
    <t>Study on Improving Logistics in a Production Enterprise in the Automotive Domain</t>
  </si>
  <si>
    <t>Andres Guiguet  and Dirk Pons. A Framework for Interactive Development of Simulation
Models with Strategical–Tactical–Operational Layering Applied
to the Logistics of Bulk Commodities</t>
  </si>
  <si>
    <t>https://www.mdpi.com/2673-3951/3/3/18     Modelling 2022, 3(3), 272-299; https://doi.org/10.3390/modelling3030018</t>
  </si>
  <si>
    <t>Ciudin, R. (ULBS), Isarie, C. (ULBS), Cioca, L. (ULBS), Petrescu, V. (ULBS), Nederita, V. (ULBS), Ranieri, E. (Univ. Bari, Italia)</t>
  </si>
  <si>
    <t>Vacuum waste collection system for an historical city centre</t>
  </si>
  <si>
    <t xml:space="preserve">Abusaada H., Elshater A., Khalifa M., Remapping Urban Heat Island Atlases in Regenerative Cities, </t>
  </si>
  <si>
    <t>https://www.researchgate.net/publication/361209114_Remapping_urban_heat_island_atlases_in_regenerative_cities</t>
  </si>
  <si>
    <t>IGI Global
Engineering Science Reference (an imprint of IGI Global)</t>
  </si>
  <si>
    <t>Isarie Claudiu</t>
  </si>
  <si>
    <t>Anm Safiqul Alam, International: Comparative Study on Municipal Waste Management Situations Between Kuala Lumpur and Dhaka City in Asia, Waste Advantage Magazine</t>
  </si>
  <si>
    <t>https://wasteadvantagemag.com/international-comparative-study-on-municipal-waste-management-situations-between-kuala-lumpur-and-dhaka-city-in-asia/</t>
  </si>
  <si>
    <t>Waste Advantage Magazine</t>
  </si>
  <si>
    <t xml:space="preserve">IMPACT OF INTERNAL CORPORATE SOCIAL RESPONSIBILITY FACTORS ON THE EMPLOYEE’S INNOVATION CLIMATE IN THE MEDICAL DIAGNOSTICS INDUSTRY, Sofia M Beglari, </t>
  </si>
  <si>
    <t xml:space="preserve">https://www.proquest.com/openview/4a966b64d8aca9dd144076223a9471f6/1?pq-origsite=gscholar&amp;cbl=18750&amp;diss=y </t>
  </si>
  <si>
    <t xml:space="preserve"> dissertation, DOCTOR OF EDUCATION</t>
  </si>
  <si>
    <t>A Survey on Virtual Working Effects on Human Health and Their Productivity, Muhammad Omar Akhlaq, Hafiz Muhammad Ali Chipa, and Agha Yasir Ali, ASIAN JOURNAL OF ENGINEERING, SCIENCES &amp; TECHNOLOGY, VOL.12, ISSUE 1</t>
  </si>
  <si>
    <t>https://journals.iqra.edu.pk/AJEST/Issue1-22/Article12/AJEST12102.pdf</t>
  </si>
  <si>
    <t>Directory of Open Access Scholarly Resources (ROAD)
 Engineering Source Database (EBSCO)</t>
  </si>
  <si>
    <t xml:space="preserve">E Mărginean (ULBS) CV Kifor </t>
  </si>
  <si>
    <t xml:space="preserve">Academic Libraries as user-centered organizations. Case study: Quality of services provided by LBUS Library
</t>
  </si>
  <si>
    <t>Academic Library Innovation Through a Business Model Canvas Lens: A Case of South African Higher Education Institutions
Mmaphuti Carron Teffo, Ignitia Motjolopane, Tlou Maggie Masenya
Source Title: Innovative Technologies for Enhancing Knowledge Access in Academic Libraries</t>
  </si>
  <si>
    <t>https://www.igi-global.com/chapter/academic-library-innovation-through-a-business-model-canvas-lens/306426</t>
  </si>
  <si>
    <t>Gscholar, IGI Global</t>
  </si>
  <si>
    <t>The Effect of Comprehensive Use of PDCA and FMEA Management Tools on the Work Efficiency, Teamwork, and Self-Identity of Medical Staff: A Cohort Study with Zhongda Hospital in China as an Example
Hui Chen,1Zhao Tao,1Chen Zhou,1Su Zhao,1Yanan Xing,1and Min Lu, Magnetomotive Photoacoustic in Biomedical Applications 2022</t>
  </si>
  <si>
    <t>https://scholar.google.com/scholar?oi=bibs&amp;hl=ro&amp;cites=8609530442403443301</t>
  </si>
  <si>
    <t>Gscholar</t>
  </si>
  <si>
    <t>From digital traces to competences
Author links open overlay panelK-E. BEMMAMI *, L. GZARA ⁎⁎, J-L. MAIRE *, C. COURTIN *, IFAC-PapersOnLine
Volume 55, Issue 10, 2022, Pages 1944-1949</t>
  </si>
  <si>
    <t>https://scholar.google.com/scholar?as_ylo=2022&amp;hl=ro&amp;as_sdt=2005&amp;sciodt=0,5&amp;cites=14082028003172978258&amp;scipsc=</t>
  </si>
  <si>
    <t>ScienceDirect, Gscholar</t>
  </si>
  <si>
    <t>Applying Verbal Decision Analysis for Public Research and Technology Advancement, D. V. Polevoi, S. V. Pronichkin &amp; Y. S. Chernyshova, 
Proceedings of the Computational Methods in Systems and Software
CoMeSySo 2022: Software Engineering Application in Systems Design pp 840–846</t>
  </si>
  <si>
    <t>Springerlink, Gscholar</t>
  </si>
  <si>
    <t>O desempenho organizacional da Polícia Rodoviária Federal, no período de 2014 a 2021: um diagnóstico à luz do People Analytics
NZ Alencar - 2022 - repositorio.unb.br</t>
  </si>
  <si>
    <t>https://repositorio.unb.br/handle/10482/43713</t>
  </si>
  <si>
    <t>Development of an Assessment Model for Soft Skills during Engineering Recruitment Process
Yoná Pietra Ribeiro,
Débora Barni Campos</t>
  </si>
  <si>
    <t>https://assets.researchsquare.com/files/rs-2102453/v1/388157cd-bbb9-4b7e-818a-1a2078f6dec6.pdf?c=1676218474</t>
  </si>
  <si>
    <t>GAL Marius (ULBS), CV KIFOR
Acta Technica Napocensis-Series: Applied Mathematics, Mechanics</t>
  </si>
  <si>
    <t xml:space="preserve">Offshoring for companies specialised in software for automotive, Acta Tehnica Napocensis
</t>
  </si>
  <si>
    <t>Contribuții privind dezvoltarea unui sistem de monitorizare a implementării societății informaționale
I Petre - 2022 - digital-library.ulbsibiu.ro</t>
  </si>
  <si>
    <t>http://digital-library.ulbsibiu.ro/xmlui/handle/123456789/3369</t>
  </si>
  <si>
    <t xml:space="preserve">
SS Nicolaescu (ULBS), HC Palade (ULBS), CV Kifor, A Florea (ULBS)
</t>
  </si>
  <si>
    <t xml:space="preserve">
Collaborative platform for transferring knowledge from university to industry-a bridge grant case study
Proceedings of the 4th IETEC Conference, Hanoi, Vietnam, 475-488</t>
  </si>
  <si>
    <t>Digital Transformation - A Prerequisite for Sustainability in all Economic Sectors and for Society at Sibiu Innovation Days 2021, Florea, A, Brad, S., Vol. 12 No. 1 (2022): IJASITELS (Special ISSUE)</t>
  </si>
  <si>
    <t>https://scholar.google.com/scholar?oi=bibs&amp;hl=ro&amp;cites=3419980343059901740</t>
  </si>
  <si>
    <t>S Nicolaescu (ULBS), CV Kifor</t>
  </si>
  <si>
    <t>Teaching methodology for Design for Six Sigma and Quality techniques–an approach that combines theory and practice
Balkan Region Conference on Engineering and Business Education 2 (1), 328-336</t>
  </si>
  <si>
    <t>Software Alternatives to Design Learning Activities for Lean Six Sigma in e-learning. Manuel Rodríguez-Martín, Pablo Rodríguez-Gonzálvez &amp; María del Rosario Domingo, International conference on technological ecosystems for enhancing multiculturality</t>
  </si>
  <si>
    <t>https://link.springer.com/chapter/10.1007/978-981-99-0942-1_9</t>
  </si>
  <si>
    <t>Springer, Gscholar</t>
  </si>
  <si>
    <t>Construction and application of medical waste management system in operating room based on Six Sigma theory.
Guo X.., Asian Journal of Surgery, 19 Dec 2022, 46(6):2367-2369</t>
  </si>
  <si>
    <t>https://europepmc.org/article/med/36543672</t>
  </si>
  <si>
    <t xml:space="preserve">Knowledge Graph Supported Machine Parameterization for the Injection Moulding Industry, Stefan Bachhofner, Kabul Kurniawan, Elmar Kiesling, Kate Revoredo &amp; Dina Bayomie </t>
  </si>
  <si>
    <t>Iberoamerican Knowledge Graphs and Semantic Web Conference</t>
  </si>
  <si>
    <t>Springer, GScholar</t>
  </si>
  <si>
    <t>Ontologie-basierte Modellierung und Synthese von Bordnetzdaten für die Zuverlässigkeitsanalyse
O Balandi - 2022 - books.google.com</t>
  </si>
  <si>
    <t>https://scholar.google.com/scholar?as_ylo=2022&amp;hl=ro&amp;as_sdt=2005&amp;sciodt=0,5&amp;cites=6718657599601444474&amp;scipsc=</t>
  </si>
  <si>
    <t>Gbooks</t>
  </si>
  <si>
    <t xml:space="preserve"> Research of FMEA method based on ontologyY. Bai 1 ; T. Yu 1 ; T. Zhang 1 ; T. Wang, 12th International Conference on Quality, Reliability, Risk, Maintenance, and Safety Engineering (QR2MSE 2022), 2022 p. 908 – 913</t>
  </si>
  <si>
    <t>https://digital-library.theiet.org/content/conferences/10.1049/icp.2022.2985</t>
  </si>
  <si>
    <t>Gscholar, IET Digital Library</t>
  </si>
  <si>
    <t>A novel method to constructing domain ontology based on three-way concept lattices models, H, Xu, The International Conference on Forthcoming Networks and Sustainability (FoNeS 2022)</t>
  </si>
  <si>
    <t>https://ieeexplore.ieee.org/abstract/document/10042271</t>
  </si>
  <si>
    <t>Gscholar, IEEE</t>
  </si>
  <si>
    <t>Verbesserung des Abweichungsmanagement im digitalen Shopfloor Management durch Natural Language Processing
M Müller - tuprints.ulb.tu-darmstadt.de</t>
  </si>
  <si>
    <t>https://tuprints.ulb.tu-darmstadt.de/21514/</t>
  </si>
  <si>
    <t>Iuga M.V. (ULBS), Kifor C.V.</t>
  </si>
  <si>
    <t>Lean project management an application in reserch and technological development (RTD) projects
C Cruz Villazón - 2022 - addi.ehu.es</t>
  </si>
  <si>
    <t>https://scholar.google.com/scholar?as_ylo=2022&amp;hl=ro&amp;as_sdt=2005&amp;sciodt=0,5&amp;cites=15527639882816297452,17137039691567018653&amp;scipsc=</t>
  </si>
  <si>
    <t>Offshoring for companies specialised in software for automotive, Acta Technica Napocensis-Series: Applied Mathematics, Mechanics, and …</t>
  </si>
  <si>
    <t>Production control system for Lean and agile processes, Araújo, Ariana Sofia Barroso</t>
  </si>
  <si>
    <t>repositorium.uminho.pt</t>
  </si>
  <si>
    <t>B Chiliban, LM Baral (Ayasalunah Univ, Bangladesh), CV Kifor</t>
  </si>
  <si>
    <t>Review of knowledge management models for implementation within advanced product quality planning
Knowledge Science, Engineering and Management: 7th International Conference …</t>
  </si>
  <si>
    <t>Establishing Knowledge Management Model of Quality Management Systems for Higher Education Institutions
MFN Mohammad, R Abdullah, MA Jabar… - Global Perspectives on …, 2022 - igi-global.com</t>
  </si>
  <si>
    <t>https://www.igi-global.com/chapter/establishing-knowledge-management-model-of-quality-management-systems-for-higher-education-institutions/288844</t>
  </si>
  <si>
    <t>Igi, Gscholar</t>
  </si>
  <si>
    <t xml:space="preserve">Experiential Learning in Co-Curricular Settings: What are the Professional Implications for Biomedical Engineering Students?
C Jamison - 2022 - </t>
  </si>
  <si>
    <t>deepblue.lib.umich.edu</t>
  </si>
  <si>
    <t>Obstacles in Adopting Lean Thinking at the Driver and Vehicle Licensing Authority in Ghana
K Nyande, S Al-Hassan, D Tuurosong - Ghana Journal of Development …, 2022 - ajol.info</t>
  </si>
  <si>
    <t>https://www.ajol.info/index.php/gjds/article/view/234361</t>
  </si>
  <si>
    <t>Aol, Gscholar</t>
  </si>
  <si>
    <t>ОТ БЕРЕЖЛИВОГО ПРОИЗВОДСТВА К БЕРЕЖЛИВОМУ ГОСУДАРСТВУ: ЭВОЛЮЦИЯ ПРЕДСТАВЛЕНИЙ О БЕРЕЖЛИВОМ УПРАВЛЕНИИ
ОЮ Гусельникова - Инновации и инвестиции, 2022 - cyberleninka.ru</t>
  </si>
  <si>
    <t>https://cyberleninka.ru/article/n/ot-berezhlivogo-proizvodstva-k-berezhlivomu-gosudarstvu-evolyutsiya-predstavleniy-o-berezhlivom-upravlenii</t>
  </si>
  <si>
    <t>Lean Manufacturing and Operational Performance: An Empirical Study on an Apparel Manufacturing Company
PI De Silva, SMC Seneviratne - Journal of Accounting …, 2022 - jurnal.unsyiah.ac.id</t>
  </si>
  <si>
    <t>https://jurnal.unsyiah.ac.id/JAROE/article/view/21660/0</t>
  </si>
  <si>
    <t>Innovating Role of Lean Culture in Health and Safety Management at Construction Sites of Pakistan
A Muhammad - 2022 - thesis.cust.edu.pk</t>
  </si>
  <si>
    <t>https://thesis.cust.edu.pk/UploadedFiles/Aown%20Muhammad%20-%20MCE193002.pdf</t>
  </si>
  <si>
    <t>The impact of a lean philosophy on organisational culture: exploring the cultural change associated with the implementation of lean
D Maguire - 2022 - doras.dcu.ie</t>
  </si>
  <si>
    <t>https://doras.dcu.ie/26561/</t>
  </si>
  <si>
    <t>Juego en realidad virtual “Las 5S de OSSSSSO”
MV Martínez Daruich - 2022 - uvadoc.uva.es</t>
  </si>
  <si>
    <t>https://uvadoc.uva.es/handle/10324/55719</t>
  </si>
  <si>
    <t>Lean-mallin hyödyntäminen julkisen sektorin hallinnollista työtä kehittäessä: tapaus Kunta X
S Gokkoeva - 2022 - oulurepo.oulu.fi</t>
  </si>
  <si>
    <t>https://oulurepo.oulu.fi/handle/10024/21001</t>
  </si>
  <si>
    <t>Alexe, C., Kifor C. V.</t>
  </si>
  <si>
    <t>Managementul integrat al calitatii, editura ULBS</t>
  </si>
  <si>
    <t>Analiza organizaționala realizata în vederea proiectarii sistemului de management al calității
N Rudei - Teoria și practica administrației publice, 2022 - ibn.idsi.md</t>
  </si>
  <si>
    <t>https://scholar.google.com/scholar?oi=bibs&amp;hl=ro&amp;cites=13302572896170814552</t>
  </si>
  <si>
    <t>C Oprean, CV Kifor, O Suciu, C, Alexe C</t>
  </si>
  <si>
    <t>Managementul integrat al calităţii
Editura Academiei Române</t>
  </si>
  <si>
    <t>Ensuring employees' health and safety at work by implementing the ISO 45001 standard
I Todos - ACROSS, 2022 - ibn.idsi.md</t>
  </si>
  <si>
    <t>ACROSS
Numărul 5(1) / 2022 / ISSN - /ISSNe 2602-1463</t>
  </si>
  <si>
    <t>Managementul integrat al calităţii
T DEX-Ş - samro.ro</t>
  </si>
  <si>
    <t>https://scholar.google.com/scholar?as_ylo=2022&amp;hl=ro&amp;as_sdt=2005&amp;sciodt=0,5&amp;cites=13688102020418874809,8053731232093318077,16546350554839142901&amp;scipsc=</t>
  </si>
  <si>
    <t>LG Popescu ULBS), M Zerbes (ULBS), C Kifor</t>
  </si>
  <si>
    <t>Techniques and tools proposed to improve the quality of educational management in Engineering Faculty of the University “Lucian Blaga” Sibiu
Buletinul Universitatii Petrol-Gaze din Ploiesti, Romania</t>
  </si>
  <si>
    <t>IMPROVING THE QUALITY MANAGEMENT SYSTEM IN A UNIVERSITY CULTURAL CENTER IN ROMANIA
LG Popescu - EDULEARN22 Proceedings, 2022 - library.iated.org</t>
  </si>
  <si>
    <t>https://scholar.google.com/scholar?as_ylo=2022&amp;hl=ro&amp;as_sdt=2005&amp;sciodt=0,5&amp;cites=4294992597328546645&amp;scipsc=</t>
  </si>
  <si>
    <t>An IoT-enabled Decision Support System for Circular Economy Business Model, Mboli, Julius S.
Thakker, Dhaval
Mishra, J.</t>
  </si>
  <si>
    <t>https://bradscholars.brad.ac.uk/handle/10454/17768</t>
  </si>
  <si>
    <t>C Oprean, CV Kifor, SC Negulescu, C Candea, L Oprean, S Kifor</t>
  </si>
  <si>
    <t>e Collaborative Decisions–a DSS for Academic Environment
International Journal of Industrial and Manufacturing Engineering 3 (3), 206-212</t>
  </si>
  <si>
    <t>Collaborative decision-making in online education
D Petrescu, D Enache, L Duta - Procedia Computer Science, 2022 - Elsevier</t>
  </si>
  <si>
    <t>https://scholar.google.com/scholar?as_ylo=2022&amp;hl=ro&amp;as_sdt=2005&amp;sciodt=0,5&amp;cites=8725056239917561768&amp;scipsc=</t>
  </si>
  <si>
    <t>Gscholar, Elsevier</t>
  </si>
  <si>
    <t>C Oprean, L Lobonţ, CV Kifor, SC Negulescu</t>
  </si>
  <si>
    <t>How to integrate knowledge and quality in higher education systems
Proceedings of the 3 rd North East Asia International conference on …</t>
  </si>
  <si>
    <t>Study of Knowledge Management Impact on Sustainable Higher Education Institutions: A Business Process Modelling Approach
D Ivana, M Drăgan, M Maftei, U Gӧtze… - Navigating Through the …, 2022 - Springer</t>
  </si>
  <si>
    <t>Perspective chapter: defining and applying the FMEA process method in the field of industrial engineering
CI Pascu, R Malciu, I Dumitru - 2022 - intechopen.com</t>
  </si>
  <si>
    <t>https://scholar.google.com/scholar?as_ylo=2022&amp;hl=ro&amp;as_sdt=2005&amp;sciodt=0,5&amp;cites=2601220005368910480&amp;scipsc=</t>
  </si>
  <si>
    <t>C Oprean (ULBS), CV Kifor, O Suciu (ULBS), C Alexe (ULBS)</t>
  </si>
  <si>
    <t>Managementul integrat al calității
Sibiu, Editura Universității „Lucian Blaga, 77-78</t>
  </si>
  <si>
    <t>Sisteme de management al calității. Note de curs
I ȚURCAN - 2022 - ip-81.180.74.21.utm.renam.md</t>
  </si>
  <si>
    <t>https://scholar.google.com/scholar?as_ylo=2022&amp;hl=ro&amp;as_sdt=2005&amp;sciodt=0,5&amp;cites=5325202550929249068,13839643207499200416&amp;scipsc=</t>
  </si>
  <si>
    <t>C Oprean, C Kifor</t>
  </si>
  <si>
    <t>Process alignment in higher education
Proc. 5th UICEE Annual Conference on Engineering Education. Chennai, India …</t>
  </si>
  <si>
    <t xml:space="preserve"> Инженерная педагогика 2-е изд., испр. и доп. Учебное пособие для вузов
В Кругликов - 2022 - books.google.com</t>
  </si>
  <si>
    <t>https://scholar.google.com/scholar?as_ylo=2022&amp;hl=ro&amp;as_sdt=2005&amp;sciodt=0,5&amp;cites=2260675821848365836&amp;scipsc=</t>
  </si>
  <si>
    <r>
      <rPr>
        <sz val="10"/>
        <color theme="1"/>
        <rFont val="Arial Narrow"/>
      </rPr>
      <t xml:space="preserve">Văcar, Anca (ULBS), </t>
    </r>
    <r>
      <rPr>
        <b/>
        <sz val="10"/>
        <color theme="1"/>
        <rFont val="Arial Narrow"/>
      </rPr>
      <t>Miricescu, Dan</t>
    </r>
    <r>
      <rPr>
        <sz val="10"/>
        <color theme="1"/>
        <rFont val="Arial Narrow"/>
      </rPr>
      <t xml:space="preserve"> (ULBS)</t>
    </r>
  </si>
  <si>
    <r>
      <rPr>
        <i/>
        <sz val="10"/>
        <color theme="1"/>
        <rFont val="Arial Narrow"/>
      </rPr>
      <t>Leadership – A Key Factor to a Succesful Organization – Part II</t>
    </r>
    <r>
      <rPr>
        <sz val="10"/>
        <color theme="1"/>
        <rFont val="Arial Narrow"/>
      </rPr>
      <t xml:space="preserve">
Procedia Economics and Finance, 6(13), 430–435. doi:10.1016/s2212-5671(13)00159-7.</t>
    </r>
  </si>
  <si>
    <r>
      <rPr>
        <sz val="10"/>
        <color theme="1"/>
        <rFont val="Arial Narrow"/>
      </rPr>
      <t xml:space="preserve">Yohanes Susanto, Djatmiko Noviantoro, Sari Sakarina, Yusro Hakimah, Irwan Pancasila -
</t>
    </r>
    <r>
      <rPr>
        <i/>
        <sz val="10"/>
        <color theme="1"/>
        <rFont val="Arial Narrow"/>
      </rPr>
      <t>Sustainability of Micro Business Actors during the COVID-19 Pandemi</t>
    </r>
    <r>
      <rPr>
        <sz val="10"/>
        <color theme="1"/>
        <rFont val="Arial Narrow"/>
      </rPr>
      <t>c
Emerging Science Journal
(ISSN: 2610-9182)
Vol. 6, Special Issue "COVID-19: Emerging Research", 2022</t>
    </r>
  </si>
  <si>
    <t>Sustainability_of_Micro_Business_Actors_during_the.pdf</t>
  </si>
  <si>
    <r>
      <rPr>
        <sz val="10"/>
        <color rgb="FF000000"/>
        <rFont val="Arial Narrow"/>
      </rPr>
      <t xml:space="preserve">Heinisch, M., Jácome, J., </t>
    </r>
    <r>
      <rPr>
        <b/>
        <sz val="10"/>
        <color rgb="FF000000"/>
        <rFont val="Arial Narrow"/>
      </rPr>
      <t xml:space="preserve">Miricescu, D. </t>
    </r>
    <r>
      <rPr>
        <sz val="10"/>
        <color rgb="FF000000"/>
        <rFont val="Arial Narrow"/>
      </rPr>
      <t>(ULBS)</t>
    </r>
  </si>
  <si>
    <r>
      <rPr>
        <i/>
        <sz val="10"/>
        <color rgb="FF000000"/>
        <rFont val="Arial Narrow"/>
      </rPr>
      <t>Current Experience with Application of Metal-based Nanofertilizers</t>
    </r>
    <r>
      <rPr>
        <sz val="10"/>
        <color rgb="FF000000"/>
        <rFont val="Arial Narrow"/>
      </rPr>
      <t>. MATEC Web Conf. 290, 03006. 10.1051/matecconf/201929003006</t>
    </r>
  </si>
  <si>
    <r>
      <rPr>
        <sz val="10"/>
        <color theme="1"/>
        <rFont val="Arial"/>
      </rPr>
      <t>Praveen Kumar -</t>
    </r>
    <r>
      <rPr>
        <i/>
        <sz val="10"/>
        <color theme="1"/>
        <rFont val="Arial"/>
      </rPr>
      <t xml:space="preserve">
Nanomaterial’s synthesis, types and their use in Bioremediation and Agriculture</t>
    </r>
    <r>
      <rPr>
        <sz val="10"/>
        <color theme="1"/>
        <rFont val="Arial"/>
      </rPr>
      <t xml:space="preserve"> - 
Natural Resources for Human Health 2022, 2, 349–365</t>
    </r>
  </si>
  <si>
    <t>(PDF) Nanomaterial’s synthesis, types and their use in Bioremediation and Agriculture (researchgate.net)</t>
  </si>
  <si>
    <r>
      <rPr>
        <sz val="10"/>
        <color theme="1"/>
        <rFont val="Arial Narrow"/>
      </rPr>
      <t xml:space="preserve">Văcar, Anca (ULBS), </t>
    </r>
    <r>
      <rPr>
        <b/>
        <sz val="10"/>
        <color theme="1"/>
        <rFont val="Arial Narrow"/>
      </rPr>
      <t>Miricescu, Dan</t>
    </r>
    <r>
      <rPr>
        <sz val="10"/>
        <color theme="1"/>
        <rFont val="Arial Narrow"/>
      </rPr>
      <t xml:space="preserve"> (ULBS)</t>
    </r>
  </si>
  <si>
    <r>
      <rPr>
        <i/>
        <sz val="10"/>
        <color theme="1"/>
        <rFont val="Arial Narrow"/>
      </rPr>
      <t>Leadership – A Key Factor to a Succesful Organization – Part II</t>
    </r>
    <r>
      <rPr>
        <sz val="10"/>
        <color theme="1"/>
        <rFont val="Arial Narrow"/>
      </rPr>
      <t xml:space="preserve">
Procedia Economics and Finance, 6(13), 430–435. doi:10.1016/s2212-5671(13)00159-7.</t>
    </r>
  </si>
  <si>
    <t>Vivi Candra, Ernest Grace, Marto Silalahi, Efendi, Sudung Simatupang -
Pengaruh Kepemimpinan, Kemampuan Intelektual
Dan Lingkungan Kerja terhadap Kinerja Pegawai
Jurnal Manajemen dan Sains, 7(2), Oktober 2022, 432-440 ISSN 2541-6243 (Online), ISSN 2541-688X (Print), DOI 10.33087/jmas.v7i2.425</t>
  </si>
  <si>
    <t>(PDF) Influența conducerii, a capacității intelectuale și a mediului de lucru asupra performanței angajaților (researchgate.net)</t>
  </si>
  <si>
    <r>
      <rPr>
        <sz val="10"/>
        <color theme="1"/>
        <rFont val="Arial Narrow"/>
      </rPr>
      <t xml:space="preserve">Văcar, Anca (ULBS), </t>
    </r>
    <r>
      <rPr>
        <b/>
        <sz val="10"/>
        <color theme="1"/>
        <rFont val="Arial Narrow"/>
      </rPr>
      <t>Miricescu, Dan</t>
    </r>
    <r>
      <rPr>
        <sz val="10"/>
        <color theme="1"/>
        <rFont val="Arial Narrow"/>
      </rPr>
      <t xml:space="preserve"> (ULBS)</t>
    </r>
  </si>
  <si>
    <r>
      <rPr>
        <i/>
        <sz val="10"/>
        <color theme="1"/>
        <rFont val="Arial Narrow"/>
      </rPr>
      <t>Leadership – A Key Factor to a Succesful Organization – Part II</t>
    </r>
    <r>
      <rPr>
        <sz val="10"/>
        <color theme="1"/>
        <rFont val="Arial Narrow"/>
      </rPr>
      <t xml:space="preserve">
Procedia Economics and Finance, 6(13), 430–435. doi:10.1016/s2212-5671(13)00159-7.</t>
    </r>
  </si>
  <si>
    <t>L BOCIOACĂ, A MARIN -
EFFICIENT LEADERSHIP IN SPORTS VOLUNTEERING
Book of Proceedings of the 11th International Congress of Education, Health and Human Movement, 2021</t>
  </si>
  <si>
    <t xml:space="preserve">https://www.ceeol.com/search/chapter-detail?id=1046887 </t>
  </si>
  <si>
    <r>
      <rPr>
        <b/>
        <sz val="10"/>
        <color rgb="FF000000"/>
        <rFont val="Arial Narrow"/>
      </rPr>
      <t>Miricescu, Dan</t>
    </r>
    <r>
      <rPr>
        <sz val="10"/>
        <color rgb="FF000000"/>
        <rFont val="Arial Narrow"/>
      </rPr>
      <t xml:space="preserve"> (ULBS)</t>
    </r>
  </si>
  <si>
    <r>
      <rPr>
        <i/>
        <sz val="10"/>
        <color rgb="FF000000"/>
        <rFont val="Arial Narrow"/>
      </rPr>
      <t>Study Regarding the Customer Satisfaction Evaluation Considering the Logistics Service Level</t>
    </r>
    <r>
      <rPr>
        <sz val="10"/>
        <color rgb="FF000000"/>
        <rFont val="Arial Narrow"/>
      </rPr>
      <t xml:space="preserve"> - Valahian Journal of Economic Studies, Volume 4(18) Issue 3, 2013</t>
    </r>
  </si>
  <si>
    <r>
      <rPr>
        <sz val="11"/>
        <color theme="1"/>
        <rFont val="Calibri"/>
      </rPr>
      <t xml:space="preserve">Akıl, Siber
</t>
    </r>
    <r>
      <rPr>
        <i/>
        <sz val="11"/>
        <color theme="1"/>
        <rFont val="Calibri"/>
      </rPr>
      <t>Lojistik servis kalitesini belirleyen faktörlerin elektronik ticarette müşteri memnuniyeti ve bağlılığı üzerine etkisi = The effect of factors determining logistics service quality on customer satisfaction and loyalty in electronic commerce</t>
    </r>
    <r>
      <rPr>
        <sz val="11"/>
        <color theme="1"/>
        <rFont val="Calibri"/>
      </rPr>
      <t xml:space="preserve">
T.C.
SAKARYA ÜNİVERSİTESİ
İŞLETME ENSTİTÜSÜ
</t>
    </r>
  </si>
  <si>
    <t>https://acikerisim.sakarya.edu.tr/handle/20.500.12619/98470</t>
  </si>
  <si>
    <r>
      <rPr>
        <sz val="10"/>
        <color rgb="FF000000"/>
        <rFont val="Arial Narrow"/>
      </rPr>
      <t xml:space="preserve">Vlad Bârsan (Continental Romani), Ioan Bondrea (ULBS), </t>
    </r>
    <r>
      <rPr>
        <b/>
        <sz val="10"/>
        <color rgb="FF000000"/>
        <rFont val="Arial Narrow"/>
      </rPr>
      <t>Dan Miricescu</t>
    </r>
    <r>
      <rPr>
        <sz val="10"/>
        <color rgb="FF000000"/>
        <rFont val="Arial Narrow"/>
      </rPr>
      <t xml:space="preserve"> (ULBS), Raluca Roca (ULBS)</t>
    </r>
  </si>
  <si>
    <r>
      <rPr>
        <i/>
        <sz val="10"/>
        <color rgb="FF000000"/>
        <rFont val="Arial Narrow"/>
      </rPr>
      <t>Time and chaos management. The need for better time managing systems</t>
    </r>
    <r>
      <rPr>
        <sz val="10"/>
        <color rgb="FF000000"/>
        <rFont val="Arial Narrow"/>
      </rPr>
      <t xml:space="preserve"> - 2014, Jurnal Land Forces Academy Review, Volumul 19, Numărul 1, Pagini 64</t>
    </r>
  </si>
  <si>
    <r>
      <rPr>
        <sz val="10"/>
        <color rgb="FF000000"/>
        <rFont val="Arial Narrow"/>
      </rPr>
      <t xml:space="preserve">AN Ogunmuyiwa
</t>
    </r>
    <r>
      <rPr>
        <i/>
        <sz val="10"/>
        <color rgb="FF000000"/>
        <rFont val="Arial Narrow"/>
      </rPr>
      <t xml:space="preserve">Strategies for Small-and Medium-Sized Business Growth and Survival
</t>
    </r>
  </si>
  <si>
    <t xml:space="preserve">https://www.proquest.com/openview/0fa79cdda1f594646ed60597b8214d04/1?pq-origsite=gscholar&amp;cbl=18750&amp;diss=y </t>
  </si>
  <si>
    <t>Organizational factors that influence job satisfaction in a company from automotive industry, IOP Conference Series: Materials Science and Engineering 568 (1), 2019, 012005</t>
  </si>
  <si>
    <t>Alexis Shellow, The Relationship between Employee Engagement, Job Satisfaction, and Employee Performance in the Federal Government, Walden University ProQuest Dissertations Publishing,  2022, 29391451</t>
  </si>
  <si>
    <t>https://www.proquest.com/openview/c0828e4a15fd10a5a9e1795a987c51c6/1?pq-origsite=gscholar&amp;cbl=18750&amp;diss=y</t>
  </si>
  <si>
    <t>ProQuest, Google Scholar</t>
  </si>
  <si>
    <t>Methods of project management used in small and medium enterprises. IOP Conference Series: Materials Science and Engineering, 568(1), 2019. DOI:10.1088/1757-
899X/568/1/012029</t>
  </si>
  <si>
    <t>Jiří Koláčný, Quantitative Approach applied in Project Management: A literature review, Workshop specifického výzkumu 2022, Brno University of Technology, Faculty of Business and Management, Czech Republic, ISBN 978-80-214-6142-0, pp. 60-68, https://www.konference.fbm.vutbr.cz/workshop/en/proceedings</t>
  </si>
  <si>
    <t>https://www.konference.fbm.vutbr.cz/workshop/useruploads/files/sbornik/sbornik_workshopu_2022.pdf#page=60</t>
  </si>
  <si>
    <t>Moraru Gina-Maria (ULBS, FING3), Popescu Liliana-Georgeta(ULBS, FING3), Zerbeș Mhai (ULBS, FING3)</t>
  </si>
  <si>
    <t>Modelling of the improving process of education quality in preschools from Romania, International Multidisciplinary Scientific Conference On Social Sciences And Arts SGEM 2015</t>
  </si>
  <si>
    <t>Popescu, L.G., STUDY REGARDING THE IMPROVEMENT OF SERVICES IN PRESCHOOL INSTITUTIONS IN SIBIU COUNTY, EDULEARN22 Proceedings, 2022, pp. 6027-6033, ISBN: 978-84-09-42484-9, ISSN: 2340-1117, doi: 10.21125/edulearn.2022.1418</t>
  </si>
  <si>
    <t>https://library.iated.org/view/POPESCU2022STU</t>
  </si>
  <si>
    <t>Google Scholar, Crossref</t>
  </si>
  <si>
    <t>Strategic management problems in Romanian small and 
medium-sized enterprises. Management and Economics in Engineering, 184, 04015, 2018. https://doi.org/10.1051/matecconf/201818404015</t>
  </si>
  <si>
    <t>Egoavil Estrada, Xiomara Alexandra; Meza Cristobal, Grace - Gestión Estratégica e Innovación empresarial en las Mypes del Rubro Textil, Universidad Cesar Vallejo, Facultad de Ciencias Empresariales, Lima, Peru, 2022</t>
  </si>
  <si>
    <t>https://repositorio.ucv.edu.pe/handle/20.500.12692/108491</t>
  </si>
  <si>
    <t>Teză - Google Scholar</t>
  </si>
  <si>
    <t>OLEKSIK, V., (ULBS) PASCU, A.,(ULBS) GAVRUS, A., (INSA RENNES) OLEKSIK, M. (ULBS)</t>
  </si>
  <si>
    <t>Experimental studies regarding the single point incremental forming process. Academic Journal of Manufacturing Engineering, Vol. 8, No. 2, 2010, ISSN 1583-7904, p. 51-56.</t>
  </si>
  <si>
    <t>BÂRSAN, A. (2022). Studii și cercetări privind utilizarea roboților industriali în procesele de deformare plastică. Universitatea Lucian Blaga din Sibiu, indexată Scholar Google</t>
  </si>
  <si>
    <t>http://digital-library.ulbsibiu.ro/xmlui/handle/123456789/3247</t>
  </si>
  <si>
    <t>Teză de doctorat indexată Scholar Google</t>
  </si>
  <si>
    <t>PASCU, A., OLEKSIK, M., ROSCA, N., AVRIGEAN, E., OLEKSIK, V. (toți ULBS)</t>
  </si>
  <si>
    <t>Experimental studies on uniaxial and echibiaxial tensile tests applied to plastic materials sheets, 35th Danubia Adria Symposium on Advances in Experimental Mechanics Published by Materials Today-Proceedings, 2019, 271-278, https://doi.org/10.1016/j.matpr.2019.03.124, WOS:000468465100014</t>
  </si>
  <si>
    <t>ROȘCA, N. A. (2022). Deformarea incrementală a materialelor polimerice. Teză de doctorat. Universitatea Lucian Blaga din Sibiu, indexată Scholar Google</t>
  </si>
  <si>
    <t>http://digital-library.ulbsibiu.ro/jspui/bitstream/123456789/3379/1/2022-Rosca%20Nicolae%20Alexandru_ro.pdf</t>
  </si>
  <si>
    <t>ROSCA, N., OLEKSIK, M. (ULBS)</t>
  </si>
  <si>
    <t>Simulation of the Single Point Incremental Forming of Polyamide and Polyethylene Sheets, 9th INTERNATIONAL CONFERENCE
ON MANUFACTURING SCIENCE AND EDUCATION -MSE 2019- MATEC Web of Conferences, article number 03014, https://doi.org/10.1051/matecconf/201929003014</t>
  </si>
  <si>
    <t>ROSCA, N., OLEKSIK, V., PASCU, A., OLEKSIK, M., AVRIGEAN, E. (toți ULBS)</t>
  </si>
  <si>
    <t>Optical study for springback prediction, thickness reduction and forces variations on single point incremental forming, (2019), 35th Danubia Adria Symposium on Advances in Experimental Mechanics Published by Materials Today-Proceedings, pp. 213-218, https://doi.org 10.1016/j.matpr.2019.03.116., WOS:000468465100006</t>
  </si>
  <si>
    <t>OLEKSIK, M. (ULBS), DOBROTA, D. (ULBS), TOMESCU, M. (ULBS),  PETRESCU, V. (ULBS)</t>
  </si>
  <si>
    <t>Improving the Performance of Steel Machining Processes through Cutting by Vibration Control, Materials, 14(19), 2021, article number 5712, https://doi.org/10.3390/ma14195712, WOS:000700782700001</t>
  </si>
  <si>
    <t>TOMESCU, M., &amp; IONESCU, C. (2022). ANALYSIS OF THE INFLUENCE OF THE SEATTING ANGLE „α „ON THE VIBRATIONS THAT APPEAR DURING TURNING PROCESSING. Annals of'Constantin Brancusi'University of Targu-Jiu. Engineering Series(4).</t>
  </si>
  <si>
    <t>https://web.p.ebscohost.com/abstract?direct=true&amp;profile=ehost&amp;scope=site&amp;authtype=crawler&amp;jrnl=18424856&amp;AN=160974480&amp;h=0EsdxqqabxZqenysDFQLdLH%2b8Apt4p9zLtZn0Q6sqW78yciCLIB420e3FuThy8FTDwP9jr7Os2hZ3hanmYyUmA%3d%3d&amp;crl=c&amp;resultNs=AdminWebAuth&amp;resultLocal=ErrCrlNotAuth&amp;crlhashurl=login.aspx%3fdirect%3dtrue%26profile%3dehost%26scope%3dsite%26authtype%3dcrawler%26jrnl%3d18424856%26AN%3d160974480</t>
  </si>
  <si>
    <t>Ebsco, DOAJ, Academic Resource Index, Jurnal Seek</t>
  </si>
  <si>
    <t>ROSCA, N., OLEKSIK, M., OLEKSIK, V. (toți ULBS)</t>
  </si>
  <si>
    <t>Experimental Study Regarding PA and PE Sheets on Single Point Incremental Forming Process, 10th International Conference on Manufacturing Science and Education – MSE 2021, MATEC Web Conf. Volume 343, 3009, 2021, https://doi.org/10.1051/matecconf/202134303009</t>
  </si>
  <si>
    <t>ROSCA, N., OLEKSIK, M., ROSCA, L. (toți ULBS)</t>
  </si>
  <si>
    <t>Numerical-Experimental Study Regarding the Single Point Incremental Forming Process, 10th International Conference on Manufacturing Science and Education – MSE 2021, MATEC Web Conf. Volume 343, 3008, 2021, https://doi.org/10.1051/matecconf/202134303008</t>
  </si>
  <si>
    <t>Răzvan Gabriel Pămărac, Radu Emanuil Petruse (ULBS)</t>
  </si>
  <si>
    <t>Study regarding the optimal milling parameters for finishing 3D printed parts from ABS and PLA materials</t>
  </si>
  <si>
    <t>Experimental investigations into abrasive flow machining (AFM) of 3D printed ABS and PLA parts , Nitin Dixit, Varun Sharma, Pradeep Kuma , Rapid Prototyping Journal</t>
  </si>
  <si>
    <t>https://www.emerald.com/insight/content/doi/10.1108/RPJ-01-2021-0013/full/html</t>
  </si>
  <si>
    <t>Emerald Publishing Limited</t>
  </si>
  <si>
    <t>Reconstruction of Orbital Wall by Using Hybrid Manufacturing Operations,  Sergiu Pascu1, Nicolae Balc1 and Adrian Augustin Pop2 , 
IOP Conference Series: Materials Science and Engineering</t>
  </si>
  <si>
    <t>https://iopscience.iop.org/article/10.1088/1757-899X/1268/1/012014/meta</t>
  </si>
  <si>
    <t>IOP Conference Series: Materials Science and Engineering</t>
  </si>
  <si>
    <t>Iniciação do BackOffice do GlarAssist, Pereira, Paulo Santos, Mestrado em Engenharia Informática - Computação Móvel</t>
  </si>
  <si>
    <t>https://iconline.ipleiria.pt/handle/10400.8/8272</t>
  </si>
  <si>
    <t>ESTG - Mestrado em Engenharia Informática - Computação Móvel</t>
  </si>
  <si>
    <t>BIM-Based Framework for Formwork Planning Considering Potential Reuse,  Zhongya Mei meizy@mails.cqjtu.edu.cn, Maozeng Xu xmzzrxhy@cqjtu.edu.cn, Peng Wu peng.wu@curtin.edu.au, Siyu Luo luosiyu@mails.cqjtu.edu.cn, Jun Wang jun.wang@westernsydney.edu.au, and Yi Tan, Journal of Management in EngineeringArchiveVol. 38, No. 2</t>
  </si>
  <si>
    <t>https://ascelibrary.org/doi/abs/10.1061/(ASCE)ME.1943-5479.0001004</t>
  </si>
  <si>
    <t>Journal of Management in Engineering</t>
  </si>
  <si>
    <t>Budde, L., Hänggi, R., Friedli, T., Rüedy, A. (2023). Smart Factory Framework. In: Smart Factory Navigator. Springer, Cham. https://doi.org/10.1007/978-3-031-17254-0_3</t>
  </si>
  <si>
    <t>https://link.springer.com/chapter/10.1007/978-3-031-17254-0_3</t>
  </si>
  <si>
    <t>Heredia Márquez, Arturo - Minado de relaciones interesantes entre objetos con clase y reducción de dimensiones, http://tesis.ipn.mx/handle/123456789/31612</t>
  </si>
  <si>
    <t>https://tesis.ipn.mx/handle/123456789/31612</t>
  </si>
  <si>
    <t>teze de doctorat indexate în Google Scholar</t>
  </si>
  <si>
    <t>D. Kolberg (DFKI), C. Berger (Fraunhofer), B.-C. Pirvu (ULBS, DFKI), M. Franke (BIBA), J. Michniewicz(TUM)</t>
  </si>
  <si>
    <t>CyProF–insights from a framework for designing cyber-physical systems in production environments</t>
  </si>
  <si>
    <t xml:space="preserve">
Dittmer, Patrick - Modellierung cyber-physischer Logistiksysteme in Distributionsprozessen, https://doi.org/10.26092/elib/1602 </t>
  </si>
  <si>
    <t>https://doi.org/10.26092/elib/1602</t>
  </si>
  <si>
    <t>Gina Maria Moraru, Daniela Popa</t>
  </si>
  <si>
    <t>Organizational factors that influence job satisfaction in a company from automotive industry</t>
  </si>
  <si>
    <t>Shellow, Alexis, The Relationship between Employee Engagement, Job Satisfaction, and Employee Performance in the Federal Government</t>
  </si>
  <si>
    <t>https://www.proquest.com/openview/c0828e4a15fd10a5a9e1795a987c51c6/1?cbl=18750&amp;diss=y&amp;pq-origsite=gscholar&amp;parentSessionId=eUWNv%2FFmPeJcgsqe3r0xqwZxIppPwsKa3cde8HnLBe8%3D</t>
  </si>
  <si>
    <t xml:space="preserve">ProQuest, Google Scholar </t>
  </si>
  <si>
    <t>Gina-Maria Moraru, Daniela Popa</t>
  </si>
  <si>
    <t>Proposals for a More Creative Education System</t>
  </si>
  <si>
    <t>GM Moraru, THE IMPORTANCE OF QUALITY MANAGEMENT TOOLS IN SOLVING EDUCATIONAL PROBLEMS,Pages: 4460-4464,  doi: 10.21125/inted.2022.1188</t>
  </si>
  <si>
    <t>https://library.iated.org/view/MORARU2022IMP</t>
  </si>
  <si>
    <t>iated DIGITAL LIBRARY, Google Scholar</t>
  </si>
  <si>
    <t>Strategic management problems in Romanian small and medium-sized enterprises</t>
  </si>
  <si>
    <t>https://repositorio.ucv.edu.pe/bitstream/handle/20.500.12692/108491/Egovail_EXA-Meza_CG-SD.pdf?sequence=1&amp;isAllowed=y</t>
  </si>
  <si>
    <t>Google Scholar (teza)</t>
  </si>
  <si>
    <t>Moraru Gina-Maria , Popa Daniela</t>
  </si>
  <si>
    <t>A. S. M. Touhidul Islam, FRAMEWORK FOR SUCCESSFUL
PROBLEM-SOLVING IN LEAN: A FOCUS
GROUP RESEARCH IN MALAYSIAN
AUTOMOTIVE, MEST Journal</t>
  </si>
  <si>
    <t>mest.meste.org</t>
  </si>
  <si>
    <t>IUGA Maria Virginia (Marquardt), KIFOR Claudiu Vasile (ULBS), ROSCA Liviu-Ion (ULBS)</t>
  </si>
  <si>
    <t>Lean information management: Criteria for selecting key performance indicators at shop floor</t>
  </si>
  <si>
    <t xml:space="preserve">C Cruz Villazón, Lean project management an application in reserch and technological development (RTD) projects, </t>
  </si>
  <si>
    <t>addi.ehu.es    http://hdl.handle.net/10810/57282</t>
  </si>
  <si>
    <t xml:space="preserve">Müller, Marvin (2022): Verbesserung des Abweichungsmanagement im digitalen Shopfloor Management durch Natural Language Processing, Verbesserung des Abweichungsmanagement im digitalen Shopfloor Management durch Natural Language Processing. (Publisher's Version)
Darmstadt, Technische Universität,
DOI: 10.26083/tuprints-00021514, </t>
  </si>
  <si>
    <t xml:space="preserve">Parshawanath Jain, Poorvaj - Comprehensive Cost Modeling and Analysis for a Lean Additive Manufacturing Unit at Sandvik, </t>
  </si>
  <si>
    <t>https://www.diva-portal.org/smash/record.jsf?pid=diva2%3A1706162&amp;dswid=4609</t>
  </si>
  <si>
    <t>Julio Cesar Melo, Isidoro Rays Filho, Bruno Fonseca Guerra, Jorge Muniz Junior - PREPARAÇÃO DOS TRABALHADORES PARA A I4.0: REVISÃO SISTEMÁTICA DA LITERATURA, JM Junior - Exacta, 2022</t>
  </si>
  <si>
    <t>https://periodicos.uninove.br/exacta/article/view/21905</t>
  </si>
  <si>
    <t>Valentin Oleksik (ULBS), Adrian Pascu (ULBS), Ioan Bondrea (ULBS), Eugen Avrigean (ULBS), Liviu Rosca (ULBS)</t>
  </si>
  <si>
    <t>Comparative study for springback prediction on single point incremental forming process</t>
  </si>
  <si>
    <t>H Schmid - Ganzheitliche Erarbeitung eines Prozessverständnisses von Tiefziehprozessen mit Ziehsicken auf Basis mechanischer und tribologischer Analysen, Friedrich-Alexander-Universität Erlangen-Nürnberg (FAU), Technische Fakultät</t>
  </si>
  <si>
    <t>opus4.kobv.de  
https://opus4.kobv.de/opus4-fau/frontdoor/index/index/docId/20139</t>
  </si>
  <si>
    <t>M Szpunar, M Balcerzak, K Żaba - Shape Accuracy in Single Point Incremental Forming of Conical Frustums from Titanium CP2 Sheets, Advances in Mechanical and Materials Engineering, 2022</t>
  </si>
  <si>
    <t>https://journals.prz.edu.pl/amme/article/view/661</t>
  </si>
  <si>
    <t>N Rosca (ULBS), M Oleksik (ULBS), L Rosca (ULBS)</t>
  </si>
  <si>
    <t>Numerical-Experimental Study Regarding the Single Point Incremental Forming Process</t>
  </si>
  <si>
    <t xml:space="preserve">NA Roșca - Deformarea incrementală a materialelor polimerice, </t>
  </si>
  <si>
    <t>https://www.proquest.com/openview/4a966b64d8aca9dd144076223a9471f6/1?pq-origsite=gscholar&amp;cbl=18750&amp;diss=y</t>
  </si>
  <si>
    <t>Savescu, RF (ULBS), Laba, M (CCC)</t>
  </si>
  <si>
    <t>Multivariate regression analysis applied to the calibration of equipment used in pig meat classification in Romania</t>
  </si>
  <si>
    <t>Pig Carcass Quality Evolution in Romania, LADOŞI, Ioan I.; VIŞAN, Mihai; CĂLIANU, Paula; LADOŞI, Daniela, Bulletin of the University of Agricultural Sciences &amp; Veterinary Medicine Cluj-Napoca. Animal Science &amp; Biotechnologies . 2022, Vol. 79 Issue 2, p1-8. 8p.</t>
  </si>
  <si>
    <t>https://web.s.ebscohost.com/abstract?direct=true&amp;profile=ehost&amp;scope=site&amp;authtype=crawler&amp;jrnl=18435262&amp;AN=160856568&amp;h=SZVbbRADoGox15LrCbTShPbjcZTdmsPWwFkE4GM%2bhBK3BWf%2fgcLWkNfkF637k2pWdhoGTVYO5qgJF6q%2b%2fSF9AQ%3d%3d&amp;crl=c&amp;resultNs=AdminWebAuth&amp;resultLocal=ErrCrlNotAuth&amp;crlhashurl=login.aspx%3fdirect%3dtrue%26profile%3dehost%26scope%3dsite%26authtype%3dcrawler%26jrnl%3d18435262%26AN%3d160856568</t>
  </si>
  <si>
    <t>EBSCO's databases</t>
  </si>
  <si>
    <t>Thavornwat, C., Jongwuttanaruk, kaona, Development of Measurement Tools A Case Study Automotive Wire Harness Manufacturer. Journal of Engineering, RMUTT, 20(1), 2022</t>
  </si>
  <si>
    <t>https://ph01.tci-thaijo.org/index.php/jermutt/article/view/247461</t>
  </si>
  <si>
    <t>Journal of Engineering, RMUTT</t>
  </si>
  <si>
    <r>
      <rPr>
        <sz val="9"/>
        <color rgb="FF000000"/>
        <rFont val="Times New Roman"/>
      </rPr>
      <t xml:space="preserve">Andreea Angela STETIU, Adela DANCILA, M. MITARIU, B. SERB, Mihaela CERNUSCA MITARIU, Alina ORMENISAN, H. M. BARBU, Raluca Monica COMANEANU, </t>
    </r>
    <r>
      <rPr>
        <b/>
        <sz val="9"/>
        <color rgb="FF000000"/>
        <rFont val="Times New Roman"/>
      </rPr>
      <t>M. STETIU</t>
    </r>
  </si>
  <si>
    <t>Nurvita Risdiana, Urfi Aidina. The Oral Health Status, Salivary Flow Rate and pH in Diabetic Patients. Proceedings of the International Conference on Sustainable Innovation on Health Sciences and Nursing (ICOSI-HSN 2022). https://doi.org/10.2991/978-94-6463-070-1_30</t>
  </si>
  <si>
    <t>https://www.atlantis-press.com/proceedings/icosi-hsn-22/125980079</t>
  </si>
  <si>
    <t>google</t>
  </si>
  <si>
    <t xml:space="preserve">T.I.Bodoasca (cadru didactic pensionat), LITarnu </t>
  </si>
  <si>
    <t>Intellectual property law</t>
  </si>
  <si>
    <t xml:space="preserve">Stan, Al., QUOTATION AND USE OF THE RIGHT TO QUOTE IN DOCTORAL THESES. QUOTATION SYSTEMS USED IN SCIENTIFIC WORKS IN THE FIELD OF LAW, Bucuresti, 2022, pg 536-543, </t>
  </si>
  <si>
    <t>https://www.proquest.com/openview/0e82b25cb7589917c3d9d6b9d104cf9d/1?pq-origsite=gscholar&amp;cbl=2036059</t>
  </si>
  <si>
    <t>procuest</t>
  </si>
  <si>
    <t>Bayev, V. V., Bakhov, I. S., Mirzodaieva, T. V., Rozmetova, O., &amp; Boretskaya, N. (2022). Theoretical and methodological fundamentals of the modern paradigm of quality management in the field of tourism. Journal of Environmental Management &amp; Tourism, 13(2), 338-345.</t>
  </si>
  <si>
    <t>https://www.proquest.com/openview/690fc8bb0927f100c6f685243d7064c6/1?pq-origsite=gscholar&amp;cbl=466419</t>
  </si>
  <si>
    <t>Proquest, Google Scholar</t>
  </si>
  <si>
    <t>Demirbilek, M. (2022). Örgütsel İyileştirme ve Örgütsel Sağlık. International Journal of Management and Administration, 6(11), 61-86.</t>
  </si>
  <si>
    <t>https://www.ceeol.com/search/article-detail?id=1049439</t>
  </si>
  <si>
    <t>Alenezi, O. Y. (2022). University leadership styles using the Kaizen approach. Amazonia Investiga, 11(50), 109-121.</t>
  </si>
  <si>
    <t>https://amazoniainvestiga.info/index.php/amazonia/article/view/1910</t>
  </si>
  <si>
    <t>Setyaningsih, Y., Ekawati, E., &amp; Wahyuni, I. (2022). Efforts to Control Work Environment Hazards Based on 5S Principles for Smoked Fish Workers. In BIO Web of Conferences (Vol. 54, p. 00006). EDP Sciences.</t>
  </si>
  <si>
    <t>https://www.bio-conferences.org/articles/bioconf/abs/2022/13/bioconf_icophtcd2022_00006/bioconf_icophtcd2022_00006.html</t>
  </si>
  <si>
    <t>Güldoğan, A. (2022). Iso 9001 Kalite Yönetim Sistemine Sahip Olan İşletmelerde Sürekli İyileştirmenin Üretim Performansı ve İşletme Performansına Etkisi: Konya Organize Sanayi Bölgesinde Bir Araştırma (Master's thesis, Necmettin Erbakan Üniversitesi Fen Bilimleri Enstitüsü).</t>
  </si>
  <si>
    <t>https://acikerisim.erbakan.edu.tr/xmlui/handle/20.500.12452/8628</t>
  </si>
  <si>
    <t>Sam, M. F. M., Suprapto, B., &amp; Bakar, K. A. (2022). Application of Lean Manufacturing Tools: The Impact on Kaizen and Product Defection in Packaging Companies. In Intelligent Manufacturing and Mechatronics: Proceedings of SympoSIMM 2021 (pp. 424-433). Singapore: Springer Nature Singapore.</t>
  </si>
  <si>
    <t>https://link.springer.com/chapter/10.1007/978-981-16-8954-3_40</t>
  </si>
  <si>
    <t>Google Scholar, Springer</t>
  </si>
  <si>
    <t>Juwitasari, R., &amp; Miyake, Y. (2022). Sustainability Development and Kaizen Implementation for Vocational Education from Japan’s ODA in Thailand: How It Works and Impacts?. Journal of Community Development Research (Humanities and Social Sciences), 15(3), 39-54.</t>
  </si>
  <si>
    <t>https://www.journal.nu.ac.th/JCDR/article/view/Vol-15-No-3-2022-39-54</t>
  </si>
  <si>
    <t>Krhač Andrašec, E. (2022). Vpliv uporabe metod in tehnik izboljševanja poslovnih procesov na učinkovitost organizacijskih sistemov (Doctoral dissertation, Univerza v Mariboru, Fakulteta za organizacijske vede).</t>
  </si>
  <si>
    <t>https://dk.um.si/IzpisGradiva.php?id=82145</t>
  </si>
  <si>
    <t>Vaičiūnienė, V. (2022). Lean metodų pritaikymo surinkimo linijos našumui didinti tyrimas (Doctoral dissertation, Kauno technologijos universitetas).</t>
  </si>
  <si>
    <t>https://epubl.ktu.edu/object/elaba:116445207/</t>
  </si>
  <si>
    <t>Pinto, V. F. A. (2022). Melhoria contínua na gestão de armazéns: o caso da Roca, SA (Doctoral dissertation).</t>
  </si>
  <si>
    <t>https://comum.rcaap.pt/handle/10400.26/40375</t>
  </si>
  <si>
    <t>Abdoulaye, S. O. (2022). Evolution des perceptions du personnel au cours de la mise en œuvre de l’approche 5S-Kaizen-ISO 9001 en consultation externe au centre hospitalier universitaire de Tingandogo. REVUE AFRICAINE DE MANAGEMENT, 1(7).</t>
  </si>
  <si>
    <t>https://revues.imist.ma/index.php/RAM/article/view/27300</t>
  </si>
  <si>
    <t>Aiasreh, O., &amp; Ababneh, S. (2022). The Degree of Jordanian Secondary School Principals' Practice of Visual Management from the Teachers' Point of View. Dirasat: Educational Sciences, 49(1), 52-67.</t>
  </si>
  <si>
    <t>https://dsr.ju.edu.jo/djournals/index.php/Edu/article/view/703</t>
  </si>
  <si>
    <t>Chotaliya, M., KAIZEN TECHNIQUES: A LITERATURE REVIEW, International Journal of Current Research Vol. 14, Issue, 01, pp.20325-20329, January, 2022
DOI: https://doi.org/10.24941/ijcr.42900.01.2022</t>
  </si>
  <si>
    <t>https://doi.org/10.24941/ijcr.42900.01.2022</t>
  </si>
  <si>
    <t>Kurnaz, S. Ç., &amp; Kurnaz, A. (2022). Major Challenges for EU Tourism Policy. Acta Universitatis Danubius. Relationes Internationales, 15(1).</t>
  </si>
  <si>
    <t>https://www.ceeol.com/search/article-detail?id=1062464</t>
  </si>
  <si>
    <t>Korinth, B. (2022). The impact of border restrictions related to the COVID-19 pandemic on the intensity of international tourist traffic in European reception countries. GeoJournal of Tourism and Geosites, 43(3).</t>
  </si>
  <si>
    <t>https://repozytorium.bg.ug.edu.pl/info/article/UOGc175002f91ff4fd6a2968ef63eaf88e6/</t>
  </si>
  <si>
    <t xml:space="preserve">WANI, G. A., NAGARAJ, V., &amp; MALIK, S. H. (2022). An Empirical Analysis of Tourism Services in Kashmir Valley. Revista de turism-studii si cercetari in turism, (33).
ISO 690	</t>
  </si>
  <si>
    <t>http://revistadeturism.ro/rdt/article/view/571</t>
  </si>
  <si>
    <t>Adabi, G., Hajiha, A., &amp; Hosseinzadeh Lotfi, F. (2022). Designing a tourism industry model in Iran with the approach of the spatial correlation structure. Journal of Industrial Engineering and Management Studies, 8(2), 261-276.</t>
  </si>
  <si>
    <t>http://jiems.icms.ac.ir/article_138866_ef88a96bab9ae2777c588ab71c247642.pdf</t>
  </si>
  <si>
    <t>Nguyen, X. D., &amp; Pham, A. H. (2022). Perception Of Tourists With Smart Tourism Technology Towards Behavioral Intentions: Evidence From Vietnam Customers. Review of International Geographical Education Online, 12(1).</t>
  </si>
  <si>
    <t>https://web.p.ebscohost.com/abstract?direct=true&amp;profile=ehost&amp;scope=site&amp;authtype=crawler&amp;jrnl=21460353&amp;AN=155786013&amp;h=Z0XkSjCQl1dY2NO5PaJ3VX9Bsq3EpnK7yPGLhE9hN69kHldzjL8Hf0ds9wbuFAasbefVQhYmBlWw0fyaa4Svtw%3d%3d&amp;crl=f&amp;resultNs=AdminWebAuth&amp;resultLocal=ErrCrlNotAuth&amp;crlhashurl=login.aspx%3fdirect%3dtrue%26profile%3dehost%26scope%3dsite%26authtype%3dcrawler%26jrnl%3d21460353%26AN%3d155786013</t>
  </si>
  <si>
    <t>Google Scholar, Ebsco</t>
  </si>
  <si>
    <t>Sin, C. Y., Mohamad, A. A., Chiun, L. M., Suaidi, M. K., &amp; Tong, H. S. (2022). Determinants Of Destination Image And Competitiveness In Sibu Heritage Trail: A PLS-SEM Approach. Studies of Applied Economics, 40(1).</t>
  </si>
  <si>
    <t>https://ojs.ual.es/ojs/index.php/eea/article/view/4671</t>
  </si>
  <si>
    <t>Heydari, M., &amp; Rasouli, M. (2022). Explaining the loyalty of tourism in Zanjan province with a futuristic approach. Journal of Tourism Planning and Development, 11(40), 133-159.</t>
  </si>
  <si>
    <t>https://tourismpd.journals.umz.ac.ir/article_3640.html?lang=en</t>
  </si>
  <si>
    <t>Tamulevičius, T. (2022). Role of innovative mobile based technology in tourism service transformation.</t>
  </si>
  <si>
    <t>https://vb.smk.lt/object/elaba:152895234/</t>
  </si>
  <si>
    <t>Cao, Y., &amp; Yang, F. (2022). RESEARCH PROGRESS AND TREND OF TOURISM SERVICE QUALITY MANAGEMENT BASED ON CITESPACE. IETI Transactions on Social Sciences and Humanities, 17, 53-63.</t>
  </si>
  <si>
    <t>https://paper.ieti.net/ssh/2022Volume17/07.pdf</t>
  </si>
  <si>
    <t>Lian, K., Feng, H., Liu, S., Wang, K., Liu, Q., Deng, L., ... &amp; Liu, G. (2022). Insulin quantification towards early diagnosis of prediabetes/diabetes. Biosensors and Bioelectronics, 114029.</t>
  </si>
  <si>
    <t>https://www.sciencedirect.com/science/article/abs/pii/S0956566322000690?casa_token=DSJHOC2LcnoAAAAA:v12pH1Jk3LrnwmfSuFx5N16O6EzK80VheWFKe3r0CnkV3CjBlqmVa3igR0oFpRBZMA_oBXgUMbw</t>
  </si>
  <si>
    <t>Google Scholar, Elsevier</t>
  </si>
  <si>
    <t>Zhong, X., Wang, F., Zeng, D., Chen, Y., &amp; Wang, S. (2022). Study on the Effect of Different Endoscopic Auxiliary Treatment of Gastric Mucosal Microtumor. Evidence-Based Complementary and Alternative Medicine, 2022.</t>
  </si>
  <si>
    <t>https://www.hindawi.com/journals/ecam/2022/2557952/</t>
  </si>
  <si>
    <t>PLOEGAERTS, G., MAMANE, O. S., DUBOIS, V., &amp; NATATOU, I. (2022). Modelling of the kinetics adsorption of gold (I) cyanide complex ion by active carbons prepared from Parinari macrophylla shells. World Journal of Advanced Research and Reviews, 15(3), 394-406.</t>
  </si>
  <si>
    <t>https://wjarr.com/content/modelling-kinetics-adsorption-gold-i-cyanide-complex-ion-active-carbons-prepared-parinari</t>
  </si>
  <si>
    <t>Jahanafarin, A., Nazari, O., Hamidi, P., Poorhasan, Z., &amp; Shafaei, B. S. (2022). Design and Applications of Mesoporous Silica Nanoparticle loaded Copper as a Colorimetric Sensor for glutathione detection.</t>
  </si>
  <si>
    <t>https://assets.researchsquare.com/files/rs-2126392/v1/307eb0dd-9814-480f-8fb0-c5f6b719c2e3.pdf?c=1665490489</t>
  </si>
  <si>
    <t>Bukhari, A. (2022). Design of chitosan based acrylic polymer as a carrier for water soluble drug. Egyptian Journal of Chemistry, 65(5), 657-664.</t>
  </si>
  <si>
    <t>https://ejchem.journals.ekb.eg/article_205185.html</t>
  </si>
  <si>
    <t>Сурилов, М. Н. (2022). ПРЕОБРАЗОВАНИЯ СИСТЕМЫ ПУБЛИЧНОГО УПРАВЛЕНИЯ В УСЛОВИЯХ НАУЧНО-ТЕХНОЛОГИЧЕСКОЙ ИНТЕГРАЦИИ7. Проблемы и перспективы развития научно-технологического простран, 104.</t>
  </si>
  <si>
    <t>https://books.google.ro/books?hl=ro&amp;lr=&amp;id=2ze8DwAAQBAJ&amp;oi=fnd&amp;pg=PA104&amp;ots=vyIOiC-IBG&amp;sig=H9TdEgIXHvoW3zNValnIZ1jyFnU&amp;redir_esc=y#v=onepage&amp;q&amp;f=false</t>
  </si>
  <si>
    <t>Innovation–A challenge for the 21st century managers</t>
  </si>
  <si>
    <t>Villasana-Arreguín, L. (2022). Capítulo 11. La permanencia de las organizaciones y su relación con la innovación. EL RETO DE LA MULTIMODALIDAD Y LA TRANSVERSALIDAD EN LA ERA DIGITAL Y LOS TIEMPOS DE PANDEMIA, 159.</t>
  </si>
  <si>
    <t>https://www.researchgate.net/profile/Armando-Sanchez-Macias/publication/359826939_El_reto_de_la_multimodalidad_y_la_transversalidad_en_la_era_digital_y_los_tiempos_de_pandemia/links/625056b94f88c3119cea2173/El-reto-de-la-multimodalidad-y-la-transversalidad-en-la-era-digital-y-los-tiempos-de-pandemia.pdf#page=166</t>
  </si>
  <si>
    <t>Continuous quality improvement in modern organizations Trough Kaizen management</t>
  </si>
  <si>
    <t>Hosny, S., ElDawy, N., &amp; Ashraf, O. (2022). The reality of continuous improvement of education technology in the light of the methodology kaizen. International Journal of Sports Science and Arts, 20(1), 86-101.</t>
  </si>
  <si>
    <t>https://eijssa.journals.ekb.eg/article_278965.html</t>
  </si>
  <si>
    <t>Țîțu, M. (ULBS), Oprean C. (ULBS), Stan, S (ULBS), Țîțu, Ș. (UMF Cluj)</t>
  </si>
  <si>
    <t>The place and role of intellectual property policies in an advanced scientific research and education university</t>
  </si>
  <si>
    <t>Ravi, R., &amp; Janodia, M. D. (2022). Assessment of awareness on IPR activities among Indian academics–a cross-sectional study. Journal of Science and Technology Policy Management, (ahead-of-print).</t>
  </si>
  <si>
    <t>https://www.emerald.com/insight/content/doi/10.1108/JSTPM-01-2022-0003/full/html</t>
  </si>
  <si>
    <t>Trencheva, T., Denchev, S., &amp; Gantchev, D. (2022). INTELLECTUAL PROPERTY AS A PART OF INFORMATION LITERACY AT THE UNIVERSITY ENVIRONMENT: SURVEY METHODOLOGY AND RESULTS. In INTED2022 Proceedings (pp. 4183-4192). IATED.</t>
  </si>
  <si>
    <t>https://library.iated.org/view/TRENCHEVA2022INT</t>
  </si>
  <si>
    <t>Gargate, G. A., Chowdhury, A. R., &amp; Jain, K. (2022). IP Policy Framework-A Tool for IP Policy Development.</t>
  </si>
  <si>
    <t>https://nopr.niscpr.res.in/handle/123456789/60453</t>
  </si>
  <si>
    <t>Țîțu, M. (ULBS), Vlad, A. (ULBS)</t>
  </si>
  <si>
    <t>Quality Indicators in Reference to the Evaluation of the Quality Management of Services in Local Public Administration</t>
  </si>
  <si>
    <t>Ismail, G., Ziyadin, S., Zhuparova, A., &amp; Doszhan, R. (2022). Digital Transformation as a Driver of Improvement Government Efficiency. In Digital Transformation in Sustainable Value Chains and Innovative Infrastructures (pp. 165-176). Cham: Springer International Publishing.</t>
  </si>
  <si>
    <t>https://link.springer.com/chapter/10.1007/978-3-031-07067-9_15</t>
  </si>
  <si>
    <t>Fachrudin, K. A., Siahaan, E., &amp; Pane, I. F. (2022, February). Understanding the Importance of Financial Strength and Emotional Intelligence of Employees at the Regional Tax and Retribution Board and the Capital Investment Agency of Medan City. In Second International Conference on Public Policy, Social Computing and Development (ICOPOSDEV 2021) (pp. 379-382). Atlantis Press.</t>
  </si>
  <si>
    <t>https://www.atlantis-press.com/proceedings/icoposdev-21/125970400</t>
  </si>
  <si>
    <t>Raulea, A.S.(ULBS), Oprean, C. (ULBS), Țîțu, M.(ULBS)</t>
  </si>
  <si>
    <t>The Role of Universities in the Knowledge based Society</t>
  </si>
  <si>
    <t>Romero-Galisteo, R. P., González-Sánchez, M., Gálvez-Ruiz, P., Palomo-Carrión, R., Casuso-Holgado, M. J., &amp; Pinero-Pinto, E. (2022). Entrepreneurial intention, expectations of success and self-efficacy in undergraduate students of health sciences. BMC Medical Education, 22(1), 1-7.</t>
  </si>
  <si>
    <t>https://bmcmededuc.biomedcentral.com/articles/10.1186/s12909-022-03731-x</t>
  </si>
  <si>
    <t>Pop, A.B. (SC Tehnocad SA), Țîțu, M. (ULBS), Oprean, C. (ULBS), Țîțu, Ș. (UMF Cluj)</t>
  </si>
  <si>
    <t>Applying Experimental Research Management to a Technological Process using Taguchi's Method</t>
  </si>
  <si>
    <t>Tafaoli-Masoule, M., Shakeri, M., Zahedi, S. A., &amp; Vaezi, M. (2022). Experimental investigation of process parameters in polyether ether ketone 3D printing. Proceedings of the Institution of Mechanical Engineers, Part E: Journal of Process Mechanical Engineering, 09544089221141554.</t>
  </si>
  <si>
    <t>https://journals.sagepub.com/doi/abs/10.1177/09544089221141554</t>
  </si>
  <si>
    <t>Liang, Y., Peng, Z., Xie, H., &amp; Feng, X. (2022, August). Fusion Method of Power Customer Data Model and Power Grid Asset Equipment Business Data Model. In 2022 International Conference on Artificial Intelligence in Everything (AIE) (pp. 258-262). IEEE.</t>
  </si>
  <si>
    <t>https://ieeexplore.ieee.org/abstract/document/9898763</t>
  </si>
  <si>
    <t>Țîțu, M. (ULBS), Stanciu, A. (HP Romania), Țîțu, Ș. (IOCN)</t>
  </si>
  <si>
    <t>Business Process Outsourcing. Integrity in an era of digital transformation</t>
  </si>
  <si>
    <t>Nazir, S., &amp; Khan, H. H. (2022). Technological Change and Decision of Make-or-Buy in Developing Economy. Journal of Managerial Sciences, 16(1), 130-146.</t>
  </si>
  <si>
    <t>https://journals.qurtuba.edu.pk/ojs/index.php/jms/article/view/436</t>
  </si>
  <si>
    <t>Țîțu, M. (ULBS), Pîrnău, C. (ULBS), Țîțu, Ș. (UMF Cluj), Răulea, A.S. (ULBS)</t>
  </si>
  <si>
    <t>The role of regional eco-bio-economic clusters in the sustainable development of small and medium enterprises</t>
  </si>
  <si>
    <t>Hyk, V., Vysochan, O., &amp; Vysochan, O. (2022). Analysis of the relationship between the state of cluster development and sustainable growth: evidence from European countries. Eastern Journal of European Studies, 13, 246-262.</t>
  </si>
  <si>
    <t>https://ejes.uaic.ro/articles/EJES2022_1302_HYK.pdf</t>
  </si>
  <si>
    <t xml:space="preserve">Țîțu, A. M.(ULBS), Pop, A. B.(UTCN), Nabiałek, M.(Częstochowa University of Technology), Dragomir, C. C. (UTCN), Sandu, A. V.(Gh Asachi Univ Iasi) </t>
  </si>
  <si>
    <t>Experimental modeling of the milling process of aluminum alloys used in the aerospace industry</t>
  </si>
  <si>
    <t>Staszuk, M. Investigations of CrN/TiO2 coatings obtained in a hybrid PVD/ALD method on Al-Si-Cu alloy substrate. Bulletin of the Polish Academy of Sciences: Technical Sciences, e144622-e144622.</t>
  </si>
  <si>
    <t>https://journals.pan.pl/Content/126607/PDF/BPASTS-3313-EA.pdf</t>
  </si>
  <si>
    <t xml:space="preserve">Cupşan, V. C.(SC UAC BM), Țîţu, M. (ULBS), Pop, G. I.(SC UAC BM) </t>
  </si>
  <si>
    <t>Enhancements to Failure Mode and Effects Analysis (FMEA) Method, Aiming to Improve Risk Management in the Knowledge-Based Organizations</t>
  </si>
  <si>
    <t>Chouhan, M. T. S. D., &amp; Upadhayay, V. (2022). Failure Mode and Effect Analysis. International Journal of Scientific Research &amp; Engineering Trends
Volume 8, Issue 1, Jan-Feb-2022, ISSN (Online): 2395-566X</t>
  </si>
  <si>
    <t>https://ijsret.com/wp-content/uploads/2022/01/IJSRET_V8_issue1_139.pdf</t>
  </si>
  <si>
    <t>Hosseinpour, M., Rezaee, B., Bakhsham, M., &amp; Karimi, H. (2022). Designing a Model of Creation and Development of Knowledge-Based Companies Using Qualitative Approach Grounded Theory in the City of Kermanshah. Karafan Quarterly Scientific Journal, 19(2), 653-680.</t>
  </si>
  <si>
    <t>https://karafan.tvu.ac.ir/article_129162.html?lang=en</t>
  </si>
  <si>
    <t>Pop, A. B. (SC Tehnocad SA), Pop, G. I. (SC UAC BM), Țîțu, M. (ULBS)</t>
  </si>
  <si>
    <t>The Design and the Process Technology of a Rotational Mold</t>
  </si>
  <si>
    <t>Toman, F. (2022). Mechanické vlastnosti a chemická stálost Polyamidů PA 6, PA11, PA12, v závislosti na jejich zpracování.</t>
  </si>
  <si>
    <t>https://dk.upce.cz/handle/10195/79589</t>
  </si>
  <si>
    <t>Google Scholar,</t>
  </si>
  <si>
    <t>Pop, A. B. (SC Tehnocad SA), Ceocea, C. (Vasile Alecasndri University of Bacau), Stan, S.E.(AFT Sibiu), Ţîţu, M. (ULBS)</t>
  </si>
  <si>
    <t>Research on the use of Taguchi's method to model the milling process of some metal materials</t>
  </si>
  <si>
    <t>Condrea, I., Oroian, B., &amp; Botezatu, C. (2022). Utilizarea modelării matriceale corespunzătoare metodei taguchi pentru studiul rugozității suprafeței rezultate la frezare. In Conferinţa tehnico-ştiinţifică a studenţilor, masteranzilor şi doctoranzilor (Vol. 1, pp. 633-637).</t>
  </si>
  <si>
    <t>https://ibn.idsi.md/vizualizare_articol/161891</t>
  </si>
  <si>
    <t xml:space="preserve">Ţîţu, M. (ULBS), Pop, A.B. (SC Tehnocad SA), Ţîţu, Ş. (IOCN), Pop, G. I. (SC UAC BM) </t>
  </si>
  <si>
    <t>Optimization of the objective function–surface quality by end-milling dimensional machining of some aluminum alloys</t>
  </si>
  <si>
    <t>Dmitrievna, M. L. (2022, April). Residual relief analysis during milling process using surface modeling. In AIP Conference Proceedings (Vol. 2383, No. 1, p. 040009). AIP Publishing LLC.</t>
  </si>
  <si>
    <t>https://aip.scitation.org/doi/abs/10.1063/5.0074564</t>
  </si>
  <si>
    <t>Tertereanu, P.(PhD), Țîțu, M. (ULBS)</t>
  </si>
  <si>
    <t>Information analysis management in correlation with the standard intelligence model versus the specific model strategic analysis</t>
  </si>
  <si>
    <t>Pérez Llorca, R. A. (2022). Interoperabilidad y su incidencia en la inteligencia policial en una entidad del sector público, Lima 2022.</t>
  </si>
  <si>
    <t>https://repositorio.ucv.edu.pe/handle/20.500.12692/95775</t>
  </si>
  <si>
    <t>K., Handon, J., Mincheol, Indoor Temperature Analysis by Point According to Facility Operation of IoT-based
Vertical Smart Farm, Korean Journal of Construction Engineering and Management, Volume 23 Issue 1, Pages.98-105, 2022</t>
  </si>
  <si>
    <t>http://journal.auric.kr/kjcem/ArticleDetail/RD_R/411787</t>
  </si>
  <si>
    <t>SCHOLAR</t>
  </si>
  <si>
    <t>Arun Solanki, Sandhya Tarar, Simar Preet Singh, Akash Tayal, The Internet of Drones: AI Applications for Smart Solutions, CRC Press, 2022</t>
  </si>
  <si>
    <t>https://books.google.ro/books?lr=&amp;hl=ro&amp;id=nAqCEAAAQBAJ&amp;q=%22Bogdan%2C+M%22#v=snippet&amp;q=%22Bogdan%2C%20M%22&amp;f=false</t>
  </si>
  <si>
    <t>SCHOLAR, Researchgate</t>
  </si>
  <si>
    <t>Zhengxu Li, Implementation of multivariate statistical
techniques for prediction of energy use, TFG EN ENGINYERIA DADES, ESCOLA D’ENGINYERIA (EE), UNIVERSITAT AUTONOMA DE BARCELONA (UAB), June of 2022</t>
  </si>
  <si>
    <t>https://ddd.uab.cat/pub/tfg/2021/tfg_201579/Informe_Final.pdf</t>
  </si>
  <si>
    <t>Msimbe Hamisi, Development of industrial IoT based monitoring and control system for radio
broadcasting network in Tanzania: a
case of Tanzania broadcasting corporation, Computational and Communication Science Engineering, Masters Theses and Dissertations, 2022-07</t>
  </si>
  <si>
    <t>http://dspace.nm-aist.ac.tz/bitstream/handle/20.500.12479/1590/MSc_EMoS_Hamisi_Msimbe_2022.pdf?sequence=1&amp;isAllowed=y</t>
  </si>
  <si>
    <t>Hendajani F., Mughni A., Modeling Automatic Room Temperature and Humidity Monitoring System with Fan Control on the Internet of Things, ComTech: Computer, Mathematics and Engineering Applications, 13(2), December 2022</t>
  </si>
  <si>
    <t>https://journal.binus.ac.id/index.php/comtech/article/view/7433/4626</t>
  </si>
  <si>
    <t>Dr. Resmi Darni, M.Kom resmi, Sistem Pengasapan Ikan Otomatis Berbasis Internet of Things (IoT) Menggunakan Arduino AT Mega 2560, Vol. 8 No. 2 (2022): Jurnal Sains dan Informatika : Research of Science and Informatic</t>
  </si>
  <si>
    <t>https://publikasi.lldikti10.id/index.php/jsi/article/view/1763</t>
  </si>
  <si>
    <t>Vijay Anant Athaval, Abhilash Pati, A K M Bellal Hossain, Sari Luthfiyah, An Android INCU Analyzer Design to
Calibrate Infant Incubator Using Bluetooth Communication for Real-Time and Wireless Monitoring, Jurnal Teknokes, Vol. 15, No. 1, March 2022, pp. 1-8, ISSN: 2407-896</t>
  </si>
  <si>
    <t>https://www.researchgate.net/profile/Vijay-Athavale/publication/359407420_INCU_Analyzer_for_Infant_Incubator_Based_on_Android_Application_Using_Bluetooth_Communication_to_Improve_Calibration_Monitoring/links/623d95077931cc7ccff58082/INCU-Analyzer-for-Infant-Incubator-Based-on-Android-Application-Using-Bluetooth-Communication-to-Improve-Calibration-Monitoring.pdf?_sg%5B0%5D=started_experiment_milestone&amp;origin=journalDetail</t>
  </si>
  <si>
    <t>Researchgate</t>
  </si>
  <si>
    <r>
      <rPr>
        <sz val="10"/>
        <color theme="1"/>
        <rFont val="Arial Narrow"/>
      </rPr>
      <t>J. Gwon; Y.Jun; C. Yeom, I</t>
    </r>
    <r>
      <rPr>
        <sz val="10"/>
        <color rgb="FF000000"/>
        <rFont val="Arial Narrow"/>
      </rPr>
      <t xml:space="preserve">ntegration of Dynamic Road Environmental Data for the Creation of Driving
Simulator Scenarios, Journal of the Korea Institute of Information and
Communication Engineering, Vol. 26, No. 2: 278~287, Feb. 2022 </t>
    </r>
  </si>
  <si>
    <t>https://www.bja.gov.bt/wp-content/uploads/2022/04/008.pdf</t>
  </si>
  <si>
    <t>How to use the DHT22 sensor for measuring temperature and humidity with the arduino board</t>
  </si>
  <si>
    <t>T Sai Surya Teja, G Venkata Hari Prasad, I Meghana, Publishing Temperature and Humidity Sensor Data to ThingSpeak, Advanced Technologies and Societal Change. Springer, Singapor, 2022</t>
  </si>
  <si>
    <t>https://link.springer.com/chapter/10.1007/978-981-19-4522-9_1</t>
  </si>
  <si>
    <t>Tshering Penjorl, Lhap Dorjil, Automation of Hydroponics System using Open-source Hardware and
Software with Remote Monitoring and Control, Penjor et al. 2022 Bhutanese Journal of Agriculture 5(1), 95-108</t>
  </si>
  <si>
    <t>About The Smart Weather Station</t>
  </si>
  <si>
    <t xml:space="preserve">T. E. Babalola, A. D. Babalola 
and M. S. Olokun, Development of an ESP-32 Microcontroller Based
Weather Reporting Device, Journal of Engineering Research and Reports, 22(11): 27-38, 2022; Article no.JERR.88570
ISSN: 2582-2926 </t>
  </si>
  <si>
    <t>https://www.researchgate.net/profile/Mayowa-Olokun/publication/361998951_Development_of_an_ESP-32_Microcontroller_Based_Weather_Reporting_Device/links/62d2e5f8d351bd24f51c2555/Development-of-an-ESP-32-Microcontroller-Based-Weather-Reporting-Device.pdf</t>
  </si>
  <si>
    <t>Traffic light using arduino uno and LabVIEW,</t>
  </si>
  <si>
    <t>Gwon, Joonho,  Jun, Yeonsoo, Integration of Dynamic Road Environmental Data for the Creation of Driving Simulator Scenarios, Journal of the Korea Institute of Information and Communication Engineering, Volume 26 Issue 2 / Pages.278-287 / 2022 / 2234-4772(pISSN) / 2288-4165(eISSN)</t>
  </si>
  <si>
    <t>http://www.koreascience.or.kr/article/JAKO202209833893350.page</t>
  </si>
  <si>
    <t>Miclăuș Simona (AFT Sbiu), Bechet Paul (AFT Sibiu), Bouleanu Iulian (ULBS), Helbet Robert (STS Sibiu)</t>
  </si>
  <si>
    <t>Radiofrequency field distribution assessment in indoor areas covered by wireless local area networks. Advances in Electrical and Computer Engineering. 9(1) (2009) 52–55</t>
  </si>
  <si>
    <t>Jafarvand, M., Safari Variani, A., Rahmani, M. (2022). 'The study of public exposure to microwave emissions of the wireless systems (Wireless) Qazvin University of Medical Sciences', Radiation Safety and Measurement, 5(1), pp. 43-50. doi: 10.22052/5.1.43</t>
  </si>
  <si>
    <t>https://rsm.kashanu.ac.ir/article_112210_en.html?lang=fa</t>
  </si>
  <si>
    <t>Google Scholar,  Scientific Information Database</t>
  </si>
  <si>
    <t>Oancea Romana (AFT Sibiu), Bârsan Vlad-Andrei (ULBS), Bouleanu Iulian (ULBS)</t>
  </si>
  <si>
    <t>Oancea, Romana, Barsan, Vlad-Andrei and Bouleanu, Iulian. "Adaptivity in E-Learning Systems" International conference KNOWLEDGE-BASED ORGANIZATION, vol.24, no.3, 2018, pp.66-69. https://doi.org/10.1515/kbo-2018-0138</t>
  </si>
  <si>
    <t>Díez Fonnegra, C. A. (2022). A framework for the design of adaptive curriculum focused on the development of mathematical thinking.</t>
  </si>
  <si>
    <t>http://repositorio.uan.edu.co/handle/123456789/7162</t>
  </si>
  <si>
    <t>http://repositorio.uan.edu.co/handle/123456789/1739</t>
  </si>
  <si>
    <t>GORSKI, H., BÂRSAN, G., &amp; GLIGOREA, I. The 17th International Scientific Conference eLearning and Software for Education Bucharest, April 22-23, 2021.</t>
  </si>
  <si>
    <t>https://www.ceeol.com/search/article-detail?id=1029610</t>
  </si>
  <si>
    <t>http://repositorio.uan.edu.co/</t>
  </si>
  <si>
    <t>Bouleanu Iulian (ULBS), Bechet Paul (AFT Sibiu), Sârbu Annamaria (AFT Sibiu)</t>
  </si>
  <si>
    <r>
      <rPr>
        <sz val="10"/>
        <color theme="1"/>
        <rFont val="Times New Roman"/>
      </rPr>
      <t>Bouleanu, I., Bechet, P., &amp; Sârbu, A. (2020). A survey on network planning and traffic engineering for deployable networks. In </t>
    </r>
    <r>
      <rPr>
        <i/>
        <sz val="10"/>
        <color rgb="FF222222"/>
        <rFont val="Times New Roman"/>
      </rPr>
      <t>International conference KNOWLEDGE-BASED ORGANIZATION</t>
    </r>
    <r>
      <rPr>
        <sz val="10"/>
        <color rgb="FF222222"/>
        <rFont val="Times New Roman"/>
      </rPr>
      <t> (Vol. 26, No. 3, pp. 43-48).</t>
    </r>
  </si>
  <si>
    <t>Mohammadi, R., Akleylek, S., Ghaffari, A. et al. Taxonomy of traffic engineering mechanisms in software-defined networks: a survey. Telecommun Syst 81, 475–502 (2022). https://doi.org/10.1007/s11235-022-00947-6</t>
  </si>
  <si>
    <t>https://link.springer.com/article/10.1007/s11235-022-00947-6</t>
  </si>
  <si>
    <t>Springer Link  https://link.springer.com/article/10.1007/s11235-022-00947-6#article-info</t>
  </si>
  <si>
    <r>
      <rPr>
        <sz val="10"/>
        <color theme="1"/>
        <rFont val="Times New Roman"/>
      </rPr>
      <t>Helbet, R., Bechet, P., Monda, V., Miclaus, S., &amp; Bouleanu, I. (2021). Low-cost sensor based on sdr platforms for tetra signals monitoring. </t>
    </r>
    <r>
      <rPr>
        <i/>
        <sz val="10"/>
        <color rgb="FF222222"/>
        <rFont val="Times New Roman"/>
      </rPr>
      <t>Sensors</t>
    </r>
    <r>
      <rPr>
        <sz val="10"/>
        <color rgb="FF222222"/>
        <rFont val="Times New Roman"/>
      </rPr>
      <t>, </t>
    </r>
    <r>
      <rPr>
        <i/>
        <sz val="10"/>
        <color rgb="FF222222"/>
        <rFont val="Times New Roman"/>
      </rPr>
      <t>21</t>
    </r>
    <r>
      <rPr>
        <sz val="10"/>
        <color rgb="FF222222"/>
        <rFont val="Times New Roman"/>
      </rPr>
      <t>(9), 3160.</t>
    </r>
  </si>
  <si>
    <t>Sales, H. E., Mariano, A. A., &amp; Fernández, E. M. Plataforma baseada em SDR com Baixo Custo e Comunicação Remota via TCP.</t>
  </si>
  <si>
    <t>https://scholar.archive.org/work/pgo2wjziijerjlacfrgvvnbu3e/access/wayback/https://biblioteca.sbrt.org.br/articlefile/3674.pdf</t>
  </si>
  <si>
    <t>R Mariş (NTT DATA ROMANIA), R Brad (ULBS), R Brad (ULBS)</t>
  </si>
  <si>
    <t>Comparative Study of Block Matching Optical Flow Algorithms</t>
  </si>
  <si>
    <t xml:space="preserve">Somdyuti Paul, Deep Learning Solutions for Video Encoding and Streaming, Ph.D. DISSERTATION, THE UNIVERSITY OF TEXAS AT AUSTIN, August 2022
</t>
  </si>
  <si>
    <t>https://repositories.lib.utexas.edu/bitstream/handle/2152/115852/PAUL-DISSERTATION-2022.pdf?sequence=1&amp;isAllowed=y</t>
  </si>
  <si>
    <t xml:space="preserve">Mcdonnell, Chloe A.  The University of Manchester (United Kingdom) ProQuest Dissertations Publishing,  2022. 30159429. 
</t>
  </si>
  <si>
    <t>https://www.proquest.com/openview/2ff64c6aaafee304f03b63a4afef86af/1?pq-origsite=gscholar&amp;cbl=2026366&amp;diss=y</t>
  </si>
  <si>
    <t>V Ogrean, A Dorobantiu, R Brad</t>
  </si>
  <si>
    <t>Deep Learning Architectures and Techniques for Multi-organ Segmentation</t>
  </si>
  <si>
    <t>Kayhan, Beyza. Bilgisayarlı tomografi görüntülerinde derin öğrenme tabanlı çoklu organ segmentasyonu. MS thesis. Konya Teknik Üniversitesi, 2022.</t>
  </si>
  <si>
    <t>https://gcris.ktun.edu.tr/handle/20.500.13091/2252</t>
  </si>
  <si>
    <t>Patil, S., Joshi, P., &amp; Sawant, P. (2022). Evaluation of Image Inpainting Techniques using Forgery Detection System. Available at SSRN 4279674.</t>
  </si>
  <si>
    <t>https://papers.ssrn.com/sol3/papers.cfm?abstract_id=4279674</t>
  </si>
  <si>
    <t>孙瑞鑫, 朱国梁, 谢双镱, 郭雪亮, &amp; 柴志雷. (2022). 基于嵌入式 GPU 的 pyramid LK 光流法 高速计算方法研究. Application Research of Computers/Jisuanji Yingyong Yanjiu, 39(7).</t>
  </si>
  <si>
    <t>https://web.p.ebscohost.com/abstract?direct=true&amp;profile=ehost&amp;scope=site&amp;authtype=crawler&amp;jrnl=10013695&amp;AN=158068201&amp;h=qquNOkevRNwvQG5F9%2fRK4F8YhbPY2V2RBO6YVtXnCuc%2btVe8PTPLDyo3AE9poGKpCBA3Keq%2bNGRWKTmJ9wYT1g%3d%3d&amp;crl=c&amp;resultNs=AdminWebAuth&amp;resultLocal=ErrCrlNotAuth&amp;crlhashurl=login.aspx%3fdirect%3dtrue%26profile%3dehost%26scope%3dsite%26authtype%3dcrawler%26jrnl%3d10013695%26AN%3d158068201</t>
  </si>
  <si>
    <t>Ebsco</t>
  </si>
  <si>
    <t>Chan, M. T. C. (2022). Quantifying Diarrheal Characteristics: A Computer Vision Approach for Global Health (Doctoral dissertation, University of Toronto (Canada)).</t>
  </si>
  <si>
    <t>https://www.proquest.com/openview/c34d55a318ea22435a8e79b1944796f4/1?pq-origsite=gscholar&amp;cbl=18750&amp;diss=y</t>
  </si>
  <si>
    <t>Proquest</t>
  </si>
  <si>
    <t>Cosmin A. Basca, Mihai Talos and Remus Brad</t>
  </si>
  <si>
    <t>Eshraghi, J. (2022). METHODS AND ANALYSIS OF MULTIPHASE FLOW AND INTERFACIAL PHENOMENA IN MEDICAL DEVICES (Doctoral dissertation, Purdue University Graduate School).</t>
  </si>
  <si>
    <t>https://hammer.purdue.edu/articles/thesis/METHODS_AND_ANALYSIS_OF_MULTIPHASE_FLOW_AND_INTERFACIAL_PHENOMENA_IN_MEDICAL_DEVICES/19633167/1</t>
  </si>
  <si>
    <t>Kadish, S. (2022). Traditional Image Processing and Modern Computer Vision Techniques for the Study of Two-Phase CO2 Flow (Master's thesis, Faculty of Engineering and the Built Environment).</t>
  </si>
  <si>
    <t>https://open.uct.ac.za/handle/11427/37382</t>
  </si>
  <si>
    <t>Alaniz-Plata, R., Sergiyenko, O., Flores-Fuentes, W., Rodríguez-Quiñonez, J. C., Gonzalez-Navarro, F. F., Miranda-Vega, J. E., ... &amp; Rivas-Lopez, M. Laser Positioning Control of a Technical Vision System Based on Stereo Depth Data Feedback.</t>
  </si>
  <si>
    <t>https://papers.ssrn.com/sol3/papers.cfm?abstract_id=4019493</t>
  </si>
  <si>
    <t>Li, Xinyuan, 3D Scanning and Landmark Constrained Surface Registration, State University of New York at Stony Brook ProQuest Dissertations Publishing,  2022. 29211650.</t>
  </si>
  <si>
    <t>https://www.proquest.com/openview/024d234eff08c4cd11b71bf708600b00/1?pq-origsite=gscholar&amp;cbl=18750&amp;diss=y</t>
  </si>
  <si>
    <t>Gupta, A., Verma, A., &amp; Pramanik, S. (2022). Advanced security system in video surveillance for COVID-19. In An Interdisciplinary Approach to Modern Network Security (pp. 131-151). CRC Press.</t>
  </si>
  <si>
    <t>https://www.taylorfrancis.com/chapters/edit/10.1201/9781003147176-8/advanced-security-system-video-surveillance-covid-19-ankur-gupta-apurv-verma-sabyasachi-pramanik</t>
  </si>
  <si>
    <t>Taylor Francis</t>
  </si>
  <si>
    <t>Bale, A. S., Kumar, S. S., Kiran Mohan, M. S., &amp; Vinay, N. (2022). A Study of Improved Methods on Image Inpainting. Trends and Advancements of Image Processing and Its Applications, 281-296.</t>
  </si>
  <si>
    <t>https://link.springer.com/chapter/10.1007/978-3-030-75945-2_15</t>
  </si>
  <si>
    <t>Vranješ, D., &amp; Niggemann, O. (2022, May). Anomaly detection based on time series data from industrial automatic sewing machines. In 2022 IEEE 5th International Conference on Industrial Cyber-Physical Systems (ICPS) (pp. 01-08). IEEE.</t>
  </si>
  <si>
    <t>https://ieeexplore.ieee.org/abstract/document/9816906</t>
  </si>
  <si>
    <t>Inspec</t>
  </si>
  <si>
    <t>Düzgün AKMAZ, Classification of Single and Combined Power Quality Disturbances Using Stockwell Transform, ReliefF Feature Selection Method and Multilayer Perceptron Algorithm, NATURENGS,  Year 2022, Volume 3, Issue 1, 13 - 23, 30.06.2022, https://doi.org/10.46572/naturengs.1033182</t>
  </si>
  <si>
    <t>https://dergipark.org.tr/en/pub/naturengs/issue/70976/1033182</t>
  </si>
  <si>
    <t>NATURENGS</t>
  </si>
  <si>
    <t>Düzgün AKMAZ, Çok Katmanlı Algılayıcı Algoritması, Korelasyon Tabanlı Özellik Seçme Yöntemi ve Eğri Uydurma Tekniği ile Türkiye’ de Toplam Elektrik Tüketiminin Tahmin Edilmesi, Firat University Journal of Engineering Science, 
Year 2022, Volume 34, Issue 2, 677 - 686, 30.09.2022</t>
  </si>
  <si>
    <t>https://dergipark.org.tr/en/pub/fumbd/issue/72789/1118732</t>
  </si>
  <si>
    <t>Fırat University Journal of Engineering Science</t>
  </si>
  <si>
    <t>Crețulescu Radu (ULBS), 
Morariu Daniel (ULBS), 
Breazu Macarie (ULBS),
Daniel Volovici (ULBS)</t>
  </si>
  <si>
    <t>Jayasree Ravi and Sushil Kulkarni, AUTOMATIC GENERATION OF PARAMETERS IN DENSITY-BASED SPATIAL CLUSTERING, ICTACT JOURNAL ON SOFT COMPUTING, JANUARY 2022, VOLUME: 12, ISSUE: 02</t>
  </si>
  <si>
    <t>https://ictactjournals.in/paper/ijsc_vol_12_iss_2_paper_2_2533_2539.pdf</t>
  </si>
  <si>
    <t>ICTACT Journal on Soft Computing</t>
  </si>
  <si>
    <t>Kuyumani, E., Shongwe, T., &amp; Hasan, A. (2022). A HYBRID CNN &amp; BiLSTM WITH AM MODEL TO PREDICT AND ESTIMATE LOAD HARMONICS AT NESTLE EAST LONDON SOUTH AFRICA. Authorea Preprints.</t>
  </si>
  <si>
    <t>https://www.authorea.com/users/518360/articles/592543-a-hybrid-cnn-bilstm-with-am-model-to-predict-and-estimate-load-harmonics-at-nestle-east-london-south-africa</t>
  </si>
  <si>
    <t>GoogleScholar</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</si>
  <si>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</si>
  <si>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Gerogiannis, V. C., &amp; Manika, S. (2022). Smart City Projects Evaluation: A Bibliometric Approach. In Building on Smart Cities Skills and Competences: Human factors affecting smart cities development (pp. 155-168). Cham: Springer International Publishing.</t>
  </si>
  <si>
    <t>https://link.springer.com/chapter/10.1007/978-3-030-97818-1_9</t>
  </si>
  <si>
    <t>SPRINGER</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</si>
  <si>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</si>
  <si>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Mandžuka, B., Vidović, K., Vujić, M., &amp; Alexopoulos, C. (2022). The Importance of the Open Data Approach for Multimodal Travel Improvement. Interdisciplinary Description of Complex Systems: INDECS, 20(2), 136-148.</t>
  </si>
  <si>
    <t>https://hrcak.srce.hr/275736</t>
  </si>
  <si>
    <t>DOAJ, EBSCO, ULRICH'S</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</si>
  <si>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</si>
  <si>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Labri, N., &amp; Baziz, A. (2022). A Methodological Framework for Evaluating Smart Transport Applicability in Algiers. Communications-Scientific Letters of the University of Zilina, 24(4), A160-A171.</t>
  </si>
  <si>
    <t>https://komunikacie.uniza.sk/pdfs/csl/2022/04/24.pdf</t>
  </si>
  <si>
    <t>CEEOL, SemanticScholar, GoogleScholar</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</si>
  <si>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</si>
  <si>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Alshammari, T. O. (2022, May). Smart City Public Transport Remodel Urban Biodiversity Management. In IOP Conference Series: Earth and Environmental Science (Vol. 1026, No. 1, p. 012039). IOP Publishing.</t>
  </si>
  <si>
    <t>https://iopscience.iop.org/article/10.1088/1755-1315/1026/1/012039</t>
  </si>
  <si>
    <t>IOPSCIENCE, GoogleScholar</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</si>
  <si>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</si>
  <si>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Plauchu, C. K. (2022). Dynamic Capabilities in times of change, MSc Thesis.</t>
  </si>
  <si>
    <t>https://lup.lub.lu.se/luur/download?func=downloadFile&amp;recordOId=9087546&amp;fileOId=9087547</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</si>
  <si>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</si>
  <si>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SIVANESWARI, A., &amp; KARTHIGEYAN, D. (2022). Shift from smart mobility to responsive mobility for metro stations in Chennai, India. Transactions on Transport Sciences, 13(3).</t>
  </si>
  <si>
    <t>https://tots.upol.cz/pdfs/tot/2022/03/04.pdf</t>
  </si>
  <si>
    <t>EBSCO, CrossRef, GoogleScholar</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</si>
  <si>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</si>
  <si>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Costa, A. (2022). Sistemas inteligentes de movilidad urbana en Río de Janeiro: una evaluación crítica. Cuadernos de Vivienda y Urbanismo, 15, 21-21.</t>
  </si>
  <si>
    <t>https://revistas.javeriana.edu.co/files-articulos/CVU/15%20(2022)/629771821018/index.html</t>
  </si>
  <si>
    <t>ProQuest, GoogleScholar</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</si>
  <si>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</si>
  <si>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Silva, R. R. D. (2022). Seleção de projetos de mobilidade urbana: uma abordagem multicritério (Master's thesis, Universidade Tecnológica Federal do Paraná).</t>
  </si>
  <si>
    <t>https://riut.utfpr.edu.br/jspui/bitstream/1/27719/1/projetosmobilidadeurbanamulticriterio.pdf</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</si>
  <si>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</si>
  <si>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Boulghobra, O. N., &amp; Wang, X. A COMPREHENSIVE GLOBAL ANALYSIS OF URBAN SPRAWL RESEARCH PRODUCTIVITY USING BIBLIOMETRIC ANALYSIS TOOLS. urban development, 5, 7.</t>
  </si>
  <si>
    <t>http://www.ijsit.com/admin/ijsit_files/A%20COMPREHENSIVE%20GLOBAL%20ANALYSIS%20OF%20URBAN%20SPRAWL%20RESEARCH%20PRODUCTIVITY%20USING%20BIBLIOMETRIC%20ANALYSIS%20TOOLS_IJSIT_10.3.9.pdf</t>
  </si>
  <si>
    <t>Scribd, Slideshare, Academia.edu, GoogleScholar</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</si>
  <si>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</si>
  <si>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Saginov, Yu. L. (2022). 4.7 Graph-analytical study of the ecosystem of automakers. In Marketing: Problems, Solutions and Perspectives (pp. 87-99). - in limba Rusa</t>
  </si>
  <si>
    <t>https://elibrary.ru/item.asp?id=48618724</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</si>
  <si>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</si>
  <si>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Bangun, G. E., &amp; Suwandi, I. M. (2022). Kota Cerdas Dan Mobilitas Cerdas: Sebuah Tinjauan Literatur. Transparansi: Jurnal Ilmiah Ilmu Administrasi, 5(1), 19-25.</t>
  </si>
  <si>
    <t>https://ojs.stiami.ac.id/index.php/transparansi/article/view/2265</t>
  </si>
  <si>
    <t>CossRef, PKPIndex, ROAD, GoogleScholar</t>
  </si>
  <si>
    <r>
      <rPr>
        <sz val="8"/>
        <color theme="1"/>
        <rFont val="Palatino Linotype"/>
      </rPr>
      <t xml:space="preserve">Tomaszewska E.J., </t>
    </r>
    <r>
      <rPr>
        <b/>
        <sz val="8"/>
        <color theme="1"/>
        <rFont val="Tahoma"/>
      </rPr>
      <t>Florea A.</t>
    </r>
    <r>
      <rPr>
        <sz val="8"/>
        <color theme="1"/>
        <rFont val="Tahoma"/>
      </rPr>
      <t>,</t>
    </r>
    <r>
      <rPr>
        <i/>
        <sz val="8"/>
        <color theme="1"/>
        <rFont val="Tahoma"/>
      </rPr>
      <t xml:space="preserve"> Urban smart mobility in the scientific literature — bibliometric analysis</t>
    </r>
    <r>
      <rPr>
        <sz val="8"/>
        <color theme="1"/>
        <rFont val="Tahoma"/>
      </rPr>
      <t>, Engineering Management in Production and Services, Volume 10, Issue 2, 2018, ISSN 2543-6597, Ed. Bialystok University of Technology, Faculty of Engineering Management, International Society for Manufacturing, Service and Management Engineering, Poland, DOI: 10.2478/emj-2018-0010.</t>
    </r>
  </si>
  <si>
    <t>Santos, N. A. (2021). GESTÃO DA MOBILIDADE URBANA: UMA PROPOSTA DE INOVAÇÃO INCREMENTAL NO GERENCIAMENTO TARIFÁRIO DE TRANSPORTE PÚBLICO URBANO. Humanidades &amp; Inovação, 8(65), 392-408.</t>
  </si>
  <si>
    <t>https://www.google.com/url?sa=t&amp;rct=j&amp;q=&amp;esrc=s&amp;source=web&amp;cd=&amp;ved=2ahUKEwjGjISdx97_AhVPhf0HHVcPDxAQFnoECDIQAQ&amp;url=https%3A%2F%2Frevista.unitins.br%2Findex.php%2Fhumanidadeseinovacao%2Farticle%2Fview%2F2066%2F3727&amp;usg=AOvVaw1yVZqVhNgj2ydgIqoKNdve&amp;opi=89978449</t>
  </si>
  <si>
    <t>Redib, GoogleScholar</t>
  </si>
  <si>
    <t>Pollock, A. S. (2022). Accessing Energy from Artificial Intelligence Knowledge Banks Utilizing Smart Univer-“Cities”: A Qualitative Study (Doctoral dissertation, Colorado Technical University).</t>
  </si>
  <si>
    <t>https://www.proquest.com/openview/57b9a0051c78b35d9a574e1af849d8e9/1?pq-origsite=gscholar&amp;cbl=18750&amp;diss=y</t>
  </si>
  <si>
    <t>Ribeiro, Y. P., &amp; Campos, D. B. (2022). Development of an Assessment Model for Soft Skills during Engineering Recruitment Process.</t>
  </si>
  <si>
    <t>Research Square, GoogleScholar</t>
  </si>
  <si>
    <t>Alencar, N. Z. (2022). O desempenho organizacional da Polícia Rodoviária Federal, no período de 2014 a 2021: um diagnóstico à luz do People Analytics.</t>
  </si>
  <si>
    <t>https://repositorio.unb.br/bitstream/10482/43713/1/2022_NadiaZilottiAlencar.pdf</t>
  </si>
  <si>
    <t>https://pubs.aip.org/aip/acp/article-abstract/2644/1/030035/2831440/A-new-approach-in-developing-a-software?redirectedFrom=fulltext</t>
  </si>
  <si>
    <t>INSPEC, Chemical Abstracts Service (CAS), Astrophysics Data System (ADS)</t>
  </si>
  <si>
    <t>Ahmad, R. (2022, November). Software Sustainability Practices and Awareness Amongst Software Practitioners in Malaysia: An Exploratory Study. In 2022 2nd International Conference on Electronic and Electrical Engineering and Intelligent System (ICE3IS) (pp. 192-197). IEEE.</t>
  </si>
  <si>
    <t>https://ieeexplore.ieee.org/document/10010195</t>
  </si>
  <si>
    <t>IEEEXplore, GoogleScholar</t>
  </si>
  <si>
    <t>Arpad Gellert (ULBS), Adrian Florea (ULBS), L. Vintan (ULBS)</t>
  </si>
  <si>
    <t>Gellert, A., Florea, A., &amp; Vintan, L. (2009). Exploiting selective instruction reuse and value prediction in a superscalar architecture. Journal of Systems Architecture, 55(3), 188-195.</t>
  </si>
  <si>
    <t>Kasad, K. (2022). Eager Scheduling of Dependent Instructions (Doctoral dissertation, Michigan Technological University).</t>
  </si>
  <si>
    <t>https://www.mtu.edu/cs/graduate/dissertations/pdfs/eager-scheduling-of-dependent-instructions.pdf</t>
  </si>
  <si>
    <t>Stary, C., Elstermann, M., Fleischmann, A., &amp; Schmidt, W. (2022). Behavior-centered digital-twin design for dynamic cyber-physical system development. Complex Systems Informatics and Modeling Quarterly (CSIMQ), 30, 31-52.</t>
  </si>
  <si>
    <t>https://csimq-journals.rtu.lv/article/view/csimq.2022-30.02</t>
  </si>
  <si>
    <t>DOAJ, DBLP, GoogleScholar</t>
  </si>
  <si>
    <t>Vaidian, I., Jurczuk, A., Misiak, Z., Neidow, M., Petry, M., &amp; Nemetz, M. (2022). Challenging digital innovation through the omilab community of practice. In Domain-Specific Conceptual Modeling: Concepts, Methods and ADOxx Tools (pp. 41-64). Cham: Springer International Publishing.</t>
  </si>
  <si>
    <t>https://link.springer.com/chapter/10.1007/978-3-030-93547-4_3</t>
  </si>
  <si>
    <t>Vicente, L., Lomelino, P., Carreira, F., Campos, F. M., Mendes, M. J., &amp; Calado, J. M. F. (2022, September). A Photorealistic Digital Twin for a Tank Truck Washing Robotic System. In Collaborative Networks in Digitalization and Society 5.0: 23rd IFIP WG 5.5 Working Conference on Virtual Enterprises, PRO-VE 2022, Lisbon, Portugal, September 19–21, 2022, Proceedings (pp. 57-66). Cham: Springer International Publishing.</t>
  </si>
  <si>
    <t>https://link.springer.com/chapter/10.1007/978-3-031-14844-6_5</t>
  </si>
  <si>
    <t>AYOADE, I., ADEDIGBA, A., ADEYEMI, O. A., ADEAGA, O. A., &amp; AKANBI, O. (2022). TRENDS AND PROSPECTS OF DIGITAL TWIN TECHNOLOGIES: A REVIEW. Quantum Journal of Engineering, Science and Technology, 3(4), 11-24.</t>
  </si>
  <si>
    <t>https://qjoest.com/index.php/qjoest/article/view/79</t>
  </si>
  <si>
    <t>Bielefeld Academic Search Engine (BASE), GoogleScholar</t>
  </si>
  <si>
    <t>Chiș, A., &amp; Ghiran, A. M. (2022). A Suite of Modelling Tools for Developing Cyber-Physical Systems and Digital Twins Implementations.</t>
  </si>
  <si>
    <t>https://aisel.aisnet.org/isd2014/proceedings2022/knowledge/1/</t>
  </si>
  <si>
    <t>Aisel, GoogleScholar</t>
  </si>
  <si>
    <t>Roja, J., &amp; Sreeya, B. (2022). Public Opinion on E-Vehicles-Boon or Bane?. Baltic Journal of Law &amp; Politics, 15(4), 808-819.</t>
  </si>
  <si>
    <t>https://versita.com/menuscript/index.php/Versita/article/view/876</t>
  </si>
  <si>
    <t>SCIENDO, ProQuest, GoogleScholar</t>
  </si>
  <si>
    <t>Berntzen, L., &amp; Meng, Q. The Role of Aggregators in Smart Grids. New Generation of Sustainable Smart Cities, DOI: 10.5772/intechopen.106860, 2022.</t>
  </si>
  <si>
    <t>https://www.intechopen.com/chapters/83490</t>
  </si>
  <si>
    <t>BASE, EBSCO, CrossRef, GoogleScholar</t>
  </si>
  <si>
    <t>Boroujerdian, B. (2022). Agile development of Domain-Specific solutions for emerging mobile systems (Doctoral dissertation).</t>
  </si>
  <si>
    <t>https://repositories.lib.utexas.edu/handle/2152/117711</t>
  </si>
  <si>
    <t>Florea, A. (ULBS), Berntzen, L. (Univ. of South-Eastern Norway), Johannessen, M. R. (Univ. of South-Eastern Norway), Stoica, D. (Environmental Agency), Naicu, I. S. (Environmental Agency), &amp; Cazan, V. (ONG Bucharest)</t>
  </si>
  <si>
    <t>Florea, A., Berntzen, L., Johannessen, M. R., Stoica, D., Naicu, I. S., &amp; Cazan, V. (2017, June). Low cost mobile embedded system for air quality monitoring. In Proceedings of the Sixth International Conference on Smart Cities, Systems, Devices and Technologies (SMART), Venice, Italy (pp. 25-29).</t>
  </si>
  <si>
    <t>Florea, A. (ULBS), Cofaru, I. I. (ULBS), ROMAN, L. (ULBS), &amp; Cofaru, N. (ULBS)</t>
  </si>
  <si>
    <t>Florea, A., Cofaru, I. I., ROMAN, L., &amp; Cofaru, N. (2016). Applying the Multi-objective Optimization Techniques in the Design of Suspension Systems. Journal of Digital Information Management, 14(6).</t>
  </si>
  <si>
    <t>Kiburi, F. G. (2022). Exergetic analysis and optimization of a hybrid solar-biomass greenhouse dryer for drying banana slices (Doctoral dissertation, JKUAT-CoANRE).</t>
  </si>
  <si>
    <t>Lloyd, J. S. (2022). The effects of various combinations of form-focused instruction techniques on the acquisition of English articles by second language learners of English.</t>
  </si>
  <si>
    <t>https://dr.library.brocku.ca/bitstream/handle/10464/15742/Brock_Lloyd_Jackie_2022.pdf?sequence=1&amp;isAllowed=y</t>
  </si>
  <si>
    <t>Akhlaq, M. O., Chipa, H. M. A., &amp; Ali, A. Y. (2022). A Survey on Virtual Working Effects on Human Health and Their Productivity. Asian Journal of Engineering, Sciences &amp; Technology, 12(1).</t>
  </si>
  <si>
    <t>https://web.s.ebscohost.com/abstract?direct=true&amp;profile=ehost&amp;scope=site&amp;authtype=crawler&amp;jrnl=20771142&amp;AN=163060127&amp;h=1TcSxABIjsufvZVYCKNA%2bHemBGHsONrrJVXbJrOGzXtF8g6%2f%2bm1ZzFxwXFOm8AYfe6IeW9MrmIzeIohfihO1IQ%3d%3d&amp;crl=f&amp;resultNs=AdminWebAuth&amp;resultLocal=ErrCrlNotAuth&amp;crlhashurl=login.aspx%3fdirect%3dtrue%26profile%3dehost%26scope%3dsite%26authtype%3dcrawler%26jrnl%3d20771142%26AN%3d163060127</t>
  </si>
  <si>
    <t>EBSCO, GoogleScholar</t>
  </si>
  <si>
    <t>Arpad Gellert, Lucian Vintan</t>
  </si>
  <si>
    <t>Person Movement Prediction Using Hidden Markov Models, Studies in Informatics and Control, Vol. 15, No. 1, ISSN 1220-1766 (IEE INSPEC), National Institute for Research and Development in Informatics, Bucharest, March 2006.</t>
  </si>
  <si>
    <t>Sina Shafaei, Enabling Context Prediction Architectures in Intelligent Vehicle Platforms, Phd Thesis, Technical University of Munich, Germany, 2022.</t>
  </si>
  <si>
    <t>https://mediatum.ub.tum.de/doc/1638913/document.pdf</t>
  </si>
  <si>
    <t>Lukas Budde, Roman Hänggi, Thomas Friedli, Adrian Rüedy, Smart Factory Framework, Smart Factory Navigator, Springer, pp. 33-229, December 2022</t>
  </si>
  <si>
    <t>ResearchGate, Google Scholar</t>
  </si>
  <si>
    <t>Adrian Florea, Arpad Gellert, Traian Anghel, Delilah Florea</t>
  </si>
  <si>
    <t>Enhanced Learning and Educational Management through Online Collaborative Technologies, Journal of Digital Information Management, Vol. 9, No. 1, ISSN 0972-7272 (DBLP, EBSCO, Scopus), pp. 33-42, February 2011.</t>
  </si>
  <si>
    <t>Chong Zi Yong, Nureize Arbaiy, Pre-Viva Assessment System Development for FSKTM, UTHM, Applied Information Technology And Computer Science, Vol. 3 No. 2, pp. 1568-1588, November 2022.</t>
  </si>
  <si>
    <t>https://publisher.uthm.edu.my/periodicals/index.php/aitcs/article/view/7574</t>
  </si>
  <si>
    <t>Google Scholar, Crossref, ROAD</t>
  </si>
  <si>
    <t>Excellence Kuyumani, Thokozani Shongwe, Ali Hasan, A Hybrid CNN &amp; BiLSTM with AM Model to Predict and Estimate Load Harmonics at Nestle East London South Africa, Authorea, October 2022</t>
  </si>
  <si>
    <t>https://d197for5662m48.cloudfront.net/documents/publicationstatus/92802/preprint_pdf/e09015ff3ac5b84baeb263b45d3de630.pdf</t>
  </si>
  <si>
    <t>M. Rajeshwari, R. Murugesan, M. Kaviyarasu, Chitirala Subrahmanyam, Bipolar Fuzzy Graph on Certain Topological Indices, Journal of Algebraic Statistics, Vol. 13, No. 3, p. 2476 -2481, 2022</t>
  </si>
  <si>
    <t>https://www.publishoa.com/index.php/journal/article/view/901</t>
  </si>
  <si>
    <t>ResearchGate, Google Scholar, WoS</t>
  </si>
  <si>
    <t>Radu G. CREŢULESCU (ULBS), Daniel I. MORARIU (ULBS), Macarie BREAZU(ULBS), Daniel VOLOVICI(ULBS)</t>
  </si>
  <si>
    <t>DBSCAN ALGORITHM FOR DOCUMENT CLUSTERING</t>
  </si>
  <si>
    <t>Jayasree Ravi and Sushil Kulkarni, AUTOMATIC GENERATION OF PARAMETERS IN DENSITY-BASED SPATIAL CLUSTERING, ICTACT JOURNAL ON SOFT COMPUTING, JANUARY 2022, VOLUME: 12, ISSUE: 02, ISSN: 2229-6956 (ONLINE), DOI: 10.21917/ijsc.2022.0352</t>
  </si>
  <si>
    <t>Morariu, D.(ULBS); Crețulescu, R.(ULBS); Breazu, M(ULBS)</t>
  </si>
  <si>
    <t>The weka multilayer perceptron classifier</t>
  </si>
  <si>
    <t>Akmaz, D. (2022). Classification of Single and Combined Power Quality Disturbances Using Stockwell Transform, ReliefF Feature Selection Method and Multilayer Perceptron Algorithm . NATURENGS , 3 (1) , 13-23 . DOI: 10.46572/naturengs.1033182</t>
  </si>
  <si>
    <t xml:space="preserve">	D. Akmaz , "Çok Katmanlı Algılayıcı Algoritması, Korelasyon Tabanlı Özellik Seçme Yöntemi ve Eğri Uydurma Tekniği ile Türkiye’ de Toplam Elektrik Tüketiminin Tahmin Edilmesi", Fırat Üniversitesi Mühendislik Bilimleri Dergisi, vol. 34, no. 2, pp. 677-686, Sep. 2022, doi:10.35234/fumbd.1118732</t>
  </si>
  <si>
    <t>Meng, H.(ULBS), Morariu, D (ULBS)</t>
  </si>
  <si>
    <t>Khmer character recognition using artificial neural network</t>
  </si>
  <si>
    <t>Rina, B., Nguonly, T., Sovisal, C., &amp; Sokchea, K. (2022). Khmer printed character recognition using attention-based Seq2Seq network. Ho Chi Minh City Open University Journal of Science – Engineering and Technology, 12(1), 3-16. doi:10.46223/HCMCOUJS. tech.en.12.1.2217.2022</t>
  </si>
  <si>
    <t>https://journalofscience.ou.edu.vn/index.php/tech-en/article/view/2217</t>
  </si>
  <si>
    <t>Journal of science</t>
  </si>
  <si>
    <t>D. MORARIU (ULBS)</t>
  </si>
  <si>
    <t xml:space="preserve">Text Mining Methods based on Support Vector Machine </t>
  </si>
  <si>
    <t>Băncioiu, Ioan Camil, Ph. D. Thesis: On the Efficiency of Conditional Independence Tests and Their Accurate Use in Markov Boundary Discovery Algorithms , Coordinator: Prof. univ. dr. ing. Remus BRAD, 2022</t>
  </si>
  <si>
    <t>http://digital-library.ulbsibiu.ro/xmlui/handle/123456789/3358</t>
  </si>
  <si>
    <t>D. Morariu(ULBS), L. Vintan(ULBS),  V. Tresp (SIEMENS)</t>
  </si>
  <si>
    <t xml:space="preserve">Feature Selection Methods for an Improved SVM Classifier </t>
  </si>
  <si>
    <t>Olfa Hrizi, Karim Gasmi, Ibtihel Ben Ltaifa, Hamoud Alshammari, Hanen Karamti, Moez Krichen, Lassaad Ben Ammar, and Mahmood A. Mahmood,  Tuberculosis Disease Diagnosis Based on an Optimized Machine Learning Model, Journal of Healthcare Engineering, 21 Mar 2022, https://doi.org/10.1155/2022/8950243, 2022/03/21</t>
  </si>
  <si>
    <t>https://www.hindawi.com/journals/jhe/2022/8950243/#abstract</t>
  </si>
  <si>
    <t>Bemani, Amin; Kazemi, Alireza; Ahmadi, Mohammad, An insight into the microorganism growth prediction by means of machine learning approaches, Journal of Petroleum science and engineering, WOS:000891779500005, ISSN 0920-4105, eISSN1873-4715, Volume 220, Part A, 8 October 2022, https://doi.org/10.1016/j.petrol.2022.111162</t>
  </si>
  <si>
    <t>https://www.sciencedirect.com/science/article/pii/S0920410522010142?casa_token=_75x4T-bmkAAAAAA:D_UZerax5tnqjfrovftNDRQ9fZQBBcggkylmPhSYiV2cAy37mdSc_0xOAl8B2JHh7w8AtSM</t>
  </si>
  <si>
    <t>Science Direct</t>
  </si>
  <si>
    <t>Yousefzadeh, Reza, Bemani, Amin, Kazemi, Alireza, and Mohammad Ahmadi. "An Insight into the Prediction of Scale Precipitation in Harsh Conditions Using Different Machine Learning Algorithms." SPE Prod &amp; Oper (2022;): doi: https://doi.org/10.2118/212846-PA</t>
  </si>
  <si>
    <t>https://onepetro.org/PO/article-abstract/doi/10.2118/212846-PA/514888/An-Insight-into-the-Prediction-of-Scale?redirectedFrom=fulltext</t>
  </si>
  <si>
    <t>D. Morariu(ULBS), L. Vintan(ULBS), V. Tresp(SIEMENS)</t>
  </si>
  <si>
    <t xml:space="preserve">Meta-classification using SVM classifiers for Text Documents </t>
  </si>
  <si>
    <t xml:space="preserve">Duong Hai Ha, Huong Thi Thanh Ngo, Tran Van Phong, Nguyen Duc Dam, Mohammadtaghi Avand, Huu Duy Nguyen, Mahdis Amiri, Hiep Van Le, Indra Prakash, Binh Thai Pham, Development and application of hybrid artificial intelligence models for groundwater potential mapping and assessment, Vietnam Journal of Earth Sciences, 1-19, https://doi.org/10.15625/2615-9783/17240, </t>
  </si>
  <si>
    <t>https://scholar.archive.org/work/xn7kdaqni5fehdyzieihhetlxy/access/wayback/https://vjs.ac.vn/index.php/jse/article/download/17240/103810385193</t>
  </si>
  <si>
    <t>IEEE Xplore</t>
  </si>
  <si>
    <t xml:space="preserve">Neghina,  M.,  Zamfirescu,  C.B.,  &amp;  Pierce,  K. </t>
  </si>
  <si>
    <t>Early‑stage  analysis  of  cyber‑physical production systems through collaborative modelling</t>
  </si>
  <si>
    <t>015-2021 yılları arasında SCI ve SCI Expanded endeksli dergilerde yayınlanan Siber-Fiziksel Üretim Sistemleri Konulu Makalelerin İçerik Analizi. B. Türker Palamutçuoğlu, Mustafa Gersil</t>
  </si>
  <si>
    <t>https://www.ceeol.com/search/viewpdf?id=1125320</t>
  </si>
  <si>
    <t>Print ISSN: 1304-4796
Online-ISSN: 2146-2844</t>
  </si>
  <si>
    <t>Taghipour, Mehrad and Nameni, Reihaneh, Considering Fault Resistance Influence on the Performance of Distance Protection Relay for a Proposed Optimal Algorithm with Using Statcom. Available at SSRN: https://ssrn.com/abstract=4197657 or http://dx.doi.org/10.2139/ssrn.4197657</t>
  </si>
  <si>
    <t xml:space="preserve">https://papers.ssrn.com/sol3/papers.cfm?abstract_id=4197657, http://dx.doi.org/10.2139/ssrn.4197657 </t>
  </si>
  <si>
    <t>Vintan, M.</t>
  </si>
  <si>
    <t>A comparative parametric analysis of the ground fault current distribution on overhead Transmission Lines</t>
  </si>
  <si>
    <t>H Saeednia, N Ramezani, A Simplified Approach to Calculate the Earth Fault Current Division Factor Passing Through the Substation Grounding System,  10.24200/SCI.2022.57886.5458</t>
  </si>
  <si>
    <t>https://scientiairanica.sharif.edu/article_22833.html</t>
  </si>
  <si>
    <t>Elsevier Science, Ulrich, etc</t>
  </si>
  <si>
    <t>Rubul Kumar Bania, Satyajit Sarmah, Entropy based greedy unsupervised feature selection method using rough set theory for classification, ICTACT JOURNAL ON SOFT COMPUTING, OCTOBER 2022, VOLUME: 13, ISSUE: 01, DOI: 10.21917/ijsc.2022.0381</t>
  </si>
  <si>
    <t xml:space="preserve">https://ictactjournals.in/paper/IJSC_Vol_13_Iss_1_Paper_1_2741_2749.pdf </t>
  </si>
  <si>
    <t>Inspec, EBSCO, etc</t>
  </si>
  <si>
    <t>Camil Băncioiu, Teza de doctorat Despre Eficienta Testelor de Independentă Conditionată
s, i Utilizarea lor cu Acuratet, e
în Algoritmii pentru Descoperirea Granite- lor Markov</t>
  </si>
  <si>
    <t>https://doctorate.ulbsibiu.ro/wp-content/uploads/21.AbstractRO-Bancioiu.pdf</t>
  </si>
  <si>
    <t>Teza de doctorat</t>
  </si>
  <si>
    <t>Chis Radu, Vintan M., Vintan L.</t>
  </si>
  <si>
    <t>Multi-objective DSE algorithms' evaluations on processor optimization</t>
  </si>
  <si>
    <t xml:space="preserve">V Lesch, Self-Aware Optimization of Cyber-Physical Systems in Intelligent Transportation and Logistics Systems, Teza doctorat </t>
  </si>
  <si>
    <t>https://opus.bibliothek.uni-wuerzburg.de/frontdoor/index/index/docId/27228</t>
  </si>
  <si>
    <t>Vintan M., Buta A.</t>
  </si>
  <si>
    <t>Ground fault distribution on overhead transmission lines</t>
  </si>
  <si>
    <t xml:space="preserve">Eyenubo OJ, Ezekie EE, Loaded Distribution Transformers Measurement Method for Reliability Benin Electricity Distribution Company (BEDC) Environ: A Case Study , Journal of science technology and education 10(3), </t>
  </si>
  <si>
    <t>http://www.atbuftejoste.net/index.php/joste/article/view/1641</t>
  </si>
  <si>
    <t>Vintan M.</t>
  </si>
  <si>
    <t>About a coupling factor influence on the ground fault current distribution on overhead transmission lines</t>
  </si>
  <si>
    <t>NIKOLA KRSTIĆ, DRAGAN TASIĆ, DARDAN KLIMENTA - The influence of ground wires on the resistance and reactance of high voltage overhead power lines, Safety Engineering, UDC: 621.311, DOI:10.5937/SE2102085K, www.safety.ni.ac.rs</t>
  </si>
  <si>
    <t>https://www.znrfak.ni.ac.rs/SE-Journal/Archive/SE-Web%20Journal%20-%20Vol11-2/PDF/07-Niklola_Krstic.pdf</t>
  </si>
  <si>
    <t>Mobile AR Contents Production Technique for Long Distance Collaboration
G Byeon, S Yu - Webology, 2022 - webology.org</t>
  </si>
  <si>
    <t>https://www.webology.org/abstract.php?id=1060</t>
  </si>
  <si>
    <t>A Tara(ULBS), A Butean(ULBS), C Zamfirescu(ULBS), R Learney(DCATAPULT)</t>
  </si>
  <si>
    <t>An ontology model for interoperability and multi-organization data exchange</t>
  </si>
  <si>
    <t>A web-based Voice Interaction framework proposal for enhancing Information Systems user experience
TF Pereira, A Matta, CM Mayea, F Pereira… - Procedia Computer …, 2022 - Elsevier</t>
  </si>
  <si>
    <t>https://www.sciencedirect.com/science/article/pii/S187705092102233X</t>
  </si>
  <si>
    <t>Performance Analysis of an Ontology Model Enabling Interoperability of Artificial Intelligence Agents
A Tara, N Taban, H Turesson Artificial Intelligence Trends in Systems: 2022 - Springer</t>
  </si>
  <si>
    <t>https://link.springer.com/chapter/10.1007/978-3-031-09076-9_35</t>
  </si>
  <si>
    <t>Ontological and Fuzzy-Possibility Approach to the Synthesis of the DM Functional Equivalent for Management of Hierarchical Systems
IT Kimyaev, AV Spesivtsev - Artificial Intelligence Trends in Systems 2022 - Springer</t>
  </si>
  <si>
    <t>https://link.springer.com/chapter/10.1007/978-3-031-09076-9_53</t>
  </si>
  <si>
    <t>A Butean (ULBS), E Pournaras(LEADS), A Tara(ULBS), H Turesson(CANADA)</t>
  </si>
  <si>
    <t xml:space="preserve">
Dynamic consensus: Increasing blockchain adaptability to enterprise applications</t>
  </si>
  <si>
    <t>Decrypting distributed ledger design—taxonomy, classification and blockchain community evaluation
MC Ballandies, MM Dapp, Evangelos P - Cluster Computing, 2022 - Springer</t>
  </si>
  <si>
    <t>https://link.springer.com/article/10.1007/s10586-021-03256-w</t>
  </si>
  <si>
    <t>Rosca, N., Oleksik, V., Pascu, A., Oleksik, M., &amp; Avrigean, E.</t>
  </si>
  <si>
    <t xml:space="preserve">Optical study for springback prediction, thickness reduction and forces variations on single point incremental forming. </t>
  </si>
  <si>
    <t>Roșca, N. A. (2022). Deformarea incrementală a materialelor polimerice (Doctoral dissertation).</t>
  </si>
  <si>
    <t xml:space="preserve">http://digital-library.ulbsibiu.ro/jspui/bitstream/123456789/3379/1/2022-Rosca%20Nicolae%20Alexandru_ro.pdf </t>
  </si>
  <si>
    <t xml:space="preserve"> teza de doctorat indexate în Google Scholar</t>
  </si>
  <si>
    <t>Adrian Pascu, Mihaela Oleksik, Nicolae Roşca, Eugen Avrigean, Valentin Oleksik</t>
  </si>
  <si>
    <t>Experimental studies on uniaxial and echibiaxial tensile tests applied to plastic materials sheets</t>
  </si>
  <si>
    <t>Valentin Oleksik, Adrian Pascu, Ioan Bondrea, Eugen Avrigean, Liviu Rosca</t>
  </si>
  <si>
    <t>Schmid, H. (2022). Ganzheitliche Erarbeitung eines Prozessverständnisses von Tiefziehprozessen mit Ziehsicken auf Basis mechanischer und tribologischer Analysen. FAU University Press.</t>
  </si>
  <si>
    <t>https://opus4.kobv.de/opus4-fau/frontdoor/index/index/docId/20139</t>
  </si>
  <si>
    <t>Szpunar, M., Balcerzak, M., &amp; Żaba, K. (2022). Shape Accuracy in Single Point Incremental Forming of Conical Frustums from Titanium CP2 Sheets. Rzeszów University of Technology. Journal of Mechanics, 39(94), 63-75.</t>
  </si>
  <si>
    <t>GP Rusu, A Bârsan, MO Popp, A Maroșan (ULBS)</t>
  </si>
  <si>
    <t>Najm, S. M. (2022). Parametric effects of single point incremental sheet forming., PhD Thesis</t>
  </si>
  <si>
    <t>https://scholar.google.ro/scholar?hl=ro&amp;as_sdt=0%2C5&amp;q=Parametric+effects+of+single+point+incremental+sheet+forming&amp;btnG=</t>
  </si>
  <si>
    <t>Teza de doctorat indexata in Google Scholar</t>
  </si>
  <si>
    <t>Alexandru Bârsan, Sever-Gabriel Racz, Radu Breaz, Mihai Crenganiș (ULBS)</t>
  </si>
  <si>
    <t>Dynamic analysis of a robot-based incremental sheet forming using Matlab-Simulink Simscape™ environment</t>
  </si>
  <si>
    <t>B. A. Nicolin and I. Nicolin 2022 IOP Conf. Ser.: Mater. Sci. Eng. 1268 012005</t>
  </si>
  <si>
    <t>https://iopscience.iop.org/article/10.1088/1757-899X/1268/1/012005</t>
  </si>
  <si>
    <t xml:space="preserve">BDI </t>
  </si>
  <si>
    <t>A Brief Review of Robotic Machining</t>
  </si>
  <si>
    <t>Popp, Mihai-Octavian, Rusu, Gabriela-Petruța, Popp, Ilie-Octavian and Gîrjob, Claudia-Emilia. "Numerical Study of a Variable Wall Angle Made of DC01 Steel by Incremental Forming Process" Acta Universitatis Cibiniensis. Technical Series, vol.74, no.1, 2022, pp.21-25. https://doi.org/10.2478/aucts-2022-0004</t>
  </si>
  <si>
    <t>https://sciendo.com/article/10.2478/aucts-2022-0004?tab=pdf-preview</t>
  </si>
  <si>
    <t>Racz Sever-Gabriel, Mihai Crenganiș, Radu-Eugen Breaz, Adrian Maroșan, Alexandru Bârsan, Claudia-Emilia Gîrjob, Cristina-Maria Biriș,  Melania Tera</t>
  </si>
  <si>
    <t xml:space="preserve"> “Mobile Robots—AHP-Based Actuation Solution Selection and Comparison between Mecanum Wheel Drive and Differential Drive with Regard to Dynamic Loads”. </t>
  </si>
  <si>
    <t>Adrian MAROȘAN, George CONSTANTIN, Claudia Emilia GÎRJOB, Anca Lucia CHICEA, Mihai CRENGANIȘ, Mechatronic design and implementation of a modular mobile robotic platform with four omnidirectional wheels, Proceedings in Manufacturing Systems, Vol. 17, Issue 2, 2022, pp. 47-53.</t>
  </si>
  <si>
    <t>https://www.proquest.com/docview/2765803007/5687F976D2604F76PQ/2?accountid=8083</t>
  </si>
  <si>
    <t>I.A. Marosan, G. Constantin (UPB), A Chicea, A. Bârsan</t>
  </si>
  <si>
    <t>Study Regarding the Autonomous Mobile Platforms Used in Industry</t>
  </si>
  <si>
    <t>Fineas MORARIU, Sever-Gabriel RACZ, Autonomous lawn mowers: A comparative approach, Proceedings in Manufacturing Systems, Vol. 17, Issue 2, 2022, pp. 63-67.</t>
  </si>
  <si>
    <t xml:space="preserve">Antezana Aguirre, Mario Alejandro
Cuenca Castillo, Christian Daivy, Costos de producción y situación económica y financiera en una empresa de producción de muebles en Villa El Salvador año 2021, </t>
  </si>
  <si>
    <t>https://revistas.unicartagena.edu.co/index.php/panoramaeconomico/article/view/4218</t>
  </si>
  <si>
    <t>Erihplus, Ebsco, Andres etc</t>
  </si>
  <si>
    <t>https://repositorio.ucv.edu.pe/bitstream/handle/20.500.12692/100601/Antezana_AMA-Cuenca_CCD-SD.pdf?sequence=1&amp;isAllowed=y</t>
  </si>
  <si>
    <t xml:space="preserve">Teza de doctorat </t>
  </si>
  <si>
    <t>CM Biris, CE Girjob, O Bologa</t>
  </si>
  <si>
    <t>Researches Regarding Optimizing the Accuracy of CNC Laser Cutting Machines</t>
  </si>
  <si>
    <t xml:space="preserve">H Aleksiienko, CNC laser as a way to implement adaptive technology,, </t>
  </si>
  <si>
    <t>https://gprosperity.org/index.php/journal/article/view/59</t>
  </si>
  <si>
    <t xml:space="preserve">Crossref , Scilit, Dimensions, Scite, WorldCat, </t>
  </si>
  <si>
    <t>Paunoiu V. Gavriluţă A. C., Niţu E.L., Gavriluţă A., Anghel D.C, Stănescu N.D., Radu M. C., Crețu Gh., Biris C.</t>
  </si>
  <si>
    <t>The development of a laboratory system to experiment methods to improve the production flows</t>
  </si>
  <si>
    <t>G C Neacsu, I G Pascu, E L Nitu, L Ionescu, A C Gavriluta,N Belu, Development of a "Virtual Learning Factory" for learning and applying specific Lean manufacturing methods,  IOP Conf. Ser.: Mater. Sci. Eng. 1235 012078, DOI 10.1088/1757-899X/1235/1/012078</t>
  </si>
  <si>
    <t>https://iopscience.iop.org/article/10.1088/1757-899X/1235/1/012078/meta</t>
  </si>
  <si>
    <t xml:space="preserve">Barsan A., Studii și cercetări privind utilizarea roboților industriali în procesele de deformare plastică, Teza de doctorat, ULBS </t>
  </si>
  <si>
    <t>Sherwan Mohammed Najm, Parametric Effects of Single Point Incremental Sheet
Forming, Doctoral Thesis</t>
  </si>
  <si>
    <t>https://repozitorium.omikk.bme.hu/bitstream/handle/10890/18714/ertekezes.pdf?sequence=2</t>
  </si>
  <si>
    <t>Popp, Mihai-Octavian ; Rusu, Gabriela-Petruța ; Popp, Ilie-Octavian ; Gîrjob, Claudia-Emilia, Numerical Study of a Variable Wall Angle Made of DC01 Steel by Incremental Forming Proces, Acta Universitatis Cibiniensis. Technical Series, Volume 74, Issue 1, pp.21-25, DOI  
10.2478/aucts-2022-0004</t>
  </si>
  <si>
    <t>https://sciendo.com/it/article/10.2478/aucts-2022-0004</t>
  </si>
  <si>
    <t>EBSCO, SCILIT, WorldCat, CNKI Scholar, Dimensions, etc</t>
  </si>
  <si>
    <t>Wang, S., Song, Z., Du, H., &amp; Gu, F. (2022, July). Highly-Robust Feature Detection Method in Shape-Coded Structured Light Based on End-to-End Deep Neural Network. In 2022 IEEE International Conference on Real-time Computing and Robotics (RCAR) (pp. 493-498). IEEE.</t>
  </si>
  <si>
    <t>https://ieeexplore.ieee.org/abstract/document/9872270</t>
  </si>
  <si>
    <t>INSPEC </t>
  </si>
  <si>
    <t>Vranješ, D., &amp; Niggemann, O. (2022, May). Anomaly detection based on time series data from industrial automatic sewing machines. In 2022 IEEE 5th International Conference on Industrial Cyber-Physical Systems (ICPS) (pp. 01-08). IEEE.</t>
  </si>
  <si>
    <t>Alexandru Bârsan, Sever-Gabriel Racz, Radu Breaz</t>
  </si>
  <si>
    <t>Incremental forming using KUKA KR210-2 industrial robot-research regarding design rules and process modelling</t>
  </si>
  <si>
    <t>Alexandru Bârsan, Sever-Gabriel Racz, Radu Breaz, Mihai Crenganiș</t>
  </si>
  <si>
    <t>B. A. Nicolin and I. Nicolin, Simulation of the hydraulic steering device, for a nose landing gear, DOI 10.1088/1757-899X/1268/1/012005</t>
  </si>
  <si>
    <t>https://iopscience.iop.org/article/10.1088/1757-899X/1268/1/012005/meta</t>
  </si>
  <si>
    <t>Grešová, Zuzana; Ižol, Peter, Comparison of Simulated Machining Time with Real Machining Time at Free-form Surfaces Milling., Acta Mechanica Slovaca . Mar2022, Vol. 26 Issue 1, p58-65</t>
  </si>
  <si>
    <t>https://eds.s.ebscohost.com/abstract?site=eds&amp;scope=site&amp;jrnl=13352393&amp;AN=162311651&amp;h=MHRcBi6gX3UfrCi5tTGoSMqYSYRGMxND4de3v3sjP0sz0MKdbE0Cjomg%2bnwtJ3yq4kgG4%2fetFPcUQCK5Pt8X%2bg%3d%3d&amp;crl=c&amp;resultLocal=ErrCrlNoResults&amp;resultNs=Ehost&amp;crlhashurl=login.aspx%3fdirect%3dtrue%26profile%3dehost%26scope%3dsite%26authtype%3dcrawler%26jrnl%3d13352393%26AN%3d162311651</t>
  </si>
  <si>
    <t>HASSAN, M. S., &amp; MOHD AMIN, A. (2022). Optimisation of Surface Roughness in The Cnc Milling Process. Research Progress in Mechanical and Manufacturing Engineering, 3(1), 267–277. Retrieved from https://publisher.uthm.edu.my/periodicals/index.php/rpmme/article/view/3839</t>
  </si>
  <si>
    <t>https://publisher.uthm.edu.my/periodicals/index.php/rpmme/article/view/3839</t>
  </si>
  <si>
    <t>Crossref, Malayesian citation center, etc</t>
  </si>
  <si>
    <t xml:space="preserve">Ižol, P., Varga, J., Vrabeľ, M., Demko, M., Greš, M, EVALUATION OF 3-AXIS AND 5-AXIS MILLING STRATEGIES WHEN MACHINING FREEFORM SURFACE FEATURE, JPE (2022) Vol.25 (1) </t>
  </si>
  <si>
    <t>https://www.researchgate.net/profile/Jan-Varga-2/publication/361718960_EVALUATION_OF_3-AXIS_AND_5-AXIS_MILLING_STRATEGIES_WHEN_MACHINING_FREEFORM_SURFACE_FEATURES/links/62d835f5fdad924dcbf60b20/EVALUATION-OF-3-AXIS-AND-5-AXIS-MILLING-STRATEGIES-WHEN-MACHINING-FREEFORM-SURFACE-FEATURES.pdf</t>
  </si>
  <si>
    <t>Peter Ižol, Zuzana Grešová, Marek Vrabeľ, Jozef Brindza, Michal Demko, The influence of tool path strategies for 3- and 5-axis milling on the accuracy and roughness of shaped surfaces, Machines. Technologies. Materials, Vol. 16 (2022), Issue 7, pg(s) 234-237</t>
  </si>
  <si>
    <t>https://stumejournals.com/journals/mtm/2022/7/234</t>
  </si>
  <si>
    <t>Vesa Marttila, : Hybrid manufacturing: combining metal additive manufacturing and multi-axis
machining into a hybrid manufacturing system</t>
  </si>
  <si>
    <t>https://www.theseus.fi/bitstream/handle/10024/784822/Marttila_Vesa.pdf?sequence=2</t>
  </si>
  <si>
    <t>Soenandi, I. A., &amp; Saint Witerang, L. . (2023). A Ranking of the Support Criteria for Employees’ Productivity Improvement When Working from Home . International Dialogues on Education Journal, 9(1). https://doi.org/10.53308/ide.v9i1.293</t>
  </si>
  <si>
    <t>https://idejournal.org/index.php/ide/article/view/293</t>
  </si>
  <si>
    <t>Breaz R. E., Bologa O., Racz S. G., Oleksik V., Gîrjob C.E.</t>
  </si>
  <si>
    <t>Low-cost solutions for manipulation tasks in manufacturing systems: balancing costs and performances</t>
  </si>
  <si>
    <t>Gonçalves, L. D. S. (2022). Desenvolvimento de sistemas de monitorização de montagem de componentes na indústria automóvel (Doctoral dissertation).</t>
  </si>
  <si>
    <t>https://www.sciencedirect.com/science/article/pii/S1474667016309259</t>
  </si>
  <si>
    <t>İpek Deveci Kocakoç, Gökçe Baysal Türkölmez, Selection of Solder Paste Inspection Machines by Multi-Criteria Decision Analysis, col4, no1</t>
  </si>
  <si>
    <t>https://jomaes.org/index.php/jomaes/article/view/73</t>
  </si>
  <si>
    <t>Nilüfer KURŞUNOĞLU Seyhan ÖNDER Mustafa ÖNDER, SELECTION OF AN APPROPRIATE PERSONAL PROTECTIVE EQUIPMENT USING THE ANALYTIC HIERARCHY PROCESS, ESOGÜ Müh Mim Fak Derg. 2022, 30(1), 141-151</t>
  </si>
  <si>
    <t>https://dergipark.org.tr/en/download/article-file/2107341</t>
  </si>
  <si>
    <t>Ebsco, Copernicus</t>
  </si>
  <si>
    <t>Sotnik, S., Lyashenko, V., Modern Industrial Robotics Industry, International Journal of Academic Engineering Research,  Vol. 6(1). – pp. 37-46</t>
  </si>
  <si>
    <t>https://openarchive.nure.ua/items/320d8462-4206-480f-ba14-75e1bfff9f34</t>
  </si>
  <si>
    <t>Arxiv, ResearchGate, Scirus, getCITED</t>
  </si>
  <si>
    <t>Ionut Chera, Octavian Bologa, Gabriel Racz, Radu Breaz, Mihai Crenganis</t>
  </si>
  <si>
    <t>FEM researches regarding incremental forming process</t>
  </si>
  <si>
    <t>Mihai Crenganis, Radu Breaz, Gabriel Racz, Octavian Bologa</t>
  </si>
  <si>
    <t>Adaptive neuro-fuzzy inference system for kinematics solutions of redundant robots</t>
  </si>
  <si>
    <t xml:space="preserve">I Sulaeman, AW Dani, Triyanto Pangaribowo, Analisa Inverse Kinematics Pada Prototype 3-DOF Arm Robot Dengan Metode ANFISm, Jurnal Teknologies Electro, Vol. 13. No. 01, 14-18, DOI: 10.22441/jte.2022.v13i1.003 </t>
  </si>
  <si>
    <t>https://pdfs.semanticscholar.org/d85f/1ad5ab8576a8b266c7f8478eda232e87b5b7.pdf</t>
  </si>
  <si>
    <t>Octavian Bologa, Radu-Eugen Breaz, Sever-Gabriel Racz, Mihai Crenganiş</t>
  </si>
  <si>
    <t>Using the Analytic Hierarchy Process (AHP) in evaluating the decision of moving to a manufacturing process based upon continuous 5 axes CNC machine-tools</t>
  </si>
  <si>
    <t xml:space="preserve">Chura Sánchez, Harold Eder, Riesgo psicosocial y desempeño laboral en los funcionarios de la
Municipalidad Distrital de Alonso de Alvarado San Martín, </t>
  </si>
  <si>
    <t>https://repositorio.ucv.edu.pe/bitstream/handle/20.500.12692/83908/Chura_SHE-SD.pdf?sequence=1&amp;isAllowed=y</t>
  </si>
  <si>
    <t>R.E .Breaz, O.C .Bologa, V.S. Oleksik, G.S .Racz</t>
  </si>
  <si>
    <t>Computer Simulation for the Study of
CNC Feed Drives Dynamic Behavior and Accuracy</t>
  </si>
  <si>
    <t>Teerayut Jeerapongudom, , Saiful Anwar Bin Che Ghani, Worapong Sawangsri, Design and Development of mini CNC Machine for High
Performance Machining , EasyChair Preprint,  no. 9104</t>
  </si>
  <si>
    <t>https://easychair.org/publications/preprint/dDmN</t>
  </si>
  <si>
    <t>Najm, S.M., Parametric Effects  of Single Point Incremental Sheet Forming, 2022,  Doctoral thesis</t>
  </si>
  <si>
    <t>Radu Eugen Breaz, Octavian Bologa, Sever Gabriel Racz</t>
  </si>
  <si>
    <t>Donndelinger, J. A., &amp; Retzlaff, L. J., &amp; Richards, S. M. (2022, March), Developing and Applying Manufacturing Process Simulation Tools to Improve Students’ Execution of Engineering Design Course Projects Paper presented at 2022 ASEE Gulf Southwest Annual Conference, Prairie View, Texas. https://peer.asee.org/39172</t>
  </si>
  <si>
    <t>https://peer.asee.org/developing-and-applying-manufacturing-process-simulation-tools-to-improve-students-execution-of-engineering-design-course-projects</t>
  </si>
  <si>
    <t>Radu-Eugen BREAZ, Octavian BOLOGA, Gabriel RACZ, Valentin OLEKSIK</t>
  </si>
  <si>
    <t>Improving cnc machine tools accuracy by means of the circular test and simulation</t>
  </si>
  <si>
    <t>Ismail, H., Chiang, C., and Chieng, W., "Onboard Sensor and Actuator Calibration of a Tripod Electric Vehicle Using Circular, Linear, and Cornering Motion Tests," SAE Int. J. Commer. Veh. 16(1):87-109, 2023, https://doi.org/10.4271/02-16-01-0006.
Download Citation</t>
  </si>
  <si>
    <t>Radu-Eugen Breaz, Sever-Gabriel Racz</t>
  </si>
  <si>
    <t>Using the modern CNC controllers capabilities for estimating the machining forces during the milling process</t>
  </si>
  <si>
    <t>Jeremy Daily, Amy Eddy, Leveraging the Systems Engineering Life Cycle Process for Reverse Engineering, INCOSE International SymposiumVolume 32, Issue 1 p. 903-917</t>
  </si>
  <si>
    <t>https://incose.onlinelibrary.wiley.com/doi/abs/10.1002/iis2.12971</t>
  </si>
  <si>
    <t>Sever-Gabriel Racz, Radu-Eugen Breaz, Lucian-Ionel Cioca</t>
  </si>
  <si>
    <t>Hazards That Can Affect CNC Machine Tools during Operation—An AHP Approach</t>
  </si>
  <si>
    <t>ELMIAWAN, Puguh et al. AKURASI MESIN CNC ROUTER LOW BUDGET BERBASIS MACH 3. ROTOR, [S.l.], v. 15, n. 2, p. 70-75, nov. 2022. ISSN 2460-0385.</t>
  </si>
  <si>
    <t>https://jurnal.unej.ac.id/index.php/RTR/article/view/34645</t>
  </si>
  <si>
    <t>BDi</t>
  </si>
  <si>
    <t>Valentin Oleksik, Adrian Pascu, Daniel Mara, Octavian Bologa, Gabriel Racz, Radu Breaz</t>
  </si>
  <si>
    <t>Influence of geometric parameters on strain and thickness reduction in incremental forming process</t>
  </si>
  <si>
    <t>MO Popp, GP Rusu, IO Popp, CE Gîrjob, Numerical Study of a Variable Wall Angle Made of DC01 Steel by Incremental Forming Process, ACTA UNIVERSITATIS CIBINIENSIS, 74, DOI: 10.2478/aucts-2022-0004</t>
  </si>
  <si>
    <t>https://sciendo.com/pdf/10.2478/aucts-2022-0004</t>
  </si>
  <si>
    <t>A Barsan, M Crenganis, AI Marosan, AL Chicea (ULBS)</t>
  </si>
  <si>
    <t>Tool-holder working unit used for robot-based incremental sheet forming</t>
  </si>
  <si>
    <t>A Bârsan - 2022 - digital-library.ulbsibiu.ro, Studii și cercetări privind utilizarea roboților industriali în procesele de deformare plastică</t>
  </si>
  <si>
    <t xml:space="preserve">http://digital-library.ulbsibiu.ro/xmlui/handle/12345 6789/3247 </t>
  </si>
  <si>
    <t>Bwalya, M., Chikasa, N. I., Bwanga, O., Makukula, Z., Chanda, N., Chanda, E., &amp; Chitamya, K. (2022). Medical Imaging of Pentalogy of Cantrell: A Case Report from Zambia. Medical Journal of Zambia, 49(1), 102-109.</t>
  </si>
  <si>
    <t>https://web.s.ebscohost.com/abstract?direct=true&amp;profile=ehost&amp;scope=site&amp;authtype=crawler&amp;jrnl=0047651X&amp;AN=158659325&amp;h=M91kz9JFyIxIxNUjFoOM7gqJXSf5k%2bIYHuOHoAWdyJEiEi03w4dvi75Adh9HRmK%2b%2f48zMgqU61zHilX%2fAHE46g%3d%3d&amp;crl=c&amp;resultNs=AdminWebAuth&amp;resultLocal=ErrCrlNotAuth&amp;crlhashurl=login.aspx%3fdirect%3dtrue%26profile%3dehost%26scope%3dsite%26authtype%3dcrawler%26jrnl%3d0047651X%26AN%3d158659325</t>
  </si>
  <si>
    <t>Sana, M. K., &amp; Rentea, R. M. (2022). Pentalogy of Cantrell. In StatPearls [Internet]. StatPearls Publishing.</t>
  </si>
  <si>
    <t>https://www.ncbi.nlm.nih.gov/books/NBK558948/</t>
  </si>
  <si>
    <t>Yisa HK, Benefits of Same Day Discharge after Transurethral Bipolar Resection or Laser Enucleation for the Treatment of Benign Prostatic Hyperplasia; A Systematic Review. Ame J Surg Clin Case Rep. 2022; 4(7): 1-8</t>
  </si>
  <si>
    <t>https://issuu.com/ajsccr.com/docs/img_46815</t>
  </si>
  <si>
    <t>Bangalia, D., Sonkariya, S., Mastan, C., &amp; Barolia, D. K. Pentalogy of cantrell, type 2-A rare entity.</t>
  </si>
  <si>
    <t>https://www.jpns.in/html-article/16341</t>
  </si>
  <si>
    <t>Popp, M. O., Rusu, G. P., Popp, I. O., &amp; Gîrjob, C. E. (2022). Numerical Study of a Variable Wall Angle Made of DC01 Steel by Incremental Forming Process. Acta Universitatis Cibiniensis. Technical Series, 74(1), 21-25.</t>
  </si>
  <si>
    <t>https://sciendo.com/article/10.2478/aucts-2022-0004</t>
  </si>
  <si>
    <t>Marques, C. R. M. (2022). Estudo do processo de estampagem incremental em chapas de titânio comercialmente puro ASTM F-67 grau 2. Processos de Fabricação.</t>
  </si>
  <si>
    <t>https://ojs.brazilianjournals.com.br/ojs/index.php/BRJD/article/view/46767</t>
  </si>
  <si>
    <t>Beke, A., Bartek, V., &amp; Simonyi, A. (2022). Fetal Craniospinal Malformations: Aetiology and Diagnosis.</t>
  </si>
  <si>
    <t>https://www.intechopen.com/chapters/81269</t>
  </si>
  <si>
    <t>Vargas, V., &amp; Esmeralda, S. (2022). Marcadores prenatales en fetos con espina bífida y su correlación con neurodesarrollo infantil.</t>
  </si>
  <si>
    <t>http://dgsa.uaeh.edu.mx:8080/jspui/handle/231104/2889</t>
  </si>
  <si>
    <t>Abdullaiev, R., &amp; Mamedov, I. (2022). Ultrasonography in the diagnosis of lumbar disc herniation in young adult.</t>
  </si>
  <si>
    <t>http://journals.uran.ua/sr_med/article/view/255487</t>
  </si>
  <si>
    <t>МАМЕДОВ, І. Г. О. (2022). УЛЬТРАЗВУКОВА ДІАГНОСТИКА ДЕГЕНЕРАТИВНИХ ЗМІН МІЖХРЕБЦЕВИХ ДИСКІВ ПОПЕРЕКОВОГО ВІДДІЛУ ХРЕБТА В ОСІБ ПІДЛІТКОВОГО ТА ЮНАЦЬКОГО ВІКУ.</t>
  </si>
  <si>
    <t>https://www.nuozu.edu.ua/zagruzka2/DrAr/vidg1_Mamedov.pdf</t>
  </si>
  <si>
    <t>ЗАВЕРТИЛЕНКО, Д. С. (2022). ЛАПАРОСКОПІЧНА ГАСТРОПЛІКАЦІЯ В ХІРУРГІЧНОМУ ЛІКУВАННІ МЕТАБОЛІЧНОГО СИНДРОМУ.</t>
  </si>
  <si>
    <t>http://ir.nuozu.edu.ua:8080/bitstream/lib/4109/1/%D0%94%D0%B8%D1%81%D0%B5%D1%80%D1%82%D0%B0%D1%86i%D1%8F%20%D0%97%D0%B0%D0%B2%D0%B5%D1%80%D1%82%D0%B8%D0%BB%D0%B5%D0%BD%D0%BA%D0%BE%20%281%29.pdf</t>
  </si>
  <si>
    <t>Gheorghe Brabie, Roxana Lupu, Alin Daniel Rizea, Constantin CărăuȘu, Anca-Lucia Chicea, Cătălina Maier</t>
  </si>
  <si>
    <t>Review of recent stretch forming development</t>
  </si>
  <si>
    <t>Viswanadhapalli, B., VK, B. R., &amp; Nagaraju, K. C. (2022). Experimental study and machine learning model to predict formability of magnesium alloy sheet. F1000Research, 11(1118), 1118.</t>
  </si>
  <si>
    <t>https://f1000research.com/articles/11-1118</t>
  </si>
  <si>
    <t>B Chiliban, CV Kifor (Universitatea "Lucian Blaga" Sibiu) , LM Baral (Ahsanullah University of Science and Technology)</t>
  </si>
  <si>
    <t>Review of knowledge management models for implementation within advanced product quality planning</t>
  </si>
  <si>
    <t>Establishing Knowledge Management Model of Quality Management Systems for Higher Education Institutions</t>
  </si>
  <si>
    <t>IGI Global</t>
  </si>
  <si>
    <t>Study regarding the physical-mechanical properties of knits for garments–pilling performance</t>
  </si>
  <si>
    <t xml:space="preserve">Maximilien Schrub - Méthodologie de prédiction de la durée de vie des vêtements selon la qualité des textiles et le comportement des consommateurs - Contribution à la réduction des impacts environnementaux : Contribution à la réduction des impacts environnementaux - Thesis, Chemical and Process Engineering, </t>
  </si>
  <si>
    <t>https://theses.hal.science/tel-04030486/</t>
  </si>
  <si>
    <t>Google scholar</t>
  </si>
  <si>
    <t>Vlad Dorin, Coldea Alina Mihaela, Budulan Costea</t>
  </si>
  <si>
    <t>The influence of raw material on the liquid moisture transport through knitted fabric.</t>
  </si>
  <si>
    <r>
      <rPr>
        <sz val="10"/>
        <color rgb="FF000000"/>
        <rFont val="Arial Narrow"/>
      </rPr>
      <t xml:space="preserve">KT Yilma, DY Limeneh - </t>
    </r>
    <r>
      <rPr>
        <i/>
        <sz val="10"/>
        <color rgb="FF000000"/>
        <rFont val="Arial Narrow"/>
      </rPr>
      <t xml:space="preserve">Review on Moisture Management Finish: Mechanism and Evaluation </t>
    </r>
    <r>
      <rPr>
        <sz val="10"/>
        <color rgb="FF000000"/>
        <rFont val="Arial Narrow"/>
      </rPr>
      <t>- Journal of Natural Fibers, 2022 - Taylor &amp; Francis, https://doi.org/10.1080/15440478.2021.1966566</t>
    </r>
  </si>
  <si>
    <t>https://www.tandfonline.com/doi/abs/10.1080/15440478.2021.1966566</t>
  </si>
  <si>
    <t>Research Regarding the Physical-Mechanical Properties of Knits for Garments - Abrasion Resistance.</t>
  </si>
  <si>
    <r>
      <rPr>
        <sz val="10"/>
        <color theme="1"/>
        <rFont val="Arial Narrow"/>
      </rPr>
      <t xml:space="preserve">Omar V. Godoy-Collaguazo, Ana Umaquinga-Criollo, Marco Naranjo-Toro, Ronny M. Flores &amp; Katherin Chulde - </t>
    </r>
    <r>
      <rPr>
        <i/>
        <sz val="10"/>
        <color theme="1"/>
        <rFont val="Arial Narrow"/>
      </rPr>
      <t>Abrasion Thermo-transference Fabric Vinyl Resistance and Its Application in Haptics Perception Stimuli - International Conference on Applied Technologies
ICAT 2022: Applied Technologies pp 106–120</t>
    </r>
  </si>
  <si>
    <t>https://link.springer.com/chapter/10.1007/978-3-031-24978-5_10</t>
  </si>
  <si>
    <t>Ferreira, Ana Francisca Monteiro, Functionalization of highly elastic materials with antibacterial finishing, Thesis, 2022</t>
  </si>
  <si>
    <t>https://repositorium.sdum.uminho.pt/handle/1822/83752</t>
  </si>
  <si>
    <t xml:space="preserve">Aslan Mine, THE USE OF LIPOSOMAL ENCAPSULATED SOME PLANT EXTRACTS IN
BREAD AND FRESH PASTA FORMULATIONS AS NATURAL PRESERVATIVES,  NECMETTİN ERBAKAN
ÜNİVERSİTY, Thesis, 2022
</t>
  </si>
  <si>
    <t>https://acikerisim.erbakan.edu.tr/xmlui/bitstream/handle/20.500.12452/8751/M%c4%b0NE%20ASLAN.pdf?sequence=1&amp;isAllowed=y</t>
  </si>
  <si>
    <r>
      <rPr>
        <sz val="10"/>
        <color rgb="FF000000"/>
        <rFont val="Arial Narrow"/>
      </rPr>
      <t>Bolling, B., Yuvvei, Voss, D., Methods of isolating phenols from phenol-containing</t>
    </r>
    <r>
      <rPr>
        <sz val="10"/>
        <color rgb="FF000000"/>
        <rFont val="Arial Narrow"/>
      </rPr>
      <t xml:space="preserve"> media, US11548845B2, 2022</t>
    </r>
  </si>
  <si>
    <t>https://patents.google.com/patent/US11548845B2/en</t>
  </si>
  <si>
    <r>
      <rPr>
        <sz val="10"/>
        <color rgb="FF000000"/>
        <rFont val="Arial Narrow"/>
      </rPr>
      <t xml:space="preserve">J. A. Chávez Cobián, </t>
    </r>
    <r>
      <rPr>
        <sz val="10"/>
        <color rgb="FF000000"/>
        <rFont val="Arial Narrow"/>
      </rPr>
      <t>ANÁLISIS DE FACTIBILIDAD DE UN BIOPROCESO PARA LA OBTENCIÓN DE ANTOCIANINAS A PARTIR DEL BAGAZO DE</t>
    </r>
    <r>
      <rPr>
        <sz val="10"/>
        <color rgb="FF000000"/>
        <rFont val="Arial Narrow"/>
      </rPr>
      <t xml:space="preserve"> Agave lechuguilla, Centro de Investigaciones Biológicas del Noroeste, Thesis, 2022</t>
    </r>
  </si>
  <si>
    <t>http://dspace.cibnor.mx:8080/handle/123456789/3117</t>
  </si>
  <si>
    <r>
      <rPr>
        <sz val="10"/>
        <color rgb="FF000000"/>
        <rFont val="Arial Narrow"/>
      </rPr>
      <t xml:space="preserve">Manjula GS, Krishna HC, Sadanand K Mushrif, Manjunatha Reddy TB, Shankarappa TH, Standardization of anthocyanin extraction from Roselle
(Hibiscus sabdariffa L.) calyces for edible colour, </t>
    </r>
    <r>
      <rPr>
        <sz val="10"/>
        <color rgb="FF000000"/>
        <rFont val="Arial Narrow"/>
      </rPr>
      <t>THE PHARMA INNOVATON FOURNAL, 2022</t>
    </r>
  </si>
  <si>
    <t>https://www.thepharmajournal.com/archives/2022/vol11issue3/PartR/11-3-172-371.pdf</t>
  </si>
  <si>
    <t>Google Scholar/ Index Copernicus, Ulrichsweb</t>
  </si>
  <si>
    <t>Coman Diana, Vrînceanu Narcisa, Dinu Milena, Cipăian Remus Calin (ULBS)</t>
  </si>
  <si>
    <t>New Alternative in the Methodology of Extraction and Dyeing with Active Molecules Derived from Vegetal Sources</t>
  </si>
  <si>
    <t>P Kumarmath, A Kawatal, K Nimbargi , A Review On Extraction Of Dye From Terminalia Catappa Hull: A Substitute To Synthetic Dyes, Journal of Emerging Technologies and Innovative Research, 2022</t>
  </si>
  <si>
    <t>https://papers.ssrn.com/sol3/papers.cfm?abstract_id=4047977</t>
  </si>
  <si>
    <t>Nagy Alexandra-Mihaela,  Boboc (Oros) Paula, Cătană Corina,Antofie Maria-Mihaela, Sava Sand Camelia , COMPARATIVE STUDY OF TWO VARIETIES OF PURPLE FLASH POTATO GROWN IN VITRO, Scientific Bulletin. Series F. Biotechnologies, 2022</t>
  </si>
  <si>
    <t>https://www.researchgate.net/profile/Alexandra-Mihaela-Nagy/publication/363820297_COMPARATIVE_STUDY_OF_TWO_VARIETIES_OF_PURPLE_FLASH_POTATO_GROWN_IN_VITRO/links/632f5fc586b22d3db4dbeb67/COMPARATIVE-STUDY-OF-TWO-VARIETIES-OF-PURPLE-FLASH-POTATO-GROWN-IN-VITRO.pdf</t>
  </si>
  <si>
    <t>Google Scholar/ Index Copernicus, Doaj, Cabi, Scipio</t>
  </si>
  <si>
    <t>Coman Diana, Oancea Simona, Vrînceanu Narcisa, Stoia Mihaela (ULBS)</t>
  </si>
  <si>
    <t>Sonication and conventional dyeing procedures of flax fibres with Allium cepa anthocyanin extract</t>
  </si>
  <si>
    <t>Ghea Delsia, EFFECT OF FREQUENCY AND DURATION OF ULTRASONICATION ON THE PHYSICAL AND CHEMICAL
CHARACTERISTICS OF NATA DE COCO COLORED WITH
SUJI (Dracaena angustifolia) LEAVES EXTRACT, Sriwijaya University, Thesis, 2022</t>
  </si>
  <si>
    <t>https://repository.unsri.ac.id/74082/3/RAMA_41231_05031181823085_0030066602_01_front_ref.pdf</t>
  </si>
  <si>
    <t>Grešová, Zuzana; Ižol, Peter, Comparison of Simulated Machining Time with Real Machining Time at Free-form Surfaces Milling., cta Mechanica Slovaca . Mar2022, Vol. 26 Issue 1, p58-65</t>
  </si>
  <si>
    <r>
      <rPr>
        <sz val="10"/>
        <color theme="1"/>
        <rFont val="Arial Narrow"/>
      </rPr>
      <t>E. Viana, V. H. Pinto, J. Lima and G. Gonçalves, "Mecanum Wheel Robotic Platform for Educational Purposes: A Cost-Effective Approach," </t>
    </r>
    <r>
      <rPr>
        <i/>
        <sz val="10"/>
        <color theme="1"/>
        <rFont val="Arial Narrow"/>
      </rPr>
      <t>2022 10th International Conference on Control, Mechatronics and Automation (ICCMA)</t>
    </r>
    <r>
      <rPr>
        <sz val="10"/>
        <color theme="1"/>
        <rFont val="Arial Narrow"/>
      </rPr>
      <t>, Belval, Luxembourg, 2022, pp. 71-75, doi: 10.1109/ICCMA56665.2022.10011588.</t>
    </r>
  </si>
  <si>
    <t>ihai Crenganis, Radu Breaz, Gabriel Racz, Octavian Bologa</t>
  </si>
  <si>
    <t xml:space="preserve">
Adaptive neuro-fuzzy inference system for kinematics solutions of redundant robots</t>
  </si>
  <si>
    <t xml:space="preserve">Murti Retnowo, Anita Fira Waluyo, Penerapan Supply Chain Management Untuk Mengoptimalkan Produksi Berdasarkan Persediaan Barang, Vol. 2 No. 2 (2022): Journal of Information System and Artificial Intelligence Vol II, No II Mei 2022 </t>
  </si>
  <si>
    <t>https://doi.org/10.26486/jisai.v2i2.71</t>
  </si>
  <si>
    <t>Frida Julieta Gallegos Méndez, Humberto García Castellanos, Carlos Alberto Ochoa Ortiz, MODELADO DE SIMILITUD DE CARROS TRANSPORTADORES DE COMPONENTES AUTOMOTRICES EN LÍNEAS DE PRODUCCIÓN PARA OPTIMIZAR LA CADENA DE SUMINISTROS MEDIANTE ANÁLISIS FACTORIAL EXPLORATORIO CON SPSS, REVISTA DE DIFUSIÓN TÉCNICO CIENTÍFICO DEL INSTITUTO TECNOLÓGICO DE MILPA ALTA, PSUMTEC ǀ Volumen 5 – Núm. 1 Esp. ǀ enero – junio 2022</t>
  </si>
  <si>
    <t>https://www.researchgate.net/publication/363579198_MODELADO_DE_SIMILITUD_DE_CARROS_TRANSPORTADORES_DE_COMPONENTES_AUTOMOTRICES_EN_LINEAS_DE_PRODUCCION_PARA_OPTIMIZAR_LA_CADENA_DE_SUMINISTROS_MEDIANTE_ANALISIS_FACTORIAL_EXPLORATORIO_CON_SPSS#fullTextFileContent</t>
  </si>
  <si>
    <t>teza de doctorat</t>
  </si>
  <si>
    <t>Iosif-Adrian Maroşan(ULBS), George Constantin(UPB)</t>
  </si>
  <si>
    <t>Design of a modular locomotion system for autonomous mobile robots</t>
  </si>
  <si>
    <t>E Kubr - 2022, Entwicklung eines Antriebsmoduls für einen modular aufgebauten kooperativen Roboter</t>
  </si>
  <si>
    <t>https://web.archive.org/web/20221020231350id_/https://repositum.tuwien.at/bitstream/20.500.12708/81309/1/Kubr%20Ernst%20Martin%20-%202022%20-%20Entwicklung%20eines%20Antriebsmoduls%20fuer%20einen%20modular...pdf</t>
  </si>
  <si>
    <t>Alexandru Bârsan, Mihai Octavian Popp, GP Rusu, IA Maroșan(ULBS)</t>
  </si>
  <si>
    <t>Robot-Forming-Industrial Robots Used In Single Point Incremental Forming Process</t>
  </si>
  <si>
    <r>
      <rPr>
        <sz val="10"/>
        <color theme="1"/>
        <rFont val="Arial Narrow"/>
      </rPr>
      <t xml:space="preserve">BURNHAM, R. (2022). Made to order: incrementally formed cladding systems. Proceedings </t>
    </r>
    <r>
      <rPr>
        <i/>
        <sz val="10"/>
        <color theme="1"/>
        <rFont val="Arial Narrow"/>
      </rPr>
      <t>ASA 2022</t>
    </r>
    <r>
      <rPr>
        <sz val="10"/>
        <color theme="1"/>
        <rFont val="Arial Narrow"/>
      </rPr>
      <t xml:space="preserve">, 55th International Conference of the
Architectural Science Association (ANZAScA) 1-2 December 2022, Perth, Australia, 415-425. </t>
    </r>
  </si>
  <si>
    <t>https://www.researchgate.net/profile/Fernando-Pavez/publication/366962196_Regenerative_Design_Performance_assessment_a_critical_review/links/63ca02d46fe15d6a5731f938/Regenerative-Design-Performance-assessment-a-critical-review.pdf#page=429</t>
  </si>
  <si>
    <t>Neindexată</t>
  </si>
  <si>
    <t>FRIKHA, S., MOREAU, L. G., BOUGUECHA, A., &amp; HADDAR, M. (2022). Simulation-Based Process Design for the Asymmetric Single Point Incremental Forming of Individual Hip Cup Prosthesis Made of Titanium Alloy. Preprints, doi: 10.20944/preprints202203.0392.v1</t>
  </si>
  <si>
    <t>https://www.preprints.org/manuscript/202203.0392/v1</t>
  </si>
  <si>
    <t>Crossref, Mendeley</t>
  </si>
  <si>
    <t>https://www.preprints.org/manuscript/202203.0392/v2</t>
  </si>
  <si>
    <t>Crossref, Prepub</t>
  </si>
  <si>
    <t>LIU, Z., KUMAR, D., JIRATHEARANAT, S., &amp; WONG, W. H. (2022). A multiple-tool method for fast FEM simulation of incremental sheet forming process, Research Square, 30 pag.</t>
  </si>
  <si>
    <t>https://assets.researchsquare.com/files/rs-1834027/v1_covered.pdf?c=1659618920</t>
  </si>
  <si>
    <t>NAJM, S. M. (2022). Parametric effects of single point incremental sheet forming. Doctoral thesis. Budapest University of Technology and Economics</t>
  </si>
  <si>
    <t>Scholar Google - teză de doctorat</t>
  </si>
  <si>
    <r>
      <rPr>
        <sz val="10"/>
        <color theme="1"/>
        <rFont val="Arial Narrow"/>
      </rPr>
      <t xml:space="preserve">SZPUNAR, M., BALCERZAK, M., &amp; ŻABA, K. (2022). Shape Accuracy in Single Point Incremental Forming of Conical Frustums from Titanium CP2 Sheets. </t>
    </r>
    <r>
      <rPr>
        <i/>
        <sz val="10"/>
        <color theme="1"/>
        <rFont val="Arial Narrow"/>
      </rPr>
      <t>Advances in Mechanical and Materials Engineering</t>
    </r>
    <r>
      <rPr>
        <sz val="10"/>
        <color theme="1"/>
        <rFont val="Arial Narrow"/>
      </rPr>
      <t>,</t>
    </r>
    <r>
      <rPr>
        <i/>
        <sz val="10"/>
        <color theme="1"/>
        <rFont val="Arial Narrow"/>
      </rPr>
      <t xml:space="preserve"> 39</t>
    </r>
    <r>
      <rPr>
        <sz val="10"/>
        <color theme="1"/>
        <rFont val="Arial Narrow"/>
      </rPr>
      <t xml:space="preserve">(94), 63-75, https://doi.org/10.7862/rm.2022.5. </t>
    </r>
  </si>
  <si>
    <t>Crossref, Worldcat</t>
  </si>
  <si>
    <t>ZAWADZKA, A., &amp; STRZELECKA, D. (2022). Study of Forming Process in the Metal-Based Plate Using Finite Element Analysis Modeling. International Conference of Computational Methods in Engineering Science, Zamość, Poland (2022), http://dx.doi.org/10.2139/ssrn.4166387, 9 pagini</t>
  </si>
  <si>
    <t>https://papers.ssrn.com/sol3/papers.cfm?abstract_id=4166387</t>
  </si>
  <si>
    <r>
      <rPr>
        <sz val="10"/>
        <color theme="1"/>
        <rFont val="Arial Narrow"/>
      </rPr>
      <t xml:space="preserve">BÂRSAN, A. (2022). </t>
    </r>
    <r>
      <rPr>
        <i/>
        <sz val="10"/>
        <color theme="1"/>
        <rFont val="Arial Narrow"/>
      </rPr>
      <t xml:space="preserve">Studii și cercetări privind utilizarea roboților industriali în procesele de deformare plastică, </t>
    </r>
    <r>
      <rPr>
        <sz val="10"/>
        <color theme="1"/>
        <rFont val="Arial Narrow"/>
      </rPr>
      <t>Teză de doctorat. Universitatea Lucian Blaga din Sibiu</t>
    </r>
  </si>
  <si>
    <r>
      <rPr>
        <sz val="10"/>
        <color theme="1"/>
        <rFont val="Arial Narrow"/>
      </rPr>
      <t xml:space="preserve">ROȘCA, N. A. (2022). </t>
    </r>
    <r>
      <rPr>
        <i/>
        <sz val="10"/>
        <color theme="1"/>
        <rFont val="Arial Narrow"/>
      </rPr>
      <t xml:space="preserve">Deformarea incrementală a materialelor polimerice. </t>
    </r>
    <r>
      <rPr>
        <sz val="10"/>
        <color theme="1"/>
        <rFont val="Arial Narrow"/>
      </rPr>
      <t>Teză de doctorat. Universitatea Lucian Blaga din Sibiu</t>
    </r>
  </si>
  <si>
    <t>Experimental study about the surface quality of the medical implants obtained by incremental forming. International Journal of Material Forming, Springer-Verlag France, Vol. 3, Suppl. 1, 2010, ISSN 1960-6206, DOI 10.1007/s12289-010-0922-x, p. 935-938.</t>
  </si>
  <si>
    <r>
      <rPr>
        <sz val="10"/>
        <color theme="1"/>
        <rFont val="Arial Narrow"/>
      </rPr>
      <t xml:space="preserve">RATTANACHAN, K., &amp; SITTISAKULJAROEN, S. (2022). Oil Lubrication Effected On Roughness And Profile Error In Single Point Incremental Forming Product. </t>
    </r>
    <r>
      <rPr>
        <i/>
        <sz val="10"/>
        <color theme="1"/>
        <rFont val="Arial Narrow"/>
      </rPr>
      <t>Journal of Positive School Psychology</t>
    </r>
    <r>
      <rPr>
        <sz val="10"/>
        <color theme="1"/>
        <rFont val="Arial Narrow"/>
      </rPr>
      <t>, 3622-3632.</t>
    </r>
  </si>
  <si>
    <t>https://journalppw.com/index.php/jpsp/article/view/7951</t>
  </si>
  <si>
    <t>Index Copernicus, Ulrich's</t>
  </si>
  <si>
    <r>
      <rPr>
        <sz val="10"/>
        <color theme="1"/>
        <rFont val="Arial Narrow"/>
      </rPr>
      <t xml:space="preserve">DE SOUZA, R. M., SCHREIBER, R. G., TEIXEIRA, A. R., DE SOUZA BRITTO, D., GAIO, J. C., &amp; SCHAEFFER, L. (2022). Comparação entre visioplasticidade e fem para determinação das deformações na estampagem incremental em latão C-268: Comparison between visioplasticity and fem for determination of strains in incremental sheet forming in brass sheet C-268 alloy. </t>
    </r>
    <r>
      <rPr>
        <i/>
        <sz val="10"/>
        <color theme="1"/>
        <rFont val="Arial Narrow"/>
      </rPr>
      <t>Brazilian Journal of Development</t>
    </r>
    <r>
      <rPr>
        <sz val="10"/>
        <color theme="1"/>
        <rFont val="Arial Narrow"/>
      </rPr>
      <t>,</t>
    </r>
    <r>
      <rPr>
        <i/>
        <sz val="10"/>
        <color theme="1"/>
        <rFont val="Arial Narrow"/>
      </rPr>
      <t xml:space="preserve"> 8</t>
    </r>
    <r>
      <rPr>
        <sz val="10"/>
        <color theme="1"/>
        <rFont val="Arial Narrow"/>
      </rPr>
      <t>(10), 65200-65213, DOI: https://doi.org/10.34117/bjdv8n10-016</t>
    </r>
  </si>
  <si>
    <t>https://ojs.brazilianjournals.com.br/ojs/index.php/BRJD/article/view/52692</t>
  </si>
  <si>
    <t>ResearchBib</t>
  </si>
  <si>
    <r>
      <rPr>
        <sz val="10"/>
        <color theme="1"/>
        <rFont val="Arial Narrow"/>
      </rPr>
      <t xml:space="preserve">BÂRSAN, A. (2022). </t>
    </r>
    <r>
      <rPr>
        <i/>
        <sz val="10"/>
        <color theme="1"/>
        <rFont val="Arial Narrow"/>
      </rPr>
      <t xml:space="preserve">Studii și cercetări privind utilizarea roboților industriali în procesele de deformare plastică, </t>
    </r>
    <r>
      <rPr>
        <sz val="10"/>
        <color theme="1"/>
        <rFont val="Arial Narrow"/>
      </rPr>
      <t>Teză de doctorat. Universitatea Lucian Blaga din Sibiu</t>
    </r>
  </si>
  <si>
    <t>Influence of geometrical parameters, wall angle and part shape on thickness reduction of single point incremental forming, The 11th International Conference on Technology of Plasticity – 2014, Nagoya, Japan, October 19-24, Published by Procedia Engineering, Elsevier, Vol. 81 (2014), p. 2280-2285, 2014, doi: 10.1016/j.proeng.2014.10.321</t>
  </si>
  <si>
    <r>
      <rPr>
        <sz val="10"/>
        <color theme="1"/>
        <rFont val="Arial Narrow"/>
      </rPr>
      <t xml:space="preserve">POPP, M.-O., RUSU, G.-P., POPP, I.-O., &amp; GÎRJOB, C.-E. (2022). Numerical Study of a Variable Wall Angle Made of DC01 Steel by Incremental Forming Process. </t>
    </r>
    <r>
      <rPr>
        <i/>
        <sz val="10"/>
        <color theme="1"/>
        <rFont val="Arial Narrow"/>
      </rPr>
      <t>Acta Universitatis Cibiniensis</t>
    </r>
    <r>
      <rPr>
        <sz val="10"/>
        <color theme="1"/>
        <rFont val="Arial Narrow"/>
      </rPr>
      <t>,</t>
    </r>
    <r>
      <rPr>
        <i/>
        <sz val="10"/>
        <color theme="1"/>
        <rFont val="Arial Narrow"/>
      </rPr>
      <t xml:space="preserve"> 74</t>
    </r>
    <r>
      <rPr>
        <sz val="10"/>
        <color theme="1"/>
        <rFont val="Arial Narrow"/>
      </rPr>
      <t>(1), 21-25.</t>
    </r>
  </si>
  <si>
    <t>https://ui.adsabs.harvard.edu/abs/2022AcUnC..74...21P/abstract</t>
  </si>
  <si>
    <t>EBSCO, Inspec, Ulrich's Periodicals Directory</t>
  </si>
  <si>
    <r>
      <rPr>
        <sz val="10"/>
        <color theme="1"/>
        <rFont val="Arial Narrow"/>
      </rPr>
      <t xml:space="preserve">BÂRSAN, A. (2022). </t>
    </r>
    <r>
      <rPr>
        <i/>
        <sz val="10"/>
        <color theme="1"/>
        <rFont val="Arial Narrow"/>
      </rPr>
      <t xml:space="preserve">Studii și cercetări privind utilizarea roboților industriali în procesele de deformare plastică, </t>
    </r>
    <r>
      <rPr>
        <sz val="10"/>
        <color theme="1"/>
        <rFont val="Arial Narrow"/>
      </rPr>
      <t>Teză de doctorat. Universitatea Lucian Blaga din Sibiu</t>
    </r>
  </si>
  <si>
    <r>
      <rPr>
        <sz val="10"/>
        <color theme="1"/>
        <rFont val="Arial"/>
      </rPr>
      <t xml:space="preserve">POPP, M.-O., RUSU, G.-P., POPP, I.-O., &amp; GÎRJOB, C.-E. (2022). Numerical Study of a Variable Wall Angle Made of DC01 Steel by Incremental Forming Process. </t>
    </r>
    <r>
      <rPr>
        <i/>
        <sz val="10"/>
        <color theme="1"/>
        <rFont val="Arial Nova Cond Light"/>
      </rPr>
      <t>Acta Universitatis Cibiniensis</t>
    </r>
    <r>
      <rPr>
        <sz val="10"/>
        <color theme="1"/>
        <rFont val="Arial Nova Cond Light"/>
      </rPr>
      <t>,</t>
    </r>
    <r>
      <rPr>
        <i/>
        <sz val="10"/>
        <color theme="1"/>
        <rFont val="Arial Nova Cond Light"/>
      </rPr>
      <t xml:space="preserve"> 74</t>
    </r>
    <r>
      <rPr>
        <sz val="10"/>
        <color theme="1"/>
        <rFont val="Arial Nova Cond Light"/>
      </rPr>
      <t>(1), 21-25.</t>
    </r>
  </si>
  <si>
    <r>
      <rPr>
        <sz val="10"/>
        <color theme="1"/>
        <rFont val="Arial Narrow"/>
      </rPr>
      <t xml:space="preserve">BÂRSAN, A. (2022). </t>
    </r>
    <r>
      <rPr>
        <i/>
        <sz val="10"/>
        <color theme="1"/>
        <rFont val="Arial Narrow"/>
      </rPr>
      <t xml:space="preserve">Studii și cercetări privind utilizarea roboților industriali în procesele de deformare plastică, </t>
    </r>
    <r>
      <rPr>
        <sz val="10"/>
        <color theme="1"/>
        <rFont val="Arial Narrow"/>
      </rPr>
      <t>Teză de doctorat. Universitatea Lucian Blaga din Sibiu</t>
    </r>
  </si>
  <si>
    <r>
      <rPr>
        <sz val="10"/>
        <color theme="1"/>
        <rFont val="Arial Narrow"/>
      </rPr>
      <t xml:space="preserve">반다리. (2022). </t>
    </r>
    <r>
      <rPr>
        <i/>
        <sz val="10"/>
        <color theme="1"/>
        <rFont val="Arial Narrow"/>
      </rPr>
      <t>Numerical and Experimental Investigation of Spring-back in Sheet Metal Forming</t>
    </r>
    <r>
      <rPr>
        <sz val="10"/>
        <color theme="1"/>
        <rFont val="Arial Narrow"/>
      </rPr>
      <t xml:space="preserve"> 제주대학교 대학원].</t>
    </r>
  </si>
  <si>
    <t>https://oldlib.jejunu.ac.kr/handle/2020.oak/24282</t>
  </si>
  <si>
    <r>
      <rPr>
        <sz val="10"/>
        <color theme="1"/>
        <rFont val="Arial Narrow"/>
      </rPr>
      <t xml:space="preserve">BÂRSAN, A. (2022). </t>
    </r>
    <r>
      <rPr>
        <i/>
        <sz val="10"/>
        <color theme="1"/>
        <rFont val="Arial Narrow"/>
      </rPr>
      <t xml:space="preserve">Studii și cercetări privind utilizarea roboților industriali în procesele de deformare plastică, </t>
    </r>
    <r>
      <rPr>
        <sz val="10"/>
        <color theme="1"/>
        <rFont val="Arial Narrow"/>
      </rPr>
      <t>Teză de doctorat. Universitatea Lucian Blaga din Sibiu</t>
    </r>
  </si>
  <si>
    <t>BREAZ, R., BOLOGA, O., OLEKSIK, V., RACZ, G. (toti ULBS)</t>
  </si>
  <si>
    <t>Computer simulation for the study of CNC feed drives dynamic behavior and accuracy, IEEE EUROCON 2007-The International Conference on" Computer as a Tool", 2007, p. 2229-2233</t>
  </si>
  <si>
    <r>
      <rPr>
        <sz val="10"/>
        <color theme="1"/>
        <rFont val="Arial Narrow"/>
      </rPr>
      <t xml:space="preserve">JEERAPONGUDOM, T., GHANI, S. A. B. C., &amp; SAWANGSRI, W. (2022). </t>
    </r>
    <r>
      <rPr>
        <i/>
        <sz val="10"/>
        <color theme="1"/>
        <rFont val="Arial Narrow"/>
      </rPr>
      <t>Design and Development of Mini CNC Machine for High Performance Machining</t>
    </r>
    <r>
      <rPr>
        <sz val="10"/>
        <color theme="1"/>
        <rFont val="Arial Narrow"/>
      </rPr>
      <t xml:space="preserve"> (2516-2314).</t>
    </r>
  </si>
  <si>
    <t>https://login.easychair.org/publications/preprint_download/dDmN</t>
  </si>
  <si>
    <r>
      <rPr>
        <sz val="10"/>
        <color theme="1"/>
        <rFont val="Arial Narrow"/>
      </rPr>
      <t xml:space="preserve">BÂRSAN, A. (2022). </t>
    </r>
    <r>
      <rPr>
        <i/>
        <sz val="10"/>
        <color theme="1"/>
        <rFont val="Arial Narrow"/>
      </rPr>
      <t xml:space="preserve">Studii și cercetări privind utilizarea roboților industriali în procesele de deformare plastică, </t>
    </r>
    <r>
      <rPr>
        <sz val="10"/>
        <color theme="1"/>
        <rFont val="Arial Narrow"/>
      </rPr>
      <t>Teză de doctorat. Universitatea Lucian Blaga din Sibiu</t>
    </r>
  </si>
  <si>
    <t>OLEKSIK, V., PASCU, M., DEAC, C., FLEACĂ, R., ROMAN, M. (toți ULBS)</t>
  </si>
  <si>
    <t>Numerical simulation of the incremental forming process for knee implants. X International Conference on Computational Plasticity COMPLAS X, Barcelona, Spain, 1-4 September 2009, E. Ońate and D. R. J. Owen (Eds), 2009.</t>
  </si>
  <si>
    <r>
      <rPr>
        <sz val="10"/>
        <color theme="1"/>
        <rFont val="Arial Narrow"/>
      </rPr>
      <t xml:space="preserve">BISHNOI, P., &amp; CHANDNA, P. (2022). Formability of Aluminum Alloys During Single Point Incremental Forming: A Review. </t>
    </r>
    <r>
      <rPr>
        <i/>
        <sz val="10"/>
        <color theme="1"/>
        <rFont val="Arial Narrow"/>
      </rPr>
      <t>International Journal of Manufacturing, Materials, and Mechanical Engineering (IJMMME)</t>
    </r>
    <r>
      <rPr>
        <sz val="10"/>
        <color theme="1"/>
        <rFont val="Arial Narrow"/>
      </rPr>
      <t>,</t>
    </r>
    <r>
      <rPr>
        <i/>
        <sz val="10"/>
        <color theme="1"/>
        <rFont val="Arial Narrow"/>
      </rPr>
      <t xml:space="preserve"> 12</t>
    </r>
    <r>
      <rPr>
        <sz val="10"/>
        <color theme="1"/>
        <rFont val="Arial Narrow"/>
      </rPr>
      <t>(1), 1-26.</t>
    </r>
  </si>
  <si>
    <t>https://www.igi-global.com/article/formability-of-aluminum-alloys-during-single-point-incremental-forming/296277</t>
  </si>
  <si>
    <t>INSPEC, Web of Science Emerging Sources Citation Index (ESCI)</t>
  </si>
  <si>
    <r>
      <rPr>
        <sz val="10"/>
        <color theme="1"/>
        <rFont val="Arial Narrow"/>
      </rPr>
      <t xml:space="preserve">BÂRSAN, A. (2022). </t>
    </r>
    <r>
      <rPr>
        <i/>
        <sz val="10"/>
        <color theme="1"/>
        <rFont val="Arial Narrow"/>
      </rPr>
      <t xml:space="preserve">Studii și cercetări privind utilizarea roboților industriali în procesele de deformare plastică, </t>
    </r>
    <r>
      <rPr>
        <sz val="10"/>
        <color theme="1"/>
        <rFont val="Arial Narrow"/>
      </rPr>
      <t>Teză de doctorat. Universitatea Lucian Blaga din Sibiu</t>
    </r>
  </si>
  <si>
    <t>Experimental studies on uniaxial and echibiaxial tensile tests applied to plastic materials sheets. Materials Today-Proceedings, 12, 271-278, https://doi.org/10.1016/j.matpr.2019.03.124, WOS:000468465100014.</t>
  </si>
  <si>
    <t>ROȘCA, N. A. (2022). Deformarea incrementală a materialelor polimerice, Teză de doctorat. Universitatea Lucian Blaga din Sibiu.</t>
  </si>
  <si>
    <t>Numerical Study about the Influence of Wall Angle about Main Strains, Thickness Reduction and Forces on Single Point Incremental Forming Process, ACTA Universitatis Cibiniensis, Technical Series, Volume 68, Issue 1, pp. 1-8, 2016</t>
  </si>
  <si>
    <r>
      <rPr>
        <sz val="10"/>
        <color theme="1"/>
        <rFont val="Arial Narrow"/>
      </rPr>
      <t xml:space="preserve">SCHMID, H. (2022). </t>
    </r>
    <r>
      <rPr>
        <i/>
        <sz val="10"/>
        <color theme="1"/>
        <rFont val="Arial Narrow"/>
      </rPr>
      <t>Ganzheitliche Erarbeitung eines Prozessverständnisses von Tiefziehprozessen mit Ziehsicken auf Basis mechanischer und tribologischer Analysen</t>
    </r>
    <r>
      <rPr>
        <sz val="10"/>
        <color theme="1"/>
        <rFont val="Arial Narrow"/>
      </rPr>
      <t>. FAU University Press.</t>
    </r>
  </si>
  <si>
    <t>ROSCA, N. (ULBS), TRZEPIECINSKI, T. (Rzeszow University of Technology), OLEKSIK, V. (ULBS)</t>
  </si>
  <si>
    <t>Minimizing the Forces in the Single Point Incremental Forming Process of Polymeric Materials Using Taguchi Design of Experiments and Analysis of Variance (2022), Materials, 15(18), 28, Article 6453. https://doi.org/10.3390/ma15186453 WOS:000857018300001</t>
  </si>
  <si>
    <t>Optical study for springback prediction, thickness reduction and forces variations on single point incremental forming. Materials Today-Proceedings, 12, 213-218, https://doi.org 10.1016/j.matpr.2019.03.116, WOS:000468465100006</t>
  </si>
  <si>
    <t>OLEKSIK, V., PASCU, A., BONDREA, I., AVRIGEAN, E. ROȘCA, L. (toți ULBS)</t>
  </si>
  <si>
    <t>Comparative study for springback prediction on single point incremental forming process, Metal Forming 15th International Conference, Palermo, September 2014, Published by Key Engineering Materials, Trans Tech Publications Switzerland, Vol. 622-623, 2014, p. 375-381, DOI:10.4028/www.scientific.net/KEM.622-623.375</t>
  </si>
  <si>
    <r>
      <rPr>
        <sz val="10"/>
        <color theme="1"/>
        <rFont val="Arial Narrow"/>
      </rPr>
      <t xml:space="preserve">SCHMID, H. (2022). </t>
    </r>
    <r>
      <rPr>
        <i/>
        <sz val="10"/>
        <color theme="1"/>
        <rFont val="Arial Narrow"/>
      </rPr>
      <t>Ganzheitliche Erarbeitung eines Prozessverständnisses von Tiefziehprozessen mit Ziehsicken auf Basis mechanischer und tribologischer Analysen</t>
    </r>
    <r>
      <rPr>
        <sz val="10"/>
        <color theme="1"/>
        <rFont val="Arial Narrow"/>
      </rPr>
      <t>. FAU University Press.</t>
    </r>
  </si>
  <si>
    <r>
      <rPr>
        <sz val="10"/>
        <color theme="1"/>
        <rFont val="Arial Narrow"/>
      </rPr>
      <t xml:space="preserve">SZPUNAR, M., BALCERZAK, M., &amp; ŻABA, K. (2022). Shape Accuracy in Single Point Incremental Forming of Conical Frustums from Titanium CP2 Sheets. </t>
    </r>
    <r>
      <rPr>
        <i/>
        <sz val="10"/>
        <color theme="1"/>
        <rFont val="Arial Narrow"/>
      </rPr>
      <t>Advances in Mechanical and Materials Engineering</t>
    </r>
    <r>
      <rPr>
        <sz val="10"/>
        <color theme="1"/>
        <rFont val="Arial Narrow"/>
      </rPr>
      <t>,</t>
    </r>
    <r>
      <rPr>
        <i/>
        <sz val="10"/>
        <color theme="1"/>
        <rFont val="Arial Narrow"/>
      </rPr>
      <t xml:space="preserve"> 39</t>
    </r>
    <r>
      <rPr>
        <sz val="10"/>
        <color theme="1"/>
        <rFont val="Arial Narrow"/>
      </rPr>
      <t>(94), 63-75.</t>
    </r>
  </si>
  <si>
    <t>Directory of Open Access Scholarly Resources, Crossref</t>
  </si>
  <si>
    <t>BEHERA, A.K. (Univ. Leeds), DE SOUSA, R.A. (Univ. Aveiro), OLEKSIK, V. (ULBS), DONG, J., (North Carolina State University), FRITZEN, D. (SATC College Brazil)</t>
  </si>
  <si>
    <t>Student perceptions of remote learning transitions in engineering disciplines during the COVID-19 pandemic: a cross-national study, European Journal of Engineering Education, https://doi.org/10.1080/03043797.2022.2080529</t>
  </si>
  <si>
    <r>
      <rPr>
        <sz val="10"/>
        <color theme="1"/>
        <rFont val="Arial Narrow"/>
      </rPr>
      <t xml:space="preserve">MITRO, M., ROSLENY, R., &amp; MADANI, M. (2022). ANALISIS KESULITAN BELAJAR IPS SISWA SEBELUM DAN SESUDAH PANDEMI COVID 19 DI KELAS IV SD NEGERI 48 PARE-PARE. </t>
    </r>
    <r>
      <rPr>
        <i/>
        <sz val="10"/>
        <color theme="1"/>
        <rFont val="Arial Narrow"/>
      </rPr>
      <t>Pendas: Jurnal Ilmiah Pendidikan Dasar</t>
    </r>
    <r>
      <rPr>
        <sz val="10"/>
        <color theme="1"/>
        <rFont val="Arial Narrow"/>
      </rPr>
      <t>,</t>
    </r>
    <r>
      <rPr>
        <i/>
        <sz val="10"/>
        <color theme="1"/>
        <rFont val="Arial Narrow"/>
      </rPr>
      <t xml:space="preserve"> 7</t>
    </r>
    <r>
      <rPr>
        <sz val="10"/>
        <color theme="1"/>
        <rFont val="Arial Narrow"/>
      </rPr>
      <t>(2), 738-753.</t>
    </r>
  </si>
  <si>
    <t>https://www.journal.unpas.ac.id/index.php/pendas/article/view/6640</t>
  </si>
  <si>
    <t>DOAJ, Sinta</t>
  </si>
  <si>
    <t>BREAZ, R.E., BOLOGA, O., RACZ, G., OLEKSIK, V., GÎRJOB, C. (toți ULBS)</t>
  </si>
  <si>
    <t>Low-cost solutions for manipulation tasks in manufacturing systems: balancing costs and performances, Proceedings of the 5th International Federation of automatic Control (IFAC) Conference on Management and Control of Production and Logistics MCPL, Coimbra, Portugal, September 8-10, 2010, ISSN 1474-667, 2010</t>
  </si>
  <si>
    <r>
      <rPr>
        <sz val="10"/>
        <color theme="1"/>
        <rFont val="Arial Narrow"/>
      </rPr>
      <t xml:space="preserve">GONÇALVES, L. d. S. (2022). </t>
    </r>
    <r>
      <rPr>
        <i/>
        <sz val="10"/>
        <color theme="1"/>
        <rFont val="Arial Narrow"/>
      </rPr>
      <t>Desenvolvimento de sistemas de monitorização de montagem de componentes na indústria automóvel</t>
    </r>
  </si>
  <si>
    <t>https://recipp.ipp.pt/handle/10400.22/20695</t>
  </si>
  <si>
    <r>
      <rPr>
        <sz val="10"/>
        <color theme="1"/>
        <rFont val="Arial Narrow"/>
      </rPr>
      <t xml:space="preserve">RATTANACHAN, K., &amp; SITTISAKULJAROEN, S. (2022). Oil Lubrication Effected On Roughness And Profile Error In Single Point Incremental Forming Product. </t>
    </r>
    <r>
      <rPr>
        <i/>
        <sz val="10"/>
        <color theme="1"/>
        <rFont val="Arial Narrow"/>
      </rPr>
      <t>Journal of Positive School Psychology</t>
    </r>
    <r>
      <rPr>
        <sz val="10"/>
        <color theme="1"/>
        <rFont val="Arial Narrow"/>
      </rPr>
      <t>, 3622-3632.</t>
    </r>
  </si>
  <si>
    <r>
      <rPr>
        <sz val="10"/>
        <color theme="1"/>
        <rFont val="Arial Narrow"/>
      </rPr>
      <t xml:space="preserve">BÂRSAN, A. (2022). </t>
    </r>
    <r>
      <rPr>
        <i/>
        <sz val="10"/>
        <color theme="1"/>
        <rFont val="Arial Narrow"/>
      </rPr>
      <t xml:space="preserve">Studii și cercetări privind utilizarea roboților industriali în procesele de deformare plastică, </t>
    </r>
    <r>
      <rPr>
        <sz val="10"/>
        <color theme="1"/>
        <rFont val="Arial Narrow"/>
      </rPr>
      <t>Teză de doctorat. Universitatea Lucian Blaga din Sibiu</t>
    </r>
  </si>
  <si>
    <r>
      <rPr>
        <sz val="10"/>
        <color theme="1"/>
        <rFont val="Arial Narrow"/>
      </rPr>
      <t xml:space="preserve">BISHNOI, P., &amp; CHANDNA, P. (2022). Formability of Aluminum Alloys During Single Point Incremental Forming: A Review. </t>
    </r>
    <r>
      <rPr>
        <i/>
        <sz val="10"/>
        <color theme="1"/>
        <rFont val="Arial Narrow"/>
      </rPr>
      <t>International Journal of Manufacturing, Materials, and Mechanical Engineering (IJMMME)</t>
    </r>
    <r>
      <rPr>
        <sz val="10"/>
        <color theme="1"/>
        <rFont val="Arial Narrow"/>
      </rPr>
      <t>,</t>
    </r>
    <r>
      <rPr>
        <i/>
        <sz val="10"/>
        <color theme="1"/>
        <rFont val="Arial Narrow"/>
      </rPr>
      <t xml:space="preserve"> 12</t>
    </r>
    <r>
      <rPr>
        <sz val="10"/>
        <color theme="1"/>
        <rFont val="Arial Narrow"/>
      </rPr>
      <t>(1), 1-26.</t>
    </r>
  </si>
  <si>
    <r>
      <rPr>
        <sz val="10"/>
        <color theme="1"/>
        <rFont val="Arial Narrow"/>
      </rPr>
      <t xml:space="preserve">SCHMID, H. (2022). </t>
    </r>
    <r>
      <rPr>
        <i/>
        <sz val="10"/>
        <color theme="1"/>
        <rFont val="Arial Narrow"/>
      </rPr>
      <t>Ganzheitliche Erarbeitung eines Prozessverständnisses von Tiefziehprozessen mit Ziehsicken auf Basis mechanischer und tribologischer Analysen</t>
    </r>
    <r>
      <rPr>
        <sz val="10"/>
        <color theme="1"/>
        <rFont val="Arial Narrow"/>
      </rPr>
      <t>. FAU University Press.</t>
    </r>
  </si>
  <si>
    <r>
      <rPr>
        <sz val="10"/>
        <color theme="1"/>
        <rFont val="Arial Narrow"/>
      </rPr>
      <t xml:space="preserve">SZPUNAR, M., BALCERZAK, M., &amp; ŻABA, K. (2022). Shape Accuracy in Single Point Incremental Forming of Conical Frustums from Titanium CP2 Sheets. </t>
    </r>
    <r>
      <rPr>
        <i/>
        <sz val="10"/>
        <color theme="1"/>
        <rFont val="Arial Narrow"/>
      </rPr>
      <t>Advances in Mechanical and Materials Engineering</t>
    </r>
    <r>
      <rPr>
        <sz val="10"/>
        <color theme="1"/>
        <rFont val="Arial Narrow"/>
      </rPr>
      <t>,</t>
    </r>
    <r>
      <rPr>
        <i/>
        <sz val="10"/>
        <color theme="1"/>
        <rFont val="Arial Narrow"/>
      </rPr>
      <t xml:space="preserve"> 39</t>
    </r>
    <r>
      <rPr>
        <sz val="10"/>
        <color theme="1"/>
        <rFont val="Arial Narrow"/>
      </rPr>
      <t>(94), 63-75.</t>
    </r>
  </si>
  <si>
    <t>Directory of Open Access Scholarly Resources, Crossref, WorldCat</t>
  </si>
  <si>
    <t>Kittiphat Rattanachan , Sunthorn Sittisakuljaroen, Oil Lubrication Effected On Roughness And Profile Error In Single Point Incremental Forming Product, Journal of Positive School Psychology, Vol. 6, No. 6, 3622-3632</t>
  </si>
  <si>
    <t>https://journalppw.com/index.php/jpsp/article/view/7951/5187</t>
  </si>
  <si>
    <t>R.E .Breaz, O.C .Bologa, V.S .Oleksik, G.S .Racz</t>
  </si>
  <si>
    <r>
      <rPr>
        <sz val="10"/>
        <color theme="1"/>
        <rFont val="Arial Narrow"/>
      </rPr>
      <t xml:space="preserve">Ji Yeon Kim, Hun Min Kim, and Mun Hong Min - Study on the High-Strength Air-Cushion Fabrics for Impact - </t>
    </r>
    <r>
      <rPr>
        <i/>
        <sz val="10"/>
        <color theme="1"/>
        <rFont val="Arial Narrow"/>
      </rPr>
      <t xml:space="preserve">Relief Application Prepared through Primer Coating and Thermal Film Laminating - </t>
    </r>
    <r>
      <rPr>
        <sz val="10"/>
        <color theme="1"/>
        <rFont val="Arial Narrow"/>
      </rPr>
      <t>Textile Coloration and Finishing, pISSN 1229-0033, eISSN 2234-036X; https://doi.org/10.5764/TCF.2021.33.4.269</t>
    </r>
  </si>
  <si>
    <t>https://koreascience.kr/article/JAKO202104554855558.pdf</t>
  </si>
  <si>
    <t>Textile Coloration and Finishing
TCF 33-4/2021-12/269-279
ⓒ 2021 The Korean Society of
Dyers and Finishers</t>
  </si>
  <si>
    <r>
      <rPr>
        <sz val="10"/>
        <color theme="1"/>
        <rFont val="Arial Narrow"/>
      </rPr>
      <t xml:space="preserve">Omar V. Godoy-Collaguazo, Ana Umaquinga-Criollo, Marco Naranjo-Toro, Ronny M. Flores &amp; Katherin Chulde - </t>
    </r>
    <r>
      <rPr>
        <i/>
        <sz val="10"/>
        <color theme="1"/>
        <rFont val="Arial Narrow"/>
      </rPr>
      <t>Abrasion Thermo-transference Fabric Vinyl Resistance and Its Application in Haptics Perception Stimuli - International Conference on Applied Technologies
ICAT 2022: Applied Technologies pp 106–120</t>
    </r>
  </si>
  <si>
    <r>
      <rPr>
        <sz val="10"/>
        <color rgb="FF000000"/>
        <rFont val="Arial Narrow"/>
      </rPr>
      <t xml:space="preserve">KT Yilma, DY Limeneh - </t>
    </r>
    <r>
      <rPr>
        <i/>
        <sz val="10"/>
        <color rgb="FF000000"/>
        <rFont val="Arial Narrow"/>
      </rPr>
      <t xml:space="preserve">Review on Moisture Management Finish: Mechanism and Evaluation </t>
    </r>
    <r>
      <rPr>
        <sz val="10"/>
        <color rgb="FF000000"/>
        <rFont val="Arial Narrow"/>
      </rPr>
      <t>- Journal of Natural Fibers, 2022 - Taylor &amp; Francis, https://doi.org/10.1080/15440478.2021.1966566</t>
    </r>
  </si>
  <si>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</si>
  <si>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</si>
  <si>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</si>
  <si>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</si>
  <si>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</si>
  <si>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</si>
  <si>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</si>
  <si>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</si>
  <si>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</si>
  <si>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sz val="10"/>
        <color theme="1"/>
        <rFont val="Arial Narrow"/>
      </rPr>
      <t xml:space="preserve">SCIPIO, Google Scholar și Worldcat </t>
    </r>
    <r>
      <rPr>
        <b/>
        <sz val="10"/>
        <color theme="1"/>
        <rFont val="Arial Narrow"/>
      </rPr>
      <t>nu sunt BDI.</t>
    </r>
  </si>
  <si>
    <r>
      <rPr>
        <b/>
        <sz val="10"/>
        <color theme="1"/>
        <rFont val="Arial Narrow"/>
      </rPr>
      <t xml:space="preserve">*Punctaje de referință:
</t>
    </r>
    <r>
      <rPr>
        <b/>
        <sz val="10"/>
        <color theme="1"/>
        <rFont val="Arial Narrow"/>
      </rPr>
      <t>a)	Editare:</t>
    </r>
    <r>
      <rPr>
        <sz val="10"/>
        <color theme="1"/>
        <rFont val="Arial Narrow"/>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b/>
        <sz val="10"/>
        <color theme="1"/>
        <rFont val="Arial Narrow"/>
      </rPr>
      <t>coeficienți de multiplicare:</t>
    </r>
    <r>
      <rPr>
        <sz val="10"/>
        <color theme="1"/>
        <rFont val="Arial Narrow"/>
      </rPr>
      <t xml:space="preserve">
i) </t>
    </r>
    <r>
      <rPr>
        <i/>
        <sz val="10"/>
        <color theme="1"/>
        <rFont val="Arial Narrow"/>
      </rPr>
      <t>de calitate:</t>
    </r>
    <r>
      <rPr>
        <sz val="10"/>
        <color theme="1"/>
        <rFont val="Arial Narrow"/>
      </rPr>
      <t xml:space="preserve">
- 2,0 pentru reviste WoS, SCOPUS, ERIH Plus sau colecții editate la edituri internaționale de prestigiu;
ii) </t>
    </r>
    <r>
      <rPr>
        <i/>
        <sz val="10"/>
        <color theme="1"/>
        <rFont val="Arial Narrow"/>
      </rPr>
      <t>de frecvență</t>
    </r>
    <r>
      <rPr>
        <sz val="10"/>
        <color theme="1"/>
        <rFont val="Arial Narrow"/>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b/>
        <sz val="10"/>
        <color theme="1"/>
        <rFont val="Arial Narrow"/>
      </rPr>
      <t xml:space="preserve">b)	Recenzare:
</t>
    </r>
    <r>
      <rPr>
        <sz val="10"/>
        <color theme="1"/>
        <rFont val="Arial Narrow"/>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</si>
  <si>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</si>
  <si>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</si>
  <si>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</si>
  <si>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</si>
  <si>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</si>
  <si>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</si>
  <si>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Mircea Bădescu</t>
  </si>
  <si>
    <t>Nonconventional Technologies Review</t>
  </si>
  <si>
    <t>The journal is indexed in ProQuest, EBSCOhost, DOAJ, Google Scholar and Index Copernicus</t>
  </si>
  <si>
    <t>http://revtn.ro/_legacy/</t>
  </si>
  <si>
    <t xml:space="preserve"> Beju Livia</t>
  </si>
  <si>
    <t>Applied Sciences | An Open Access Journal from MDPI</t>
  </si>
  <si>
    <t>https://www.mdpi.com/journal/applsci/editors</t>
  </si>
  <si>
    <t>25 mai 2022</t>
  </si>
  <si>
    <t>bilunar</t>
  </si>
  <si>
    <t>Materials | An Open Access Journal from MDPI</t>
  </si>
  <si>
    <t>https://www.mdpi.com/journal/materials/editors</t>
  </si>
  <si>
    <t>1 iulie 2022</t>
  </si>
  <si>
    <t>Processes | An Open Access Journal from MDPI</t>
  </si>
  <si>
    <t>https://www.mdpi.com/journal/processes/editors</t>
  </si>
  <si>
    <t>12 iulie 2022</t>
  </si>
  <si>
    <t>Machines | An Open Access Journal from MDPI</t>
  </si>
  <si>
    <t>https://www.mdpi.com/journal/machines/editors</t>
  </si>
  <si>
    <t xml:space="preserve">Sustainability </t>
  </si>
  <si>
    <t>Sustainability | An Open Access Journal from MDPI</t>
  </si>
  <si>
    <t>https://www.mdpi.com/journal/sustainability/editor</t>
  </si>
  <si>
    <t>https://www.mdpi.com/journal/sustainability/editors</t>
  </si>
  <si>
    <t>Ioan BONDREA
Radu Emanuil PETRUSE
Adrian PASCU
Valentin OLEKSIK 
Sever Gabriel RACZ</t>
  </si>
  <si>
    <t>FING3 
FING4</t>
  </si>
  <si>
    <t>https://content.sciendo.com/view/journals/aucts/aucts-overview.xml?tab_body=overview</t>
  </si>
  <si>
    <t>https://content.sciendo.com/view/journals/aucts/aucts-overview.xml?tab_body=editorialContent-75079</t>
  </si>
  <si>
    <t>Bratu Mihaela Laura</t>
  </si>
  <si>
    <t>Frontiers in Psychology</t>
  </si>
  <si>
    <t>https://www.frontiersin.org/research-topics/24647/optimizing-the-management-system-and-ergonomics-in-organizations-appropriate-to-the-personality-of-employees</t>
  </si>
  <si>
    <t>https://www.mdpi.com/1660-4601/19/23/15674</t>
  </si>
  <si>
    <t>01.11.2022</t>
  </si>
  <si>
    <t>Energies</t>
  </si>
  <si>
    <t>https://www.mdpi.com/1996-1073/15/14/5230</t>
  </si>
  <si>
    <t>10.06.2022</t>
  </si>
  <si>
    <t>https://www.mdpi.com/2071-1050/14/9/5474</t>
  </si>
  <si>
    <t>07.04.2022</t>
  </si>
  <si>
    <t>Behavioral Science</t>
  </si>
  <si>
    <t>https://www.mdpi.com/journal/behavsci</t>
  </si>
  <si>
    <t>10.03.2022</t>
  </si>
  <si>
    <t>05.12.2022</t>
  </si>
  <si>
    <t>European Journal of Engineering Education</t>
  </si>
  <si>
    <t>https://www.tandfonline.com/toc/ceee20/current</t>
  </si>
  <si>
    <t>10.01.2022</t>
  </si>
  <si>
    <t>Cioca Lucian-Ionel</t>
  </si>
  <si>
    <t>https://www.frontiersin.org/research-topics/42221/highlights-in-environmental-psychology-pro-environmental-purchase-intent</t>
  </si>
  <si>
    <t>100X2</t>
  </si>
  <si>
    <t>https://www.mdpi.com/journal/sustainability/topical_collections/risk_assessmen_management</t>
  </si>
  <si>
    <t>100x2</t>
  </si>
  <si>
    <t>https://www.mdpi.com/journal/sustainability/topical_collections/Circular_Economy_and_Sustainable_Strategies</t>
  </si>
  <si>
    <t>INMATEH - Agricultural Engineering</t>
  </si>
  <si>
    <t>https://inmateh.eu/about-us/editorial-board/</t>
  </si>
  <si>
    <t>https://www.mdpi.com/journal/processes/special_issues/Y5R08VN0L5</t>
  </si>
  <si>
    <t>Polish Journal of Management Studies</t>
  </si>
  <si>
    <t>https://pjms.zim.pcz.pl/resources/html/cms/SCIENTIFICCOUNCIL</t>
  </si>
  <si>
    <t>https://www.mdpi.com/journal/ijerph/editors</t>
  </si>
  <si>
    <t>Safety</t>
  </si>
  <si>
    <t>https://www.mdpi.com/journal/safety/editors</t>
  </si>
  <si>
    <t>COFARU NICOLAE FLORIN</t>
  </si>
  <si>
    <t xml:space="preserve">Copernicus, De Gruyter </t>
  </si>
  <si>
    <t>https://sciendo.com/journal/AUCTS?tab=aims-scope</t>
  </si>
  <si>
    <t>ijerph</t>
  </si>
  <si>
    <t>https://www.mdpi.com/journal/ijerph</t>
  </si>
  <si>
    <t xml:space="preserve"> jcm </t>
  </si>
  <si>
    <t>https://www.mdpi.com/journal/jcm</t>
  </si>
  <si>
    <t>jpm</t>
  </si>
  <si>
    <t>https://www.mdpi.com/journal/jpm</t>
  </si>
  <si>
    <t xml:space="preserve">children </t>
  </si>
  <si>
    <t>https://www.mdpi.com/journal/children</t>
  </si>
  <si>
    <t>https://www.mdpi.com/journal/coatings</t>
  </si>
  <si>
    <t>11.12.2022</t>
  </si>
  <si>
    <t>12 numere pe an</t>
  </si>
  <si>
    <t>Polymers</t>
  </si>
  <si>
    <t>https://www.mdpi.com/journal/polymers</t>
  </si>
  <si>
    <t>06.10.2022, 12.10.2022</t>
  </si>
  <si>
    <t>24 numere pe an</t>
  </si>
  <si>
    <t>Recycling</t>
  </si>
  <si>
    <t>https://www.mdpi.com/journal/recycling</t>
  </si>
  <si>
    <t>13.08.2022 și 24.08.2022</t>
  </si>
  <si>
    <t>6 numere pe an</t>
  </si>
  <si>
    <t>https://www.mdpi.com/journal/materials</t>
  </si>
  <si>
    <t>29.07.2022</t>
  </si>
  <si>
    <t>https://www.mdpi.com/journal/sustainability</t>
  </si>
  <si>
    <t>4.05.2022</t>
  </si>
  <si>
    <t>Fuels</t>
  </si>
  <si>
    <t>DOAJ, EBSCO, ProQuest</t>
  </si>
  <si>
    <t>https://www.mdpi.com/journal/fuels</t>
  </si>
  <si>
    <t>5.04.2022</t>
  </si>
  <si>
    <t>4 numere pe an</t>
  </si>
  <si>
    <t>Fluids</t>
  </si>
  <si>
    <t>https://www.mdpi.com/journal/fluids</t>
  </si>
  <si>
    <t>26.02.2022</t>
  </si>
  <si>
    <t>Index Copernicus; ProQuest; Google Academic (http://www.revtn.ro/index.php/revtn)</t>
  </si>
  <si>
    <t>http://www.revtn.ro/index.php/revtn/about/editorialTeam</t>
  </si>
  <si>
    <t>Dobrotă Dan</t>
  </si>
  <si>
    <t>https://www.mdpi.com/journal/materials/special_issues/Ecodesign_Composite</t>
  </si>
  <si>
    <t>300 - Editor de număr special</t>
  </si>
  <si>
    <t>24 nr/an</t>
  </si>
  <si>
    <t xml:space="preserve">
Journal of Environmental Chemical Engineering
</t>
  </si>
  <si>
    <t>https://www.sciencedirect.com/journal/journal-of-environmental-chemical-engineering</t>
  </si>
  <si>
    <t>6 nr./an</t>
  </si>
  <si>
    <t>12 nr/an</t>
  </si>
  <si>
    <t>https://www.mdpi.com/journal/sensors</t>
  </si>
  <si>
    <t>CRC Press/Taylor and Francis Group</t>
  </si>
  <si>
    <t>Editura de prestigiu</t>
  </si>
  <si>
    <t>https://taylorandfrancis.com/</t>
  </si>
  <si>
    <t>https://www.mdpi.com/journal/micromachines</t>
  </si>
  <si>
    <t>12 nr./an</t>
  </si>
  <si>
    <t>Polymer Degradation and Stability</t>
  </si>
  <si>
    <t>https://www.sciencedirect.com/journal/polymer-degradation-and-stability</t>
  </si>
  <si>
    <t>Physchem</t>
  </si>
  <si>
    <t>https://www.mdpi.com/journal/physchem</t>
  </si>
  <si>
    <t>Polysaccharides</t>
  </si>
  <si>
    <t>CAPlus / SciFinder, CNKI, DOAJ, EBSCO, FSTA, OpenAIRE, PATENTSCOPE, ProQuest</t>
  </si>
  <si>
    <t>https://www.mdpi.com/journal/polysaccharides</t>
  </si>
  <si>
    <t>4 nr/an</t>
  </si>
  <si>
    <t>https://www.mdpi.com/journal/metals</t>
  </si>
  <si>
    <t>Symmetry</t>
  </si>
  <si>
    <t>https://www.mdpi.com/journal/symmetry</t>
  </si>
  <si>
    <t>https://www.mdpi.com/journal/applsci</t>
  </si>
  <si>
    <t>QuBS</t>
  </si>
  <si>
    <t>https://www.mdpi.com/journal/qubs</t>
  </si>
  <si>
    <t>Journal of Polymer Research</t>
  </si>
  <si>
    <t>https://www.springer.com/journal/10965</t>
  </si>
  <si>
    <t>Fibres</t>
  </si>
  <si>
    <t>https://www.mdpi.com/journal/fibers</t>
  </si>
  <si>
    <t>Designs</t>
  </si>
  <si>
    <t>https://www.mdpi.com/journal/designs</t>
  </si>
  <si>
    <t>QUBS</t>
  </si>
  <si>
    <t>Fibers</t>
  </si>
  <si>
    <t>https://www.mdpi.com/journal/energies</t>
  </si>
  <si>
    <t>Journal of Environmental Chemical Engineering</t>
  </si>
  <si>
    <t xml:space="preserve">Cleaner and Circular Bioeconomy </t>
  </si>
  <si>
    <t xml:space="preserve">ScienceDirect -Elsevier </t>
  </si>
  <si>
    <t>https://www.sciencedirect.com/journal/cleaner-and-circular-bioeconomy</t>
  </si>
  <si>
    <t>3 nr/an</t>
  </si>
  <si>
    <t>Cleaner and Circular Bioeconomy</t>
  </si>
  <si>
    <t>Gels</t>
  </si>
  <si>
    <t>https://www.mdpi.com/journal/gels</t>
  </si>
  <si>
    <t>Waste Management</t>
  </si>
  <si>
    <t>https://www.sciencedirect.com/journal/waste-management</t>
  </si>
  <si>
    <t>18 nr/an</t>
  </si>
  <si>
    <t>https://www.mdpi.com/journal/machines</t>
  </si>
  <si>
    <t>Cogent Engineering</t>
  </si>
  <si>
    <t>https://www.tandfonline.com/toc/oaen20/current</t>
  </si>
  <si>
    <t>Journal of Material Cycles and Waste Management</t>
  </si>
  <si>
    <t>https://www.springer.com/journal/10163</t>
  </si>
  <si>
    <t>Metals and Materials International</t>
  </si>
  <si>
    <t>https://www.springer.com/journal/12540</t>
  </si>
  <si>
    <t>Applied Thermal Engineering</t>
  </si>
  <si>
    <t>https://www.sciencedirect.com/journal/applied-thermal-engineering</t>
  </si>
  <si>
    <t>Journal of Physics: Conference Series</t>
  </si>
  <si>
    <t xml:space="preserve">http://iopscience.iop.org/journal/1742-6596 </t>
  </si>
  <si>
    <t>20 nr/an</t>
  </si>
  <si>
    <t xml:space="preserve">Revista de Tehnologii Neconvenţionale </t>
  </si>
  <si>
    <t>ProQuest, EBSCOhost, DOAJ, Google Scholar and Index Copernicus,</t>
  </si>
  <si>
    <t>http://revtn.ro/index.php/revtn/about/editorialTeam</t>
  </si>
  <si>
    <t>Anul 2022</t>
  </si>
  <si>
    <t xml:space="preserve">Technium Romanian Journal of Applied Sciences and Technology </t>
  </si>
  <si>
    <t>IDEAS, EBSCOhost, DOAJ, Google Scholar, Index Copernicus, RePEc</t>
  </si>
  <si>
    <t>https://techniumscience.com/index.php/technium/about/editorialTeam</t>
  </si>
  <si>
    <t>Modern Concepts in Material Science - MCMS</t>
  </si>
  <si>
    <t>Publons, EBSCOhost, Google Scholar, Index Copernicus, Scilit</t>
  </si>
  <si>
    <t>https://irispublishers.com/mcms/editorialboard.php</t>
  </si>
  <si>
    <t>5 nr/an</t>
  </si>
  <si>
    <t xml:space="preserve">Organic Polymer Material Research </t>
  </si>
  <si>
    <t>Jgate, Scilit, Crossref, Google scholar</t>
  </si>
  <si>
    <t>https://ojs.bilpublishing.com/index.php/opmr/about/editorialTeam</t>
  </si>
  <si>
    <t>2 nr/an</t>
  </si>
  <si>
    <t xml:space="preserve">American Journal of Mechanical and Materials Engineering </t>
  </si>
  <si>
    <t>CNKI SCHOLAR, CrossRef, Eurasian Scientific Journal Index, ResearchBib, WorldCat</t>
  </si>
  <si>
    <t>https://www.sciencepublishinggroup.com/journal/editorialboard?journalid=525</t>
  </si>
  <si>
    <t xml:space="preserve">Journal of Engineering Mechanics and Machinery </t>
  </si>
  <si>
    <t>CrossRef, Google Scholar, CNKI.</t>
  </si>
  <si>
    <t>https://www.clausiuspress.com/journal/JEMM/editorialBoard.html</t>
  </si>
  <si>
    <t>Fiabilitate si Durabilitate</t>
  </si>
  <si>
    <t>EBSCO , DOAJ, IndexCopernicus</t>
  </si>
  <si>
    <t>https://www.utgjiu.ro/rev_mec/?page=comitet</t>
  </si>
  <si>
    <t xml:space="preserve">SCIREA Journal of Materials </t>
  </si>
  <si>
    <t>https://www.scirea.org/journal/EditorialBoard?JournalID=43000</t>
  </si>
  <si>
    <t>Dumitrașcu Iulia (ULBS)</t>
  </si>
  <si>
    <t>Technology in Society</t>
  </si>
  <si>
    <t>https://www.sciencedirect.com/journal/technology-in-society</t>
  </si>
  <si>
    <t>5 Mai 2022</t>
  </si>
  <si>
    <t>4/an</t>
  </si>
  <si>
    <t>ISWEE 2022 Proceedings (ScitePress book)</t>
  </si>
  <si>
    <t>https://www.iswee-conf.com/#/</t>
  </si>
  <si>
    <t>10 Octombrie 2022</t>
  </si>
  <si>
    <t>1/an</t>
  </si>
  <si>
    <t xml:space="preserve">Ain Shams Engineering Journal (ASEJ) 2022  </t>
  </si>
  <si>
    <t>https://www.sciencedirect.com/journal/ain-shams-engineering-journal</t>
  </si>
  <si>
    <t>lunar</t>
  </si>
  <si>
    <t xml:space="preserve">Materials Today </t>
  </si>
  <si>
    <t>https://www.sciencedirect.com/journal/materials-today-proceedings</t>
  </si>
  <si>
    <t xml:space="preserve">Applied Sciences  </t>
  </si>
  <si>
    <t xml:space="preserve">Conferința internațională KBO, vol. XXVIII/2022 – Academia Forțelor Terestre Sibiu </t>
  </si>
  <si>
    <t>https://sciendo.com/journal/KBO?tab=abstracting-indexing</t>
  </si>
  <si>
    <t>https://www.armyacademy.ro/engleza/kbo_archive.php</t>
  </si>
  <si>
    <t>annual</t>
  </si>
  <si>
    <t>https://www.sciencedirect.com/journal/materials-today</t>
  </si>
  <si>
    <t xml:space="preserve"> Danut-Dumitru Dumitrascu</t>
  </si>
  <si>
    <t>Jurnalul Internațional de ȘTIINȚE  AVANȚATE ȘI APLICATE (IJAAS) </t>
  </si>
  <si>
    <t>http://www.science-gate.com/IJAAS/EditorialBoard.html</t>
  </si>
  <si>
    <t>membru in comitetul editorial</t>
  </si>
  <si>
    <t xml:space="preserve">https://www.mdpi.com/journal/sustainability </t>
  </si>
  <si>
    <t>Kifor Vasile Claudiu</t>
  </si>
  <si>
    <t>Risks</t>
  </si>
  <si>
    <t>WoS ESCI, Scopus</t>
  </si>
  <si>
    <t>https://www.mdpi.com/journal/risks/special_issues/advances_in_sustainable_risk_management</t>
  </si>
  <si>
    <t>100 = 50 (guest editor) x 2 (revista WoS)</t>
  </si>
  <si>
    <t>International Journal of Quality Control and Standards in Science and Engineering (IJQCSSE)</t>
  </si>
  <si>
    <t>Inspec, IET</t>
  </si>
  <si>
    <t>https://www.igi-global.com/journals/open-access/reviewers/international-journal-quality-control-standards/220802</t>
  </si>
  <si>
    <t xml:space="preserve">100 = 50 p (associate editor) x 2 (revista are 4 numere / an) </t>
  </si>
  <si>
    <t>4 numere / an</t>
  </si>
  <si>
    <t>WoS, Scopus...</t>
  </si>
  <si>
    <t>https://www.mdpi.com/journal/mathematics</t>
  </si>
  <si>
    <r>
      <rPr>
        <sz val="10"/>
        <color theme="1"/>
        <rFont val="Arial Narrow"/>
      </rPr>
      <t>22.12.2022 (</t>
    </r>
    <r>
      <rPr>
        <b/>
        <sz val="10"/>
        <color rgb="FFFF0000"/>
        <rFont val="Arial Narrow"/>
      </rPr>
      <t>CAPTURI sunt prezentate mai jos)</t>
    </r>
  </si>
  <si>
    <t>Electronics</t>
  </si>
  <si>
    <t>https://www.mdpi.com/journal/electronics</t>
  </si>
  <si>
    <t>Acta Technica Napocensis - special issue volumul de conferinta Ergowork 2022 / paper 5838</t>
  </si>
  <si>
    <t>https://atna-mam.utcluj.ro/index.php/Acta/issue/view/65</t>
  </si>
  <si>
    <t>Acta Technica Napocensis - special issue volumul de conferinta Ergowork 2022 / paper 565</t>
  </si>
  <si>
    <t>Acta Technica Napocensis - special issue volumul de conferinta Ergowork 2022 / paper 7784</t>
  </si>
  <si>
    <t>Acta Technica Napocensis - special issue volumul de conferinta Ergowork 2022 / paper 7807</t>
  </si>
  <si>
    <t>Lobonț Lucian</t>
  </si>
  <si>
    <t>100 = 50 p (associate editor) x 2 (revista are 4 numere / aan) </t>
  </si>
  <si>
    <t>Revista de Management si Inginerie Economica
ISSN: 1583-624X
Frequency: Four issues per year (March, June , September, December)
U.T. Press Publishing House</t>
  </si>
  <si>
    <t xml:space="preserve">Ulrichsweb
Ebsco
Google Scholar
Index Copernicus International
Cabell's Directories
PBN PolskaBibligrafia Naukowa
</t>
  </si>
  <si>
    <t>Review of Management and Economic Engineering (rmee.org)</t>
  </si>
  <si>
    <t>Membru în comitetul ştiinţific</t>
  </si>
  <si>
    <t>Four issues per year (March, June , September, December)</t>
  </si>
  <si>
    <t>Folia Oeconomica Stetinensia The Journal of University of Szczecin
Format Journal
Publication timeframe 2 times per year
Journal Metrics
Cite Score 0.8S
JR 0.15
SNIP 0.288</t>
  </si>
  <si>
    <t>Cabell's Journalytics
DOAJ
EBSCO
Elsevier - SCImago (SJR)
Elsevier - Reaxys
Google Scholar
ProQuest
SCOPUS</t>
  </si>
  <si>
    <t>Folia Oeconomica Stetinensia (sciendo.com)</t>
  </si>
  <si>
    <t>Publication timeframe 2 times per year</t>
  </si>
  <si>
    <t>EDUCATION SCIENCES
Publisher name MDPI
eISSN:
2227-7102</t>
  </si>
  <si>
    <t xml:space="preserve">https://www.mdpi.com/journal/education </t>
  </si>
  <si>
    <t>Sustainability
eISSN:
2071-1050</t>
  </si>
  <si>
    <t>Frontiers in Psichology
eISSN:
2071-1050</t>
  </si>
  <si>
    <t>http://www.frontiersin.org/</t>
  </si>
  <si>
    <t>22.03.2023
2 lucrări</t>
  </si>
  <si>
    <t>50x2</t>
  </si>
  <si>
    <t>29.11.2021
1 lucrări</t>
  </si>
  <si>
    <t>03.03.2022
1 lucrare</t>
  </si>
  <si>
    <t>Energies (ISSN 1996-1073), energies-1565918, Nonlinear Dynamic Characteristics of Rod Fastening Rotor with Preload relaxation</t>
  </si>
  <si>
    <t>24.01.2022</t>
  </si>
  <si>
    <t>Applied Sciences (ISSN 2076-3417), applsci-1604870, A Nodal Analysis Based Monitoring of an Electric Submersible Pump Operation in Multiphase Flow</t>
  </si>
  <si>
    <t>25.02.2022</t>
  </si>
  <si>
    <t>Applied Sciences (ISSN 2076-3417), applsci-1658932, Assessing the brake discs and brake pads available at various prices via experimental measurements</t>
  </si>
  <si>
    <t>21.04.2022</t>
  </si>
  <si>
    <t>Sustainability (ISSN 2071-1050), sustainability-1677515, Time history method of three-dimensional dynamic stability analyses for high earth-rockfill dam and its application</t>
  </si>
  <si>
    <t>21.05.2022</t>
  </si>
  <si>
    <t>Aerospace (ISSN 2226-4310), aerospace-1947657, Nonlinear dynamic analysis and wear prediction of simplified axisymmetric vector exhaust nozzle mechanical system</t>
  </si>
  <si>
    <t>https://www.mdpi.com/journal/aerospace</t>
  </si>
  <si>
    <t>16.10.2022</t>
  </si>
  <si>
    <t>Energies (ISSN 1996-1073), energies-1873793, Dimensioning air reactor and fuel reactor of a pressurized CLC plant to be coupled to a gas turbine: Part 2, the fuel reactor</t>
  </si>
  <si>
    <t>09.11.2022</t>
  </si>
  <si>
    <t>Machines (ISSN 2075-1702), machines-2134814, Tribological properties and wear mechanism of C/C composite applied in finger seal</t>
  </si>
  <si>
    <t>27.12.2022</t>
  </si>
  <si>
    <t xml:space="preserve">FING3  </t>
  </si>
  <si>
    <t>Frontiers in Virtual Reality</t>
  </si>
  <si>
    <t>Google Scholar, DOAJ, CrossRef, Digital Biography &amp; Library Project (dblp), CLOCKSS, OpenAIRE, Scopus</t>
  </si>
  <si>
    <t>https://www.frontiersin.org/journals/virtual-reality/editors</t>
  </si>
  <si>
    <t>Frontiers in Robotics and AI</t>
  </si>
  <si>
    <t>Electronics (ISSN 2079-9292)</t>
  </si>
  <si>
    <t>Smart Cities (ISSN 2624-6511)</t>
  </si>
  <si>
    <t>Applied Sciences (ISSN 2076-3417)</t>
  </si>
  <si>
    <t>Sensors (ISSN 1424-8220)</t>
  </si>
  <si>
    <t>Sustainability (ISSN 2071-1050)</t>
  </si>
  <si>
    <t>BDCC (ISSN 2504-2289)</t>
  </si>
  <si>
    <t>http://revtn.ro/_legacy/editorial-board.htm</t>
  </si>
  <si>
    <t>Review of Management &amp; Economic Engineering</t>
  </si>
  <si>
    <t>Ulrich's Periodical Directory, EBSCO Business Source Complete Database, Index Copernicus, etc.</t>
  </si>
  <si>
    <t>www.rmee.org</t>
  </si>
  <si>
    <t>http://jeeeccs.net/index.php/journal/about/editorialBoardStatic</t>
  </si>
  <si>
    <t>Google Scholar, Index Copernicus (ICV=55.89)</t>
  </si>
  <si>
    <t>http://jeeeccs.net/index.php/journal/index</t>
  </si>
  <si>
    <t>Annals of Library and Information Studies</t>
  </si>
  <si>
    <t>Raport recenzare</t>
  </si>
  <si>
    <t>17.08.2022</t>
  </si>
  <si>
    <t xml:space="preserve"> ASME Journal of Engineering and Science in Medical Diagnostics and Therapy (JESMDT)</t>
  </si>
  <si>
    <t>https://asmedigitalcollection.asme.org/medicaldiagnostics/pages/about</t>
  </si>
  <si>
    <t>quarterly</t>
  </si>
  <si>
    <t>ȚÎȚU Aurel Mihail</t>
  </si>
  <si>
    <t>Revista de Tehnologii Neconvenționale</t>
  </si>
  <si>
    <t>Proquest, Copernicus, EBSCO, Google Scholar</t>
  </si>
  <si>
    <t>Management of Sustainable Development</t>
  </si>
  <si>
    <t>Baidu Scholar, Cabell's Directory, CEJSH (The Central European Journal of Social Sciences and Humanities), EBSCO (relevant databases), Google Scholar, Index Copernicus</t>
  </si>
  <si>
    <t>http://www.cedc.ro/pages/english/conference-and-journal/msd-journal/editorial-board.php</t>
  </si>
  <si>
    <t>2/an</t>
  </si>
  <si>
    <t>Journal of Engineering Science</t>
  </si>
  <si>
    <t>DOAJ, Agris, Ebsco, Zenodo</t>
  </si>
  <si>
    <t>https://jes.utm.md/editorial-board/</t>
  </si>
  <si>
    <t>International Journal of Mechatronics and Applied Mechanics</t>
  </si>
  <si>
    <t>SCOPUS, EICompendex, EBSCO, ProQuest </t>
  </si>
  <si>
    <t>https://ijomam.com/editorial-board/</t>
  </si>
  <si>
    <t>Philosophy Study</t>
  </si>
  <si>
    <t>BASE; WorldCat; Cite Factor; Scholarsteer; Google Scholar; SJournal Index; Infobase Index; Journal Impact Factor; Minerva Liberary Catalog; Bay State college library; Kings collage London; Library Pubge; Cambridge Scientific Abstracts (CSA); Chinese Database of CEPS, American Federal Computer Library Center (OCLC); Chinese Scientific Journals Database, VIP Corporation Chongqing, P.R. China; Norwegian Social Science Data Services (NSD); The Philosopher’s Index; Pubget; SCRIBD; Ulrich’s Periodicals Directory; Universe Digital Library S/B; J-Gate; DRJI; Google Scholar Metrics  3</t>
  </si>
  <si>
    <t>http://www.davidpublisher.com/index.php/Home/Journal/detail?journalid=44&amp;jx=ps&amp;cont=editorial</t>
  </si>
  <si>
    <t>Revista de Management comparat internațional</t>
  </si>
  <si>
    <t>RePec (Research Papers in Economics - IDEAS, Econpapers, Socionet), Index Copernicus - Journals Master List, EBSCO, The World Wide Web Virtual Library For European Integration, NewJour Electronic Journals and Newsletters, Ulrich's Periodicals Directory, Cabells Database, Google Scholar, OCLC-WorldCat</t>
  </si>
  <si>
    <t>http://www.rmci.ase.ro</t>
  </si>
  <si>
    <t>Review of General Management</t>
  </si>
  <si>
    <t>RePec (Research Papers in Economics 
– IDEAS, Econpapers, Socionet ), Central and Eastern European Online Library, Index Copernicus - Journals Master List, Cabell's Database, Ulrich's Periodicals Directory, SCIPIO</t>
  </si>
  <si>
    <t>http://www.managementgeneral.ro</t>
  </si>
  <si>
    <t>Management Studies</t>
  </si>
  <si>
    <t>Google Scholar; China National Knowledge Infrastructure (CNKI); China CrossRef; SSRN (social science research network);
Chinese Scientific Journals Database; VIP Corporation Chongqing, China; Chinese Database of CEPS, Airiti Inc., Taiwan
Index Copernicus International;  Poland Polish Scholarly Bibliography (PBN); Poland Qualis/Capes Index, Brazil ANVUR; Italy Finnish Publication Forum (JUFO); Finland
Norwegian Social Science Data Services (NSD); Database for Statistics on Higher Education (DBH);  Norway CiteFactor; USA 
Jour Informatics (Current year Impact Factor 0.01); Open Academic Journals Index (OAJI); Russian
Academic Keys; USA
Electronic Journals Library (EZB); Germany Scientific Indexing Services; USA Journals Impact Factor (JIF); Global Impact Factor (Impact Factor 0.543);  InnoSpace; USA  
Internet Archive Scholar Steer; USA
Infobase Index;  India (IBI Factor 2015: 3.36); Index of Turkish Education; Turkey
Universal Impact Factor; USA  
WorldCat; USA 
Sherpa/Romeo; UK
Journal Index.net; Australia
Free Libs ISI; UAE
GetCITED; Canada
J-Gate India;</t>
  </si>
  <si>
    <t>http://www.davidpublisher.org/index.php/Home/Journal/detail?journalid=7&amp;jx=MS&amp;cont=editorial</t>
  </si>
  <si>
    <t>Modern Management Forum</t>
  </si>
  <si>
    <t>Google Scholar, Creative Commons, ICMJE, NKI Scholar</t>
  </si>
  <si>
    <t>http://ojs.usp-pl.com/index.php/Modern-Management-Forum/about/editorialTeam</t>
  </si>
  <si>
    <t>Management si Marketing</t>
  </si>
  <si>
    <t>CABELL'S DIRECTORIES OF PUBLISHING OPPORTUNITIES; Ideas; REPEC; CEEOL - Central and Eastern European Online Library; DOAJ; EBSCO; Electronic Journals Library; Index Copernicus - Journal Masterl List; Intute: Social Science; ICAAP; SCIPIO</t>
  </si>
  <si>
    <t>http://www.mnmk.ro/colegiu.php</t>
  </si>
  <si>
    <t>Journal of Electrical Engineering, Electronics, Control and Computer Science</t>
  </si>
  <si>
    <t>Google Scholar, CiteFactor, Index Copernicus</t>
  </si>
  <si>
    <t>https://jeeeccs.net/index.php/journal/about/editorialBoardStatic</t>
  </si>
  <si>
    <t xml:space="preserve">Review of Management and Economic Engineering </t>
  </si>
  <si>
    <t>Ulrichsweb; Ebsco; Google Scholar; Index Copernicus International; Cabell's Directories; PBN Polska; Bibliografia Naukowa;</t>
  </si>
  <si>
    <t>http://www.rmee.org/editorial_board.htm</t>
  </si>
  <si>
    <t>STUDIES AND SCIENTIFIC RESEARCHES.
ECONOMICS EDITION</t>
  </si>
  <si>
    <t>RePEc (Ideas, EconPapers, Socionet); DOAJ; ; Ulrich`s Periodicals Directory; WorldCat; ECONIS (ZBW - German National Library of Economics); BASE (Bielefeld Academic Search Engine); ERIH PLUS; J-Gate Management; Google Scholar; EUROPUB</t>
  </si>
  <si>
    <t>http://sceco.ub.ro/index.php/SCECO/about/editorialTeam</t>
  </si>
  <si>
    <t>18 februarie 2022</t>
  </si>
  <si>
    <t>10 x 5</t>
  </si>
  <si>
    <t>IJOMAM</t>
  </si>
  <si>
    <t xml:space="preserve">SCOPUS </t>
  </si>
  <si>
    <t>https://ijomam.com/</t>
  </si>
  <si>
    <t>31 martie 2022</t>
  </si>
  <si>
    <t>21 februarie 2022</t>
  </si>
  <si>
    <t>10 aprilie 2022</t>
  </si>
  <si>
    <t>Fractal</t>
  </si>
  <si>
    <t>https://www.mdpi.com/journal/fractalfract</t>
  </si>
  <si>
    <t>13 iunie 2022</t>
  </si>
  <si>
    <t>5 iulie 2022</t>
  </si>
  <si>
    <t>Appilied Science</t>
  </si>
  <si>
    <t>2 august 2022</t>
  </si>
  <si>
    <t>Agriculture</t>
  </si>
  <si>
    <t>https://www.mdpi.com/journal/agriculture</t>
  </si>
  <si>
    <t>26 septembrie 2022</t>
  </si>
  <si>
    <t>https://www.mdpi.com/journal/coatings/special_issues/magnesium_aluminum</t>
  </si>
  <si>
    <t>GUEST EDITOR</t>
  </si>
  <si>
    <t>Future Internet</t>
  </si>
  <si>
    <t>https://www.mdpi.com/journal/futureinternet/topical_advisory_panel
https://www.mdpi.com/journal/futureinternet/topical_collections</t>
  </si>
  <si>
    <t>50x2x3</t>
  </si>
  <si>
    <t>https://magazines.ulbsibiu.ro/ijasitels/index.php/IJASITELS/issue/view/10/7</t>
  </si>
  <si>
    <t>28.10.2022</t>
  </si>
  <si>
    <t>anuala</t>
  </si>
  <si>
    <t>Entropy</t>
  </si>
  <si>
    <t>https://www.mdpi.com/journal/entropy</t>
  </si>
  <si>
    <t>25.01.2022</t>
  </si>
  <si>
    <t>10x5</t>
  </si>
  <si>
    <t xml:space="preserve">Multimedia Tools and Applications </t>
  </si>
  <si>
    <t>https://www.springer.com/journal/11042</t>
  </si>
  <si>
    <t>1.03.2022</t>
  </si>
  <si>
    <t>Machine Vision and Applications</t>
  </si>
  <si>
    <t>https://www.springer.com/journal/138</t>
  </si>
  <si>
    <t>18.10.2022</t>
  </si>
  <si>
    <t>Journal of Imaging</t>
  </si>
  <si>
    <t>https://www.mdpi.com/journal/jimaging</t>
  </si>
  <si>
    <t>13.07.2022</t>
  </si>
  <si>
    <t>BREAZU Macarie</t>
  </si>
  <si>
    <t>https://sciendo.com/journal/IJASITELS?tab=editorial-board</t>
  </si>
  <si>
    <t>JPM</t>
  </si>
  <si>
    <t>jpm-1820900</t>
  </si>
  <si>
    <t>IJERPH</t>
  </si>
  <si>
    <t>ijerph-1692185</t>
  </si>
  <si>
    <t>CRETULESCU Radu</t>
  </si>
  <si>
    <t>SCIENDO, ROAD, EBSCO</t>
  </si>
  <si>
    <t>Journal of Digital Information Management</t>
  </si>
  <si>
    <t>DBLP, GoogleScholar, Computer Science Index, Science &amp; Technology Collection, INSPEC</t>
  </si>
  <si>
    <t>http://www.dline.info/jdim/editorial-board/</t>
  </si>
  <si>
    <t>Journal of Information Systems Engineering &amp; Management</t>
  </si>
  <si>
    <t>J-GATE, GOOGLE SCHOLAR, SEMANTIC SCHOLAR, SCILIT, CROSSREF, INDEX COPERNICUS</t>
  </si>
  <si>
    <t>https://www.jisem-journal.com/home/editorial-board</t>
  </si>
  <si>
    <t>Computer Science and Engineering</t>
  </si>
  <si>
    <t>EBSCO, IndexCopernicus, CrossRef, J-Gate, GoogleScholar</t>
  </si>
  <si>
    <t>http://www.sapub.org/Journal/editorialboard.aspx?journalid=1081</t>
  </si>
  <si>
    <t>1 numar pe an</t>
  </si>
  <si>
    <t>EBSCO
Engineering Village
ExLibris
Google Scholar</t>
  </si>
  <si>
    <t>https://sciendo.com/journal/AUCTS?tab=issues</t>
  </si>
  <si>
    <t>Journal of E-Technology</t>
  </si>
  <si>
    <t>GoogleScholar, ResearchGate</t>
  </si>
  <si>
    <t>https://www.dline.info/jet/index.php</t>
  </si>
  <si>
    <t>International Journal of
Advanced Statistics and IT&amp;C for
Economics and Life Sciences</t>
  </si>
  <si>
    <t>2 numere pe an</t>
  </si>
  <si>
    <t>Vehicle System Dynamics</t>
  </si>
  <si>
    <t>https://www.tandfonline.com/journals/nvsd20</t>
  </si>
  <si>
    <t>articolul NVSD-2022-0199, 31.10.2022</t>
  </si>
  <si>
    <t>Applied Soft Computing</t>
  </si>
  <si>
    <t>https://www.journals.elsevier.com/applied-soft-computing</t>
  </si>
  <si>
    <t>articolul ASOC-D-21-04421, 16.01.2022</t>
  </si>
  <si>
    <t>City, Culture and Society</t>
  </si>
  <si>
    <t>https://www.sciencedirect.com/journal/city-culture-and-society</t>
  </si>
  <si>
    <t>articolul YCCS-D-21-00161, 16.01.2022</t>
  </si>
  <si>
    <t>Computers and Electrical Engineering</t>
  </si>
  <si>
    <t xml:space="preserve">https://www.sciencedirect.com/journal/computers-and-electrical-engineering </t>
  </si>
  <si>
    <t>articolul COMPELECENG-D-22-01312_R1, 26.06.2022</t>
  </si>
  <si>
    <t>https://www.mdpi.com/journal/processes</t>
  </si>
  <si>
    <t>articolul processes-2000957-peer-review-v1, 18.10.2022</t>
  </si>
  <si>
    <t>Simulation Modelling Practice and Theory</t>
  </si>
  <si>
    <t>https://www.sciencedirect.com/journal/simulation-modelling-practice-and-theory</t>
  </si>
  <si>
    <t>articolul SIMPAT-D-22-184, 06.03.2022</t>
  </si>
  <si>
    <t>articolul sustainability-1904084, 03.10.2022</t>
  </si>
  <si>
    <t>Sustainable Energy Technologies and Assessments</t>
  </si>
  <si>
    <t>https://www.sciencedirect.com/journal/sustainable-energy-technologies-and-assessments</t>
  </si>
  <si>
    <t>articolul SETA-D-22-02637_reviewer, 26.06.2022</t>
  </si>
  <si>
    <t>Scopus, DBLP, EBSCO</t>
  </si>
  <si>
    <t>Google Scholar, ResearchGate</t>
  </si>
  <si>
    <t>http://www.dline.info/jet/eb.php</t>
  </si>
  <si>
    <t>Future Internet, Special issue: Computer Vision, Deep Learning and Machine Learning with Applications (anexat certificat)</t>
  </si>
  <si>
    <t>DBLP, Scopus, etc.</t>
  </si>
  <si>
    <t>https://www.mdpi.com/journal/futureinternet/special_issues/CV_DL_ML_A</t>
  </si>
  <si>
    <t>12/an</t>
  </si>
  <si>
    <t>14.08.2022 (certificat anexat)</t>
  </si>
  <si>
    <t>24/an</t>
  </si>
  <si>
    <t>28.03.2022 (certificat anexat)</t>
  </si>
  <si>
    <t>International Journal of Human-Computer Interaction</t>
  </si>
  <si>
    <t>https://www.tandfonline.com/toc/hihc20/current</t>
  </si>
  <si>
    <t>5.07.2022 (captura anexată)</t>
  </si>
  <si>
    <t>20/an</t>
  </si>
  <si>
    <t xml:space="preserve">SCIENDO, 
PKP - index ,
 ROAD, </t>
  </si>
  <si>
    <t>https://magazines.ulbsibiu.ro/ijasitels/index.php/IJASITELS/about/editorialTeam</t>
  </si>
  <si>
    <t>Modeling and Development of Intelligent Systems (MDIS 2022) ID12 - Feature Selection and Extreme Learning Machine Tuning by Hybrid Sand Cat Optimization Algorithm for Diabetes Classification</t>
  </si>
  <si>
    <t>https://conferences.ulbsibiu.ro/mdis/2022/scientific_committee.php</t>
  </si>
  <si>
    <t>07.09.2022</t>
  </si>
  <si>
    <t>Modeling and Development of Intelligent Systems (MDIS 2022) ID21 - Integrated system for sensing home hazards</t>
  </si>
  <si>
    <t>International Journal of Advanced Statistics and IT&amp;C for Economics and Life Sciences - ID68 - An empirical study of large transportation networks and solutions for the cost optimization</t>
  </si>
  <si>
    <t>21.12.2022</t>
  </si>
  <si>
    <t>International Journal of Advanced Statistics and IT&amp;C for Economics and Life Sciences - ID67 - Data, governance and tackling the "tragedy of the commons"</t>
  </si>
  <si>
    <t>remotesensing</t>
  </si>
  <si>
    <t>https://www.mdpi.com/journal/remotesensing</t>
  </si>
  <si>
    <t>7.06.2022</t>
  </si>
  <si>
    <t>4.08.2022</t>
  </si>
  <si>
    <t>MDPI [Sensors] Manuscript ID: sensors-2047993      https://www.mdpi.com/1424-8220/23/1/94</t>
  </si>
  <si>
    <t>https://www.webofscience.com/wos/woscc/full-record/WOS:000908978400001</t>
  </si>
  <si>
    <t xml:space="preserve">17.11.2022 </t>
  </si>
  <si>
    <t>MDPI [Energies] Manuscript ID: energies-1791195              https://www.mdpi.com/1996-1073/15/14/5018/pdf</t>
  </si>
  <si>
    <t>https://www.webofscience.com/wos/woscc/full-record/WOS:000832255000001</t>
  </si>
  <si>
    <t>28.06.2022</t>
  </si>
  <si>
    <t xml:space="preserve"> Scopus, SCIE (Web of Science), CAPlus / SciFinder, Inspec</t>
  </si>
  <si>
    <t>10*5</t>
  </si>
  <si>
    <t>VOLOVICI Daniel</t>
  </si>
  <si>
    <t>Butean Alexandru</t>
  </si>
  <si>
    <t>28.09.2022</t>
  </si>
  <si>
    <t>anual</t>
  </si>
  <si>
    <t>16.07.2022</t>
  </si>
  <si>
    <t>15.06.2022</t>
  </si>
  <si>
    <t>02.04.2022</t>
  </si>
  <si>
    <t>14.03.2022</t>
  </si>
  <si>
    <t>16.06.2022</t>
  </si>
  <si>
    <t>04.11.2022</t>
  </si>
  <si>
    <t>Frontiers in Blockchain</t>
  </si>
  <si>
    <t>https://www.frontiersin.org/journals/blockchain</t>
  </si>
  <si>
    <t>06.06.2022</t>
  </si>
  <si>
    <t>02.09.2022</t>
  </si>
  <si>
    <t>Remote Sensing</t>
  </si>
  <si>
    <t>28.07.2022</t>
  </si>
  <si>
    <t>Bârsan Alexandru</t>
  </si>
  <si>
    <t>https://www.journals.elsevier.com/materials-today-proceedings</t>
  </si>
  <si>
    <t>MDPI - Agronomy</t>
  </si>
  <si>
    <t>https://www.mdpi.com/journal/agronomy</t>
  </si>
  <si>
    <t>MDPI - Sensors</t>
  </si>
  <si>
    <t>MDPI - Urban Science</t>
  </si>
  <si>
    <t>https://www.mdpi.com/journal/urbansci</t>
  </si>
  <si>
    <t>MDPI - Applied Sciences</t>
  </si>
  <si>
    <t>MDPI - Energies</t>
  </si>
  <si>
    <t>MDPI - Journal of Sensor and Actuator Networks</t>
  </si>
  <si>
    <t>https://www.mdpi.com/journal/jsan</t>
  </si>
  <si>
    <t>Int. J. of Automation and Control.</t>
  </si>
  <si>
    <t>http://www.inderscience.com/</t>
  </si>
  <si>
    <t>International Journal of Environment and Climate Change - ID Ms_IJECC_85435</t>
  </si>
  <si>
    <t xml:space="preserve">Index Copernicus, Scite Index, CrossRef, Journalseek, CNKI </t>
  </si>
  <si>
    <t>https://journalijecc.com/index.php/IJECC</t>
  </si>
  <si>
    <t>30.03.2023</t>
  </si>
  <si>
    <t>International Journal of Environment and Climate Change - ID Ms_IJECC_85495</t>
  </si>
  <si>
    <t>Index Copernicus, Scite Index, CrossRef, Journalseek, CNKI</t>
  </si>
  <si>
    <t>Applied Sciences (ISSN 2076-3417; CODEN: ASPCC7)  - ID - applsci-1678721</t>
  </si>
  <si>
    <t>Scopus, SCIE (Web of Science), Inspec, CAPlus / SciFinder</t>
  </si>
  <si>
    <t>Materials (ISSN 1996-1944; CODEN: MATEG9)  ID  materials-1731833</t>
  </si>
  <si>
    <r>
      <rPr>
        <sz val="10"/>
        <color theme="1"/>
        <rFont val="Arial Narrow"/>
      </rPr>
      <t xml:space="preserve">Scopus, SCIE (Web of Science), PubMed, PMC, Ei Compendex, CaPlus / SciFinder, Inspec, </t>
    </r>
    <r>
      <rPr>
        <u/>
        <sz val="10"/>
        <color theme="1"/>
        <rFont val="Arial Narrow"/>
      </rPr>
      <t>Astrophysics Data System</t>
    </r>
  </si>
  <si>
    <t>15.05.2022</t>
  </si>
  <si>
    <t>Applied Sciences (ISSN 2076-341 - ID applsci-1787572)</t>
  </si>
  <si>
    <t>24.06.2022</t>
  </si>
  <si>
    <t>JMSE (ISSN 2077-1312 - ID jmse-1889931)</t>
  </si>
  <si>
    <t>Scopus, SCIE (Web of Science), GeoRef, Inspec, AGRIS,</t>
  </si>
  <si>
    <t>https://www.mdpi.com/journal/jmse</t>
  </si>
  <si>
    <t>01.09.2022</t>
  </si>
  <si>
    <t>Machines (ISSN 2075-1702 - ID machines-1926277)</t>
  </si>
  <si>
    <r>
      <rPr>
        <sz val="10"/>
        <color theme="1"/>
        <rFont val="Arial Narrow"/>
      </rPr>
      <t xml:space="preserve">Scopus, SCIE (Web of Science), </t>
    </r>
    <r>
      <rPr>
        <u/>
        <sz val="10"/>
        <color theme="1"/>
        <rFont val="Arial Narrow"/>
      </rPr>
      <t>Inspec</t>
    </r>
  </si>
  <si>
    <t>Energies (ISSN 1996-1073 - ID energies-2043694)</t>
  </si>
  <si>
    <t>Scopus, SCIE (Web of Science), Ei Compendex, RePEc, Inspec, CAPlus / SciFinder</t>
  </si>
  <si>
    <t>Energies (ISSN 1996-1073 - ID energies-2098255)</t>
  </si>
  <si>
    <t>Annals of University of Oradea, Fascicle of Textiles, Leatherwork</t>
  </si>
  <si>
    <t>https://textile.webhost.uoradea.ro/Annals/Comitet%20stiintific.html</t>
  </si>
  <si>
    <t>14.04.2022</t>
  </si>
  <si>
    <t>Journal of Textile Engineering &amp; Fashion Technology</t>
  </si>
  <si>
    <t>ORCiD</t>
  </si>
  <si>
    <t>https://medcraveonline.com/JTEFT/reviewer-board</t>
  </si>
  <si>
    <t>07.02.2022</t>
  </si>
  <si>
    <t>International Journal of Plant &amp; Soil Science</t>
  </si>
  <si>
    <t xml:space="preserve">Index Copernicus </t>
  </si>
  <si>
    <t>https://journalijpss.com/index.php/IJPSS</t>
  </si>
  <si>
    <t>European Journal of Medicinal Plants</t>
  </si>
  <si>
    <t>US National Library of Medicine (NLM) Catalog listed journals</t>
  </si>
  <si>
    <t>https://journalejmp.com/index.php/EJMP</t>
  </si>
  <si>
    <t>19.07.2022</t>
  </si>
  <si>
    <t xml:space="preserve">Journal of Pharmaceutical Research International </t>
  </si>
  <si>
    <t>Web of Science</t>
  </si>
  <si>
    <t>https://journaljpri.com/index.php/JPRI</t>
  </si>
  <si>
    <t>15.02.2022</t>
  </si>
  <si>
    <t>Breaz Radu-Eugen</t>
  </si>
  <si>
    <t>Applied Sciences ID: applsci-1572729</t>
  </si>
  <si>
    <t>WoS,  Scopus</t>
  </si>
  <si>
    <r>
      <rPr>
        <b/>
        <sz val="10"/>
        <color theme="1"/>
        <rFont val="Arial Narrow"/>
      </rPr>
      <t>2022-02-04</t>
    </r>
    <r>
      <rPr>
        <sz val="10"/>
        <color theme="1"/>
        <rFont val="Arial Narrow"/>
      </rPr>
      <t xml:space="preserve"> (Crack Growth and Delamination Analysis in GFRP Composite Materials)</t>
    </r>
  </si>
  <si>
    <t>periodic</t>
  </si>
  <si>
    <t>Applied Sciences ID: applsci-1810307</t>
  </si>
  <si>
    <r>
      <rPr>
        <b/>
        <sz val="10"/>
        <color theme="1"/>
        <rFont val="Arial Narrow"/>
      </rPr>
      <t>2022-07-21</t>
    </r>
    <r>
      <rPr>
        <sz val="10"/>
        <color theme="1"/>
        <rFont val="Arial Narrow"/>
      </rPr>
      <t xml:space="preserve"> (Machine-Learning Prediction of Turning Precision Using Op-timized XGBoost Model)</t>
    </r>
  </si>
  <si>
    <t>IEEE Transactions on Automation Science and Engineering</t>
  </si>
  <si>
    <t>https://ieeexplore.ieee.org/xpl/RecentIssue.jsp?punumber=8856</t>
  </si>
  <si>
    <r>
      <rPr>
        <b/>
        <sz val="10"/>
        <color rgb="FF000000"/>
        <rFont val="Arial Narrow"/>
      </rPr>
      <t>2022-09-30</t>
    </r>
    <r>
      <rPr>
        <sz val="10"/>
        <color rgb="FF000000"/>
        <rFont val="Arial Narrow"/>
      </rPr>
      <t xml:space="preserve"> (Energy Consumption Modeling and Optimization of a Hobbing Machine Tool Under Multi-axis Interference)</t>
    </r>
  </si>
  <si>
    <t>Journal of Electrical and Computer Engineering</t>
  </si>
  <si>
    <t>https://www.hindawi.com/journals/jece/?utm_source=google&amp;utm_medium=cpc&amp;utm_campaign=HDW_MRKT_GBL_SUB_ADWO_PAI_KEYW_JOUR_JECE_GENEX&amp;gclid=CjwKCAiArY2fBhB9EiwAWqHK6lKLe4rKD6Vgp-0g_rC8u10FKQuX9wNbQyFvAVfvW9H-qytoECYEShoC9bsQAvD_BwE</t>
  </si>
  <si>
    <r>
      <rPr>
        <b/>
        <sz val="10"/>
        <color theme="1"/>
        <rFont val="Arial Narrow"/>
      </rPr>
      <t>2022-08-22</t>
    </r>
    <r>
      <rPr>
        <sz val="10"/>
        <color theme="1"/>
        <rFont val="Arial Narrow"/>
      </rPr>
      <t xml:space="preserve"> (Synthesis And Optimization Of CNC Milling Machine Control System)</t>
    </r>
  </si>
  <si>
    <t>Machines ID: machines-1623542</t>
  </si>
  <si>
    <r>
      <rPr>
        <b/>
        <sz val="10"/>
        <color theme="1"/>
        <rFont val="Arial Narrow"/>
      </rPr>
      <t>2022-03-07</t>
    </r>
    <r>
      <rPr>
        <sz val="10"/>
        <color theme="1"/>
        <rFont val="Arial Narrow"/>
      </rPr>
      <t xml:space="preserve"> (Research on Machining Error Analysis and Traceability Method of Globoidal Indexing Cam Profile)</t>
    </r>
  </si>
  <si>
    <t>Machines ID: machines-1701143</t>
  </si>
  <si>
    <r>
      <rPr>
        <b/>
        <sz val="10"/>
        <color theme="1"/>
        <rFont val="Arial Narrow"/>
      </rPr>
      <t>2022-04-23</t>
    </r>
    <r>
      <rPr>
        <sz val="10"/>
        <color theme="1"/>
        <rFont val="Arial Narrow"/>
      </rPr>
      <t xml:space="preserve"> (Stiffness-Oriented Placement Optimization of Machining Robots for Large Component Flexible Manufacturing System)</t>
    </r>
  </si>
  <si>
    <t>https://www.mdpi.com/journal/materials/submission_reviewers</t>
  </si>
  <si>
    <t>Membru în comitetul științific</t>
  </si>
  <si>
    <t>24 numere/an, https://jcr.clarivate.com/jcr-jp/journal-profile?journal=MATERIALS&amp;year=2021</t>
  </si>
  <si>
    <t>Materials ID: materials-1719866</t>
  </si>
  <si>
    <r>
      <rPr>
        <b/>
        <sz val="10"/>
        <color theme="1"/>
        <rFont val="Arial Narrow"/>
      </rPr>
      <t>2022-05-11</t>
    </r>
    <r>
      <rPr>
        <sz val="10"/>
        <color theme="1"/>
        <rFont val="Arial Narrow"/>
      </rPr>
      <t xml:space="preserve"> (Contribution Ratio Assessment of Process Parameters on Robotic Milling Performance)</t>
    </r>
  </si>
  <si>
    <t>Materials ID: materials-1971959</t>
  </si>
  <si>
    <r>
      <rPr>
        <b/>
        <sz val="10"/>
        <color rgb="FF000000"/>
        <rFont val="Arial Narrow"/>
      </rPr>
      <t>2022-10-21</t>
    </r>
    <r>
      <rPr>
        <sz val="10"/>
        <color rgb="FF000000"/>
        <rFont val="Arial Narrow"/>
      </rPr>
      <t xml:space="preserve"> (A Grey Fuzzy Approach to the Selection of Machine Tools from the Aspect of Technological Parameters)</t>
    </r>
  </si>
  <si>
    <t>Materials ID: materials-1977548</t>
  </si>
  <si>
    <t>2022-11-06 (In-Situ Measurement and Slow-Tool-Servo Compensation Method of Roundness Error of a Precision Mandrel)</t>
  </si>
  <si>
    <t>Materials ID: materials-2126983</t>
  </si>
  <si>
    <r>
      <rPr>
        <b/>
        <sz val="10"/>
        <color rgb="FF000000"/>
        <rFont val="Arial Narrow"/>
      </rPr>
      <t>2022-12-22</t>
    </r>
    <r>
      <rPr>
        <sz val="10"/>
        <color rgb="FF000000"/>
        <rFont val="Arial Narrow"/>
      </rPr>
      <t xml:space="preserve"> (Design of real time Extremum Seeking Controller based modelling for optimizing MRR in low power EDM)</t>
    </r>
  </si>
  <si>
    <t>Metals ID: metals-1536467</t>
  </si>
  <si>
    <r>
      <rPr>
        <b/>
        <sz val="10"/>
        <color theme="1"/>
        <rFont val="Arial Narrow"/>
      </rPr>
      <t>2022-01-10</t>
    </r>
    <r>
      <rPr>
        <sz val="10"/>
        <color theme="1"/>
        <rFont val="Arial Narrow"/>
      </rPr>
      <t xml:space="preserve"> (AZ31 Sheet Forming by Clustering Ball Spinning-Analysis of Damage Evolution Using a Modified GTN Model)</t>
    </r>
  </si>
  <si>
    <t>Metals ID: metals-1875952</t>
  </si>
  <si>
    <r>
      <rPr>
        <b/>
        <sz val="10"/>
        <color rgb="FF000000"/>
        <rFont val="Arial Narrow"/>
      </rPr>
      <t xml:space="preserve">2022-08-30 </t>
    </r>
    <r>
      <rPr>
        <sz val="10"/>
        <color rgb="FF000000"/>
        <rFont val="Arial Narrow"/>
      </rPr>
      <t>(Effect of active deflection on the forming of tubes manufactured by 3D free bending technology)</t>
    </r>
  </si>
  <si>
    <t>https://www.mdpi.com/journal/micromachines/topical_advisory_panel</t>
  </si>
  <si>
    <t>Membru în comitetul științific al unei colecții editoriale</t>
  </si>
  <si>
    <t>12 numere/an, https://jcr.clarivate.com/jcr-jp/journal-profile?journal=MICROMACHINES-BASEL&amp;year=2021</t>
  </si>
  <si>
    <t>Micromachines ID: micromachines-1750340</t>
  </si>
  <si>
    <r>
      <rPr>
        <b/>
        <sz val="10"/>
        <color theme="1"/>
        <rFont val="Arial Narrow"/>
      </rPr>
      <t>2022-06-17</t>
    </r>
    <r>
      <rPr>
        <sz val="10"/>
        <color theme="1"/>
        <rFont val="Arial Narrow"/>
      </rPr>
      <t xml:space="preserve"> (Multi-material topology optimization of flexure hinges using element stacking method)</t>
    </r>
  </si>
  <si>
    <t>Micromachines ID: micromachines-1808078</t>
  </si>
  <si>
    <r>
      <rPr>
        <b/>
        <sz val="10"/>
        <color theme="1"/>
        <rFont val="Arial Narrow"/>
      </rPr>
      <t>2022-07-05</t>
    </r>
    <r>
      <rPr>
        <sz val="10"/>
        <color theme="1"/>
        <rFont val="Arial Narrow"/>
      </rPr>
      <t xml:space="preserve"> (A New Nonlinear Spatial Compliance Model Method for Flexure Leaf Springs with Large Width-to-Length Ratio under Large Deformation)</t>
    </r>
  </si>
  <si>
    <t>Multibody System Dynamics</t>
  </si>
  <si>
    <t>https://www.springer.com/journal/11044</t>
  </si>
  <si>
    <r>
      <rPr>
        <b/>
        <sz val="10"/>
        <color rgb="FF000000"/>
        <rFont val="Arial Narrow"/>
      </rPr>
      <t>2022-11</t>
    </r>
    <r>
      <rPr>
        <sz val="10"/>
        <color rgb="FF000000"/>
        <rFont val="Arial Narrow"/>
      </rPr>
      <t xml:space="preserve"> (Dynamic simulation analysis and experimental study of an industrial robot with novel joint reducers)</t>
    </r>
  </si>
  <si>
    <t>Robotics ID: robotics-2048728</t>
  </si>
  <si>
    <t>https://www.mdpi.com/journal/robotics</t>
  </si>
  <si>
    <r>
      <rPr>
        <b/>
        <sz val="10"/>
        <color rgb="FF000000"/>
        <rFont val="Arial Narrow"/>
      </rPr>
      <t>2022-11-21</t>
    </r>
    <r>
      <rPr>
        <sz val="10"/>
        <color rgb="FF000000"/>
        <rFont val="Arial Narrow"/>
      </rPr>
      <t xml:space="preserve"> (Current Designs of Robotic Arm Grippers: A Comprehensive Systematic Review)</t>
    </r>
  </si>
  <si>
    <t>Sensors ID: sensors-1939480</t>
  </si>
  <si>
    <r>
      <rPr>
        <b/>
        <sz val="10"/>
        <color rgb="FF000000"/>
        <rFont val="Arial Narrow"/>
      </rPr>
      <t>2022-09-19</t>
    </r>
    <r>
      <rPr>
        <sz val="10"/>
        <color rgb="FF000000"/>
        <rFont val="Arial Narrow"/>
      </rPr>
      <t xml:space="preserve"> (Design and Shape Optimization of Strain Gauge Load Cell for Axial Force Measurement for Test Benches)</t>
    </r>
  </si>
  <si>
    <t>Textiles ID: textiles-1778971</t>
  </si>
  <si>
    <t>https://www.mdpi.com/journal/textiles</t>
  </si>
  <si>
    <r>
      <rPr>
        <b/>
        <sz val="10"/>
        <color theme="1"/>
        <rFont val="Arial Narrow"/>
      </rPr>
      <t xml:space="preserve">2022-07-07 </t>
    </r>
    <r>
      <rPr>
        <sz val="10"/>
        <color theme="1"/>
        <rFont val="Arial Narrow"/>
      </rPr>
      <t>(Tight margins: a systematic review on compression garment use during exercise and recovery)</t>
    </r>
  </si>
  <si>
    <t>Machines ID: machines-1840393</t>
  </si>
  <si>
    <t>2022 01 13</t>
  </si>
  <si>
    <t>Agronomy ID: agronomy-2014831</t>
  </si>
  <si>
    <t>https://www.mdpi.com/2073-4395/13/2/391</t>
  </si>
  <si>
    <t>2023 11 23</t>
  </si>
  <si>
    <t>Micromachines ID: micromachines-1614083</t>
  </si>
  <si>
    <t>2012 02 23</t>
  </si>
  <si>
    <t>Applied Sciences ID: applsci-1780576</t>
  </si>
  <si>
    <t>https://www.mdpi.com/2076-3417/13/3/1425</t>
  </si>
  <si>
    <t>2022 06 12</t>
  </si>
  <si>
    <t>Machines ID: machines-1556604</t>
  </si>
  <si>
    <t>2022 08 01</t>
  </si>
  <si>
    <t>Agronomy ID: agronomy-1962362</t>
  </si>
  <si>
    <t>https://www.mdpi.com/2073-4395/13/2/390</t>
  </si>
  <si>
    <t>2022 10 21</t>
  </si>
  <si>
    <t xml:space="preserve">      FING4</t>
  </si>
  <si>
    <t>Annals of the University of Oradea. Fascicle of Textiles, Leatherwork</t>
  </si>
  <si>
    <t xml:space="preserve"> EBSCO, Directory of Open Access Journals (DOAJ), Index Copernicus, Ulrich's Update - Periodicals Directory</t>
  </si>
  <si>
    <t>http://textile.webhost.uoradea.ro/Annals/Comitet%20stiintific.html</t>
  </si>
  <si>
    <t xml:space="preserve">   membru comitet științific</t>
  </si>
  <si>
    <t>2 numere/an</t>
  </si>
  <si>
    <t>https://journals.sagepub.com/home/trj</t>
  </si>
  <si>
    <t>12 numere/an</t>
  </si>
  <si>
    <t>24.03.2022</t>
  </si>
  <si>
    <t>Crenganiș Mihai</t>
  </si>
  <si>
    <t>Advances in Mechanical Engineering(AME-22-0754)</t>
  </si>
  <si>
    <t>Scopus, SCIE (Web of Science)</t>
  </si>
  <si>
    <t>01.08.2022</t>
  </si>
  <si>
    <t>Agriculture (agriculture-1839155)</t>
  </si>
  <si>
    <t>10.08.2022</t>
  </si>
  <si>
    <t>Agriculture(agriculture-1771097)</t>
  </si>
  <si>
    <t>04.07.2022</t>
  </si>
  <si>
    <t xml:space="preserve">Applied Sciences(applsci-1576021) </t>
  </si>
  <si>
    <t>11.02.2022</t>
  </si>
  <si>
    <t xml:space="preserve">Applied Sciences(applsci-1987371) </t>
  </si>
  <si>
    <t>Electronics (electronics-1646325)</t>
  </si>
  <si>
    <t>20.03.2022</t>
  </si>
  <si>
    <t xml:space="preserve">Energies(energies-1752241) </t>
  </si>
  <si>
    <t>29.05.2022</t>
  </si>
  <si>
    <t>IEEE Access (Access-2022-29944)</t>
  </si>
  <si>
    <t>14.12.2022</t>
  </si>
  <si>
    <t>IEEE Access(Access-2022-19333)</t>
  </si>
  <si>
    <t>IEEE Access(Access-2022-30122)</t>
  </si>
  <si>
    <t>15.11.2022</t>
  </si>
  <si>
    <t>IEEE Transactions on Industrial Informatics (TII-22-3068)</t>
  </si>
  <si>
    <t>Machines ( machines-2123627)</t>
  </si>
  <si>
    <t>22.12.2022</t>
  </si>
  <si>
    <t>Machines (machines-2017132)</t>
  </si>
  <si>
    <t>10.11.2022</t>
  </si>
  <si>
    <t>Processes(processes-1973785)</t>
  </si>
  <si>
    <t>17.10.2022</t>
  </si>
  <si>
    <t>Gîrjob Claudia Emilia</t>
  </si>
  <si>
    <r>
      <rPr>
        <sz val="10"/>
        <color theme="1"/>
        <rFont val="Arial Narrow"/>
      </rPr>
      <t>Actuators (ISSN 2076-0825)/</t>
    </r>
    <r>
      <rPr>
        <b/>
        <sz val="10"/>
        <color theme="1"/>
        <rFont val="Arial Narrow"/>
      </rPr>
      <t xml:space="preserve"> </t>
    </r>
    <r>
      <rPr>
        <sz val="10"/>
        <color theme="1"/>
        <rFont val="Arial Narrow"/>
      </rPr>
      <t>Manuscript ID
actuators-1589808</t>
    </r>
  </si>
  <si>
    <t xml:space="preserve"> Scopus, SCIE (Web of Science), Inspec</t>
  </si>
  <si>
    <t>https://www.mdpi.com/journal/actuators</t>
  </si>
  <si>
    <t>13.03.2022</t>
  </si>
  <si>
    <t>Sensors (ISSN 1424-8220)Manuscript ID
sensors-1575202</t>
  </si>
  <si>
    <t>Scopus, SCIE (Web of Science), PubMed, MEDLINE, PMC, Embase, Ei Compendex, Inspec, Astrophysics Data System,</t>
  </si>
  <si>
    <t>23.02.2022</t>
  </si>
  <si>
    <t>Actuators (ISSN 2076-0825)/ Manuscript ID
actuators-1639670</t>
  </si>
  <si>
    <t>Aerospace (ISSN 2226-4310)
Manuscript ID
aerospace-1647310</t>
  </si>
  <si>
    <t>Scopus, SCIE (Web of Science), Inspec</t>
  </si>
  <si>
    <t>28.03.2022</t>
  </si>
  <si>
    <t>Applied Sciences (ISSN 2076-3417)
Manuscript ID
applsci-1694295</t>
  </si>
  <si>
    <t>Scopus, SCIE (Web of Science), Inspec, CAPlus / SciFinder,</t>
  </si>
  <si>
    <t>18.04.2022</t>
  </si>
  <si>
    <t>Actuators (ISSN 2076-0825)
Manuscript ID
actuators-1714983</t>
  </si>
  <si>
    <t>30.05.2022</t>
  </si>
  <si>
    <t>Sensors (ISSN 1424-8220)
Manuscript ID
sensors-1784477</t>
  </si>
  <si>
    <t>30.06.2022</t>
  </si>
  <si>
    <t>Machines (ISSN 2075-1702)
Manuscript ID
machines-1831508</t>
  </si>
  <si>
    <t>Scopus, SCIE (Web of Science), Inspec,</t>
  </si>
  <si>
    <t>Sensors (ISSN 1424-8220)
Manuscript ID
sensors-1910178</t>
  </si>
  <si>
    <t>05.09.2022</t>
  </si>
  <si>
    <t>Applied Sciences (ISSN 2076-3417)
Manuscript ID
applsci-1948810</t>
  </si>
  <si>
    <t>14.10.2022</t>
  </si>
  <si>
    <t>Sensors (ISSN 1424-8220)
Manuscript ID
sensors-1988128</t>
  </si>
  <si>
    <t>21.10.2022</t>
  </si>
  <si>
    <t>Sensors (ISSN 1424-8220)
Manuscript ID
sensors-2020902</t>
  </si>
  <si>
    <t>Chips (ISSN 2674-0729)
Manuscript ID
chips-2015235</t>
  </si>
  <si>
    <t>CNKI, Digital Science, DOAJ, EBSCO</t>
  </si>
  <si>
    <t>https://www.mdpi.com/journal/chips</t>
  </si>
  <si>
    <t>Sustainability (ISSN 2071-1050)
Manuscript ID
sustainability-2084582</t>
  </si>
  <si>
    <t>Scopus, SCIE and SSCI (Web of Science), GEOBASE, GeoRef, Inspec, AGRIS, RePEc, CAPlus / SciFinder,</t>
  </si>
  <si>
    <t>Advances in Materials and Processing Technologies, eISSN2374-0698, TMPT-2021-0597, Multi-response optimization in Single Point Incremental Forming of AA5052 H32 alloy sheet using multi-attribute decision-making methods</t>
  </si>
  <si>
    <t>https://www.tandfonline.com/action/journalInformation?show=editorialBoard&amp;journalCode=tmpt20</t>
  </si>
  <si>
    <t>29.03.2022</t>
  </si>
  <si>
    <t>4 numere/an + numere speciale</t>
  </si>
  <si>
    <t>Aerospace (ISSN 2226-4310), aerospace-1882786, Performance investigation of superplastic shape memory alloy-based vibration isolator for X-Band Active SAR Small Satellite of S-STEP under acoustic and random vibration environments</t>
  </si>
  <si>
    <t>29.09.2022</t>
  </si>
  <si>
    <t>Coatings (ISSN 2079-6412), coatings-1577850, Tribocorrosion behavior of laser cladded Ti-Al-(C, N) composite coatings in artificial seawater</t>
  </si>
  <si>
    <t>Journal of Intelligent Manufacturing, (ISSN0956-5515), JIMS-D-22-00295, Investigation and Machine Learning-based Prediction of Parametric Effects of Single
Point Incremental Forming on Pillow Effect and Wall Profile of AlMn1Mg1 Aluminum
Alloy Sheets</t>
  </si>
  <si>
    <t>https://www.springer.com/journal/10845/editors</t>
  </si>
  <si>
    <t>15.08.2022</t>
  </si>
  <si>
    <t>8 numere/an</t>
  </si>
  <si>
    <t>Materials (ISSN 1996-1944), materials-1525198, A fast thermal 1-D model to study aerospace materials response behaviors in uncontrolled atmospheric entries</t>
  </si>
  <si>
    <t>17.01.2022</t>
  </si>
  <si>
    <t>24 numere/an</t>
  </si>
  <si>
    <t>Materials (ISSN 1996-1944), materials-1557254, High-Temperature Wear Performance of hBN-Added Ni-W Composites Produced from Combustion-Synthesized Powders</t>
  </si>
  <si>
    <t>06.01.2022</t>
  </si>
  <si>
    <t>Materials (ISSN 1996-1944), materials-1614315, Experimental and Numerical Thickness Analysis of TRIP Steel Under Various Degrees of Deformation in Bulge Test</t>
  </si>
  <si>
    <t>09.03.2022</t>
  </si>
  <si>
    <t>Materials (ISSN 1996-1944), materials-1676154, Experimental and theoretical investigations on diamond wire sawing for an NdFeB magnet</t>
  </si>
  <si>
    <t>11.04.2022</t>
  </si>
  <si>
    <t>Materials (ISSN 1996-1944), materials-2001403, A comparison and analysis of three methods of aluminum crown forgings in processing optimization</t>
  </si>
  <si>
    <t>16.11.2022</t>
  </si>
  <si>
    <t>Metals (ISSN 2075-4701), metals-1599657, Modelling of the Steel High-Temperature Deformation Behavior Using Artificial Neural Network</t>
  </si>
  <si>
    <t>https://www.mdpi.com/journal/metals/editors</t>
  </si>
  <si>
    <t>28.02.2022</t>
  </si>
  <si>
    <t>Metals (ISSN 2075-4701), metals-1704604, Numerical and Experimental Study on Hot Forming by Partition Cooling of 38MnB5Nb</t>
  </si>
  <si>
    <t>06.05.2022</t>
  </si>
  <si>
    <t>Metals (ISSN 2075-4701), metals-1852552, Study on Mechanical Properties and Deformation Mechanism of TWIP Stainless Steel</t>
  </si>
  <si>
    <t>Metals (ISSN 2075-4701), metals-1987880, Numerical Simulation of Penetration Process of Depleted Uranium Alloy Based on an FEM-SPH Coupling Algorithm</t>
  </si>
  <si>
    <t>08.11.2022</t>
  </si>
  <si>
    <t>Metals (ISSN 2075-4701), metals-2094947, Identifying Optimal Hot Forming Conditions for AA6010 Alloy by Means of Elevated Temperature Tensile Testing</t>
  </si>
  <si>
    <t>18.12.2022</t>
  </si>
  <si>
    <t>Journal of the Brazilian Society of Mechanical Sciences and Engineering (ISSN: 1678-5878), BMSE-D-22-00763, Maximum thinning rate prediction of friction heat single point incremental forming for AZ31B magnesium alloy based on BP neural network</t>
  </si>
  <si>
    <t>https://www.springer.com/journal/40430/editors</t>
  </si>
  <si>
    <t>09.05.2022</t>
  </si>
  <si>
    <t>Manufacturing Letters (ISSN: 2213-8463), MFGLET-D-22-00227, Agile manufacturing of complex shaped bent profiles by incremental deformation</t>
  </si>
  <si>
    <t>https://www.sciencedirect.com/journal/manufacturing-letters/about/editorial-board</t>
  </si>
  <si>
    <t>13.12.2022</t>
  </si>
  <si>
    <t>Guest Editor pentru numărul special: "Forming Technologies and Mechanical Properties of Advanced Materials" - Materials (ISSN 1996-1944) - 50 * 2 * 3 = 300</t>
  </si>
  <si>
    <t>https://www.mdpi.com/journal/materials/special_issues/Metal_Forming_Mechanical</t>
  </si>
  <si>
    <t>01.01.2022-20.11.2022</t>
  </si>
  <si>
    <t>Editorial Advisory Board, Acta Universitatis Cibiniensis. Technical Series, eISSN: 2668-6449</t>
  </si>
  <si>
    <t>Inspec, Ebsco, Index Copernicus</t>
  </si>
  <si>
    <t>https://sciendo.com/journal/AUCTS?tab=editorial-board</t>
  </si>
  <si>
    <t>1 număr/an</t>
  </si>
  <si>
    <t>Membru în Editorial Board, Journal of Electrical Engineering, Electronics, Control and Computer Science, ISSN: 2668-8476</t>
  </si>
  <si>
    <t>Index Copernicus, CiteFactor</t>
  </si>
  <si>
    <t>4 numere/an</t>
  </si>
  <si>
    <t>Pascu Adrian</t>
  </si>
  <si>
    <t>EBSCO
Engineering Village
ExLibris
Google Scholar
Inspec</t>
  </si>
  <si>
    <t>Annuala</t>
  </si>
  <si>
    <t>Racz Sever-Gabriel</t>
  </si>
  <si>
    <t>Scopus, SCIE (Web of Science), Inspec, CAPlus / SciFinde</t>
  </si>
  <si>
    <t>https://www.mdpi.com/journal/metals/submission_reviewers</t>
  </si>
  <si>
    <t>membru  în comitetul științific al publicației</t>
  </si>
  <si>
    <t>https://susy.mdpi.com/academic-editor/special_issues/process/1081946</t>
  </si>
  <si>
    <t>guest editor de număr tematic</t>
  </si>
  <si>
    <t>https://susy.mdpi.com/academic-editor/special_issues/process/902981</t>
  </si>
  <si>
    <t>Mathematics mathematics-1554925</t>
  </si>
  <si>
    <t xml:space="preserve"> Scopus, SCIE (Web of Science), RePEc</t>
  </si>
  <si>
    <t>12.01.2022</t>
  </si>
  <si>
    <t>Metals metals-1666977</t>
  </si>
  <si>
    <t>06.02.2022</t>
  </si>
  <si>
    <t>Mathematics mathematics-1633784</t>
  </si>
  <si>
    <t>15.04.2022</t>
  </si>
  <si>
    <t>Metals metals-1836402</t>
  </si>
  <si>
    <t>21.07.2022</t>
  </si>
  <si>
    <t>Machines machines-1934814</t>
  </si>
  <si>
    <t>02.10.2022</t>
  </si>
  <si>
    <t>Bioengineering bioengineering-1976865</t>
  </si>
  <si>
    <t>Scopus, SCIE (Web of Science), PubMed, PMC, CAPlus / SciFinder, Inspec</t>
  </si>
  <si>
    <t>https://www.mdpi.com/journal/bioengineering</t>
  </si>
  <si>
    <t>24.10.2022</t>
  </si>
  <si>
    <t>International Journal of Material Forming jmmp-2023313</t>
  </si>
  <si>
    <t>Scopus, Springer</t>
  </si>
  <si>
    <t>https://www.springer.com/journal/12289/editors</t>
  </si>
  <si>
    <t>12.11.2022</t>
  </si>
  <si>
    <t>Sensors 2126484</t>
  </si>
  <si>
    <t xml:space="preserve"> Scopus, SCIE (Web of Science), PubMed, MEDLINE, PMC, Embase, Ei Compendex, Inspec, Astrophysics Data System</t>
  </si>
  <si>
    <t>28.12.2022</t>
  </si>
  <si>
    <t>Polymers/Polymeric Fibers in Textiles</t>
  </si>
  <si>
    <t>https://www.mdpi.com/journal/polymers/special_issues/Polymeric_Fibers_Textiles</t>
  </si>
  <si>
    <t>3 rapoarte de decizie finala: iunie, august, septembrie 2022/atasat captura de ecran</t>
  </si>
  <si>
    <t>Special Issue "Recent Advances in Sustainable Textiles"</t>
  </si>
  <si>
    <t>https://www.mdpi.com/journal/textiles/special_issues/4ZQACMQ0L9</t>
  </si>
  <si>
    <t>2 rapoarte de decizie finala: noiembrie, decembrie 2022/atasat captura de ecran</t>
  </si>
  <si>
    <t>Catalysts</t>
  </si>
  <si>
    <t>https://www.mdpi.com/journal/catalysts/submission_reviewers</t>
  </si>
  <si>
    <t>25.12.2022/atasat captura de ecran si link</t>
  </si>
  <si>
    <t>Chemistry</t>
  </si>
  <si>
    <t>https://www.mdpi.com/2624-8549/5/1/13</t>
  </si>
  <si>
    <t>01.06.2022, dovada captura ecran si link-ul</t>
  </si>
  <si>
    <t>dovada captura ecran</t>
  </si>
  <si>
    <t>Materials Science and Engineering</t>
  </si>
  <si>
    <t>doar corespondenta pe email</t>
  </si>
  <si>
    <t>corespondenta pe email</t>
  </si>
  <si>
    <t>Water</t>
  </si>
  <si>
    <t>https://www.mdpi.com/2073-4441/15/3/376</t>
  </si>
  <si>
    <t xml:space="preserve">20.05.2022, dovada captura ecran si link </t>
  </si>
  <si>
    <t>https://www.mdpi.com/2073-4441/15/3/377</t>
  </si>
  <si>
    <t xml:space="preserve">10.04.2022, dovada captura ecran si link </t>
  </si>
  <si>
    <t>South Africa Journal</t>
  </si>
  <si>
    <t>dovada corespondenta email</t>
  </si>
  <si>
    <t>Mathematical Problems in Engineering</t>
  </si>
  <si>
    <t>dovada corespondenta email, in arhiva Recenzii</t>
  </si>
  <si>
    <t xml:space="preserve">Catalysts </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</si>
  <si>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</si>
  <si>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</si>
  <si>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</si>
  <si>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sz val="10"/>
        <color rgb="FF000000"/>
        <rFont val="Arial Narrow"/>
      </rPr>
      <t xml:space="preserve">Aplicarea </t>
    </r>
    <r>
      <rPr>
        <b/>
        <sz val="10"/>
        <color rgb="FF000000"/>
        <rFont val="Arial Narrow"/>
      </rPr>
      <t>coeficientului de multiplicare</t>
    </r>
    <r>
      <rPr>
        <sz val="10"/>
        <color rgb="FF000000"/>
        <rFont val="Arial Narrow"/>
      </rPr>
      <t xml:space="preserve"> presupune deplasarea fizică la locul conferinței; pentru manifestările științifice la care participarea s-a făcut online nu se aplică niciun coeficient de multiplicare;
-	la categoria a)</t>
    </r>
    <r>
      <rPr>
        <i/>
        <sz val="10"/>
        <color rgb="FF000000"/>
        <rFont val="Arial Narrow"/>
      </rPr>
      <t xml:space="preserve"> Organizare,</t>
    </r>
    <r>
      <rPr>
        <sz val="10"/>
        <color rgb="FF000000"/>
        <rFont val="Arial Narrow"/>
      </rPr>
      <t xml:space="preserve"> nu se pot cumula calități diferite (de ex.: organizator principal și recenzor) în cadrul aceleiași manifestări; se optează pentru încadrarea cea mai avantajoasă; 
-	la categoria b)</t>
    </r>
    <r>
      <rPr>
        <i/>
        <sz val="10"/>
        <color rgb="FF000000"/>
        <rFont val="Arial Narrow"/>
      </rPr>
      <t xml:space="preserve"> Prezentare</t>
    </r>
    <r>
      <rPr>
        <sz val="10"/>
        <color rgb="FF000000"/>
        <rFont val="Arial Narrow"/>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</si>
  <si>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</si>
  <si>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</si>
  <si>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</si>
  <si>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b/>
        <sz val="10"/>
        <color rgb="FF000000"/>
        <rFont val="Arial Narrow"/>
      </rPr>
      <t>* Punctaje de referință:</t>
    </r>
    <r>
      <rPr>
        <sz val="10"/>
        <color rgb="FF000000"/>
        <rFont val="Arial Narrow"/>
      </rPr>
      <t xml:space="preserve">
</t>
    </r>
    <r>
      <rPr>
        <b/>
        <sz val="10"/>
        <color rgb="FF000000"/>
        <rFont val="Arial Narrow"/>
      </rPr>
      <t>a)</t>
    </r>
    <r>
      <rPr>
        <b/>
        <sz val="10"/>
        <color rgb="FF000000"/>
        <rFont val="Arial"/>
      </rPr>
      <t xml:space="preserve">	</t>
    </r>
    <r>
      <rPr>
        <b/>
        <sz val="10"/>
        <color rgb="FF000000"/>
        <rFont val="Arial Narrow"/>
      </rPr>
      <t>Organizare:</t>
    </r>
    <r>
      <rPr>
        <sz val="10"/>
        <color rgb="FF000000"/>
        <rFont val="Arial Narrow"/>
      </rPr>
      <t xml:space="preserve">
•</t>
    </r>
    <r>
      <rPr>
        <sz val="10"/>
        <color rgb="FF000000"/>
        <rFont val="Arial"/>
      </rPr>
      <t xml:space="preserve">	</t>
    </r>
    <r>
      <rPr>
        <sz val="10"/>
        <color rgb="FF000000"/>
        <rFont val="Arial Narrow"/>
      </rPr>
      <t>100 p. – organizator principal;
•</t>
    </r>
    <r>
      <rPr>
        <sz val="10"/>
        <color rgb="FF000000"/>
        <rFont val="Arial"/>
      </rPr>
      <t xml:space="preserve">	</t>
    </r>
    <r>
      <rPr>
        <sz val="10"/>
        <color rgb="FF000000"/>
        <rFont val="Arial Narrow"/>
      </rPr>
      <t>50 p. – membru în comitetul de organizare;
•</t>
    </r>
    <r>
      <rPr>
        <sz val="10"/>
        <color rgb="FF000000"/>
        <rFont val="Arial"/>
      </rPr>
      <t xml:space="preserve">	</t>
    </r>
    <r>
      <rPr>
        <sz val="10"/>
        <color rgb="FF000000"/>
        <rFont val="Arial Narrow"/>
      </rPr>
      <t>50 p. – membru în comitetul științific;
•</t>
    </r>
    <r>
      <rPr>
        <sz val="10"/>
        <color rgb="FF000000"/>
        <rFont val="Arial"/>
      </rPr>
      <t xml:space="preserve">	</t>
    </r>
    <r>
      <rPr>
        <sz val="10"/>
        <color rgb="FF000000"/>
        <rFont val="Arial Narrow"/>
      </rPr>
      <t>30 p. – recenzor;</t>
    </r>
    <r>
      <rPr>
        <b/>
        <sz val="10"/>
        <color rgb="FF000000"/>
        <rFont val="Arial Narrow"/>
      </rPr>
      <t xml:space="preserve">
b)</t>
    </r>
    <r>
      <rPr>
        <b/>
        <sz val="10"/>
        <color rgb="FF000000"/>
        <rFont val="Arial"/>
      </rPr>
      <t xml:space="preserve">	</t>
    </r>
    <r>
      <rPr>
        <b/>
        <sz val="10"/>
        <color rgb="FF000000"/>
        <rFont val="Arial Narrow"/>
      </rPr>
      <t>Prezentare</t>
    </r>
    <r>
      <rPr>
        <sz val="10"/>
        <color rgb="FF000000"/>
        <rFont val="Arial Narrow"/>
      </rPr>
      <t>:
•</t>
    </r>
    <r>
      <rPr>
        <sz val="10"/>
        <color rgb="FF000000"/>
        <rFont val="Arial"/>
      </rPr>
      <t xml:space="preserve">	</t>
    </r>
    <r>
      <rPr>
        <sz val="10"/>
        <color rgb="FF000000"/>
        <rFont val="Arial Narrow"/>
      </rPr>
      <t>50 p. – keynote speaker;
•</t>
    </r>
    <r>
      <rPr>
        <sz val="10"/>
        <color rgb="FF000000"/>
        <rFont val="Arial"/>
      </rPr>
      <t xml:space="preserve">	</t>
    </r>
    <r>
      <rPr>
        <sz val="10"/>
        <color rgb="FF000000"/>
        <rFont val="Arial Narrow"/>
      </rPr>
      <t>30 p. – prezentare de lucrare;
•</t>
    </r>
    <r>
      <rPr>
        <sz val="10"/>
        <color rgb="FF000000"/>
        <rFont val="Arial"/>
      </rPr>
      <t xml:space="preserve">	</t>
    </r>
    <r>
      <rPr>
        <sz val="10"/>
        <color rgb="FF000000"/>
        <rFont val="Arial Narrow"/>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b/>
        <sz val="10"/>
        <color rgb="FF000000"/>
        <rFont val="Arial Narrow"/>
      </rPr>
      <t>coeficienți de multiplicare:</t>
    </r>
    <r>
      <rPr>
        <sz val="10"/>
        <color rgb="FF000000"/>
        <rFont val="Arial Narrow"/>
      </rPr>
      <t xml:space="preserve">
</t>
    </r>
    <r>
      <rPr>
        <i/>
        <sz val="10"/>
        <color rgb="FF000000"/>
        <rFont val="Arial Narrow"/>
      </rPr>
      <t>i) de locație:</t>
    </r>
    <r>
      <rPr>
        <sz val="10"/>
        <color rgb="FF000000"/>
        <rFont val="Arial Narrow"/>
      </rPr>
      <t xml:space="preserve">
- 1,5 pentru manifestări internaționale organizate în România sau Republica Moldova;
- 2,0 pentru manifestări științifice internaționale organizate în alte țări.
</t>
    </r>
    <r>
      <rPr>
        <i/>
        <sz val="10"/>
        <color rgb="FF000000"/>
        <rFont val="Arial Narrow"/>
      </rPr>
      <t>ii) de anvergură (doar pentru a) Organizare):</t>
    </r>
    <r>
      <rPr>
        <sz val="10"/>
        <color rgb="FF000000"/>
        <rFont val="Arial Narrow"/>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</si>
  <si>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</si>
  <si>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</si>
  <si>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</si>
  <si>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</si>
  <si>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</si>
  <si>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</si>
  <si>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</si>
  <si>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</si>
  <si>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Noaptea cercetătorilor 2022</t>
  </si>
  <si>
    <t xml:space="preserve">națională </t>
  </si>
  <si>
    <t>Organizare atelier</t>
  </si>
  <si>
    <t xml:space="preserve">România </t>
  </si>
  <si>
    <t>https://noapteacercetatorilor.ulbsibiu.ro/ro/program/facultatea-de-inginerie/</t>
  </si>
  <si>
    <t>30.09.2022</t>
  </si>
  <si>
    <t>2nd International Congress on Scientific Advances (ICONSAD'22), 21-24 december 2022</t>
  </si>
  <si>
    <t>Internațională</t>
  </si>
  <si>
    <t>Participant: prezentare kucrare</t>
  </si>
  <si>
    <t>Turcia</t>
  </si>
  <si>
    <t>Peste 200 de participanți</t>
  </si>
  <si>
    <t>https://en.iconsad.org/
https://en.iconsad.org/_files/ugd/1dd905_70e6b5644a8a4ca591ca6e683382c505.pdf</t>
  </si>
  <si>
    <t>21-24 decembrie 2022</t>
  </si>
  <si>
    <t xml:space="preserve">7th International Conference on Green Materials and Environmental Engineering (GMEE2022) - Changsha, China </t>
  </si>
  <si>
    <t>Internatională</t>
  </si>
  <si>
    <t>Comitet științific</t>
  </si>
  <si>
    <t>strainatate</t>
  </si>
  <si>
    <t>peste 100</t>
  </si>
  <si>
    <t>http://www.7th-gmee.org/com.html</t>
  </si>
  <si>
    <t>Membru</t>
  </si>
  <si>
    <t>16-17 ianuarie 2022</t>
  </si>
  <si>
    <t>Global Meet on Magnetism and Magnetic Materials , Paris, Franța, 2022</t>
  </si>
  <si>
    <t>https://www.primemeetings.org/2022/magnetism-magnetic-materials/committee</t>
  </si>
  <si>
    <t>25-27 august 2022</t>
  </si>
  <si>
    <t>3rd International Conference on Green Energy, Environment and Sustainable Development (GEESD2022), Beijing, China</t>
  </si>
  <si>
    <t>https://2022.icgeesd.cn/committee</t>
  </si>
  <si>
    <t>29-30 iunie 2022</t>
  </si>
  <si>
    <t>8th Annual International Conference on Network and Information Systems for Computers, China, 2022</t>
  </si>
  <si>
    <t>http://www.icnisc2022.com/?op=committee</t>
  </si>
  <si>
    <t>16-18 septembrie 2022</t>
  </si>
  <si>
    <t>10th Annual International Conference on Material Science and Engineering (ICMSE 2022)</t>
  </si>
  <si>
    <t>http://www.icmse2022.net/?op=committee</t>
  </si>
  <si>
    <t>15th Symposium Durability and Reliability of Mechanical Systems, SYMECH 2022, Tg-Jiu, Gorj, 27 may 2022</t>
  </si>
  <si>
    <t>natională</t>
  </si>
  <si>
    <t>România</t>
  </si>
  <si>
    <t>sub 100</t>
  </si>
  <si>
    <t>www.utgjiu.ro/cercetare/fdsm/Symposium/SYMECH2022</t>
  </si>
  <si>
    <t>26-27 Mai 2022</t>
  </si>
  <si>
    <t>CONFERENG ediția 2022, Universitatea Constantin Brancuși Targu Jiu, Romania</t>
  </si>
  <si>
    <t>Romania</t>
  </si>
  <si>
    <t>http://ing.utgjiu.ro/wp-content/conferinte/confereng2022/index.html</t>
  </si>
  <si>
    <t>25-26 Noiembrie 2022</t>
  </si>
  <si>
    <t>2nd International Conference on Artificial Intelligence and Computer Science [AICS2022],  in Chengdu, Sichuan, China</t>
  </si>
  <si>
    <t>http://www.aics2022.com/?op=committee</t>
  </si>
  <si>
    <t>24-26 iunie 2022</t>
  </si>
  <si>
    <t>5th Annual International Conference on Energy Development and Environmental Protection  [EDEP2022], 2022,  Hangzhou, Zhejiang, China</t>
  </si>
  <si>
    <t>http://www.edep2022.com/?op=committee</t>
  </si>
  <si>
    <t>22-24 iunie 2022</t>
  </si>
  <si>
    <t>3rd 2022 International Conference on Intelligent Computing, Automation and Applications (ICAA2022), China</t>
  </si>
  <si>
    <t>http://www.icaa2022.com/?op=committee</t>
  </si>
  <si>
    <t>22-24 Iulie 2022</t>
  </si>
  <si>
    <t>2022 International Conference on Big Data and  Artificial Intelligence (ICBDAI 2022), September 24-25, Wuhan, C﻿hina</t>
  </si>
  <si>
    <t>https://www.icbdai.com/committee</t>
  </si>
  <si>
    <t>24-25 Septembrie 2022</t>
  </si>
  <si>
    <t>Welcome to 8th Annual International Workshop on Materials Science and Engineering
IWMSE 2022 Wuhan, Hubei, China, 2022</t>
  </si>
  <si>
    <t>http://www.iwmse2022.net/?op=committee</t>
  </si>
  <si>
    <t>13-15 Mai 2022</t>
  </si>
  <si>
    <t>10th annual International Conference on Material Science and Environmental Engineering [MSEE2022] will be held on November 25th-27th, 2022 in Nanjing, Jiangsu, China</t>
  </si>
  <si>
    <t>http://www.msee2022.com/?op=committees</t>
  </si>
  <si>
    <t>25-27 Noiembrie, 2022</t>
  </si>
  <si>
    <t>HMAS 2022 (International conference on Hydrology , Marine and Atmospheric Sciences), will be held in Wuhan, China during May 13-15, 2022</t>
  </si>
  <si>
    <t>http://www.hmas2022.com/?op=committee</t>
  </si>
  <si>
    <t>XI INTERNATIONAL CONFERENCE ON ECONOMIC
DEVELOPMENT AND SOCIAL SUSTAINABILITY
(EDaSS 2022)
November 25-26, 2022</t>
  </si>
  <si>
    <t>comitet organizae</t>
  </si>
  <si>
    <t>https://www.edass.org/international-conference/</t>
  </si>
  <si>
    <t>membru</t>
  </si>
  <si>
    <t>25-26 Noimbrie 2022</t>
  </si>
  <si>
    <t>8th Annual International Conference on Social Science and Contemporary Humanity Development [SSCHD 2022], Nanjing, Jiangsu, China, November 25-27th, 2022</t>
  </si>
  <si>
    <t>http://www.sschd2022.com/?op=committee</t>
  </si>
  <si>
    <t>Dumitrașcu-Băldău Iulia</t>
  </si>
  <si>
    <t>Noaptea Cercetătorilor 2022</t>
  </si>
  <si>
    <t>națională</t>
  </si>
  <si>
    <t>Prezentare/workshop</t>
  </si>
  <si>
    <t>peste 200</t>
  </si>
  <si>
    <t>https://noapteacercetatorilor.ulbsibiu.ro/ro/</t>
  </si>
  <si>
    <t>10 International Conference Modern Technologies in Industrial Engineering</t>
  </si>
  <si>
    <t>Internationala</t>
  </si>
  <si>
    <t>Membru in comitetul de organizare</t>
  </si>
  <si>
    <t>Bucuresti</t>
  </si>
  <si>
    <t>https://modtech.ro/conference/docs/Call-for-Papers-ModTech2022.pdf</t>
  </si>
  <si>
    <t>22-25.06.2022</t>
  </si>
  <si>
    <t>75=50x1,5(conferinta internationala)</t>
  </si>
  <si>
    <t>The 22nd International Conference on Computational Science and Its Applications</t>
  </si>
  <si>
    <t>internationala</t>
  </si>
  <si>
    <t>organizator</t>
  </si>
  <si>
    <t>University of Malaga, Spain</t>
  </si>
  <si>
    <t>peste 200 participanti</t>
  </si>
  <si>
    <t>https://2022.iccsa.org/workshops.html</t>
  </si>
  <si>
    <t xml:space="preserve">July 4 - 7, 2022 </t>
  </si>
  <si>
    <t>FING03</t>
  </si>
  <si>
    <t>Noaptea Cercetatorilor</t>
  </si>
  <si>
    <t>nationala</t>
  </si>
  <si>
    <t>participant</t>
  </si>
  <si>
    <t>The 15th International Conference on Knowledge Science, Engineering and Management (KSEM 2022)
August 6-8, 2022, Singapore</t>
  </si>
  <si>
    <t>Organizator principal, membru in steering committee</t>
  </si>
  <si>
    <t>Singapore, Nanyang University</t>
  </si>
  <si>
    <t xml:space="preserve">Peste 200 participanti (33 de sesiuni)  https://ksem22.smart-conf.net/program.html  </t>
  </si>
  <si>
    <t>https://ksem22.smart-conf.net/committee.html</t>
  </si>
  <si>
    <t>Organizator principal</t>
  </si>
  <si>
    <t>6-8 August 2022</t>
  </si>
  <si>
    <t>100 (organizator principal) x 2 (organizata in strainatate) x 2 (peste 200 de participanti)</t>
  </si>
  <si>
    <t>10 International Conference
Modern Technologies in Industrial Engineering</t>
  </si>
  <si>
    <t>75 = 50 x 1,5 (conferinta internationala)</t>
  </si>
  <si>
    <t>10th International Conference Modern Technologies in Industrial Engineering</t>
  </si>
  <si>
    <t>internațională</t>
  </si>
  <si>
    <t>http://www.modtech.ro</t>
  </si>
  <si>
    <t>22-25 iunie 2022</t>
  </si>
  <si>
    <t>Smart Cities International Conference (SCIC) 10th Edition</t>
  </si>
  <si>
    <t>https://www.smart-edu-hub.eu/scic10</t>
  </si>
  <si>
    <t>8-9 decembrie 2022</t>
  </si>
  <si>
    <t>8th Review of Management and Economic Engineering International Management Conference</t>
  </si>
  <si>
    <t>Conferinta internationla</t>
  </si>
  <si>
    <t>Membru in comitetul stiintific</t>
  </si>
  <si>
    <t>Cluj-Napoca - Romania</t>
  </si>
  <si>
    <t>peste 200 participanţi</t>
  </si>
  <si>
    <t>http://conference.rmee.org/</t>
  </si>
  <si>
    <t>22–24.09. 2022</t>
  </si>
  <si>
    <t>Prezentare lucrare</t>
  </si>
  <si>
    <t>membru - chairman</t>
  </si>
  <si>
    <t>Moraru Gina-Maria</t>
  </si>
  <si>
    <t>INTED2022</t>
  </si>
  <si>
    <t>Participant prezentare lucrare FINDING WAYS TO IMPROVE AN ENGINEERING SPECIALIZATION (autor Moraru G.M.)</t>
  </si>
  <si>
    <t>Spania</t>
  </si>
  <si>
    <t>https://iated.org/archive/inted2022</t>
  </si>
  <si>
    <t>7-8 martie 2022</t>
  </si>
  <si>
    <t>Participant prezentare lucrare THE IMPORTANCE OF QUALITY MANAGEMENT TOOLS IN SOLVING EDUCATIONAL PROBLEMS (autor Moraru G.M.)</t>
  </si>
  <si>
    <t>ICERI2022</t>
  </si>
  <si>
    <t>Participant prezentare lucrare AVOIDING MISSING IMPORTANT STEPS IN EDUCATIONAL MANAGEMENT (autor Moraru G.M.)</t>
  </si>
  <si>
    <t>https://iated.org/archive/iceri2022</t>
  </si>
  <si>
    <t>7-9 noiembrie 2022</t>
  </si>
  <si>
    <t>Participant prezentare lucrare PROFESSIONAL TRAINING OF LAST YEAR ENGINEERING STUDENTS USING THE CASE STUDY METHOD (autor Moraru G.M.)</t>
  </si>
  <si>
    <t>IMT Oradea 2022</t>
  </si>
  <si>
    <t>Membru comitet științific</t>
  </si>
  <si>
    <t>România, Baile Felix</t>
  </si>
  <si>
    <t>https://imt.uoradea.ro/conference/index.php</t>
  </si>
  <si>
    <t>Membru comitet științific (50 x 1,5 x 1,5 puncte)</t>
  </si>
  <si>
    <t>7-8 iulie 2022</t>
  </si>
  <si>
    <t>Națională</t>
  </si>
  <si>
    <t>Participant: ”Fabrica de mase plastice”</t>
  </si>
  <si>
    <t>peste 200 de participanți</t>
  </si>
  <si>
    <t>Membru ”Noaptea Cercetătorilor”</t>
  </si>
  <si>
    <t>Popescu L.G.</t>
  </si>
  <si>
    <t>Antropology of Communication International Conference Sibiu 2022</t>
  </si>
  <si>
    <t>internaţională</t>
  </si>
  <si>
    <t>peste 100 participanţi</t>
  </si>
  <si>
    <t>organizator principal</t>
  </si>
  <si>
    <t>membru al Comitetului Ştiinţific</t>
  </si>
  <si>
    <t>membru comitet ştiinţific</t>
  </si>
  <si>
    <t>Noaptea Cercetătorilor</t>
  </si>
  <si>
    <t>International Fair of Innovation and Creative Education for Youth (ICE-USV) Suceava</t>
  </si>
  <si>
    <t>10-12 iulie 2022</t>
  </si>
  <si>
    <t>30*1,5</t>
  </si>
  <si>
    <t>na'ionala</t>
  </si>
  <si>
    <t>Zilele Medicinii Dentare Sibiene editia VII</t>
  </si>
  <si>
    <t>participant - prezentare lucrare</t>
  </si>
  <si>
    <t>Sibiu, Romania</t>
  </si>
  <si>
    <t>&gt;200</t>
  </si>
  <si>
    <t>http://www.stomasibiu.wordpress.com/</t>
  </si>
  <si>
    <t>perezentare lucrare stiinfica - PANDEMIA PE ÎNŢELESUL MEDICULUI STOMATOLOG</t>
  </si>
  <si>
    <t>24-26 noiembrie 2022</t>
  </si>
  <si>
    <t>perezentare lucrare stiinfica - HISTOLOGIA GINGIEI</t>
  </si>
  <si>
    <t>The Knowledge-Based Organization-KBO 2022</t>
  </si>
  <si>
    <t>organizator:membru in comitetul stiintific</t>
  </si>
  <si>
    <t>Romania, Sibiu</t>
  </si>
  <si>
    <t>peste 100 de participanti</t>
  </si>
  <si>
    <t>membru in comitetul stiintific</t>
  </si>
  <si>
    <t>16-18 iunie 2022</t>
  </si>
  <si>
    <t>1.5x50</t>
  </si>
  <si>
    <t>noaptea cercetatorilor</t>
  </si>
  <si>
    <t>septembrie</t>
  </si>
  <si>
    <t>Zerbes Mihai-Victor</t>
  </si>
  <si>
    <t>ModTech International Conference - Modern Technologies in Industrial Engineering X, 2022</t>
  </si>
  <si>
    <t>membru în comitetul de organizare</t>
  </si>
  <si>
    <t>https://modtech.ro/conference/ModTech2022_Presentation.php#gsc.tab=0</t>
  </si>
  <si>
    <t>June 22 -25 , 2022</t>
  </si>
  <si>
    <t>sept, 2022</t>
  </si>
  <si>
    <t>2022 IEEE 18th International Conference on Intelligent Computer Communication and Processing</t>
  </si>
  <si>
    <t>Organizator</t>
  </si>
  <si>
    <t>https://iccp.ro/iccp2022/</t>
  </si>
  <si>
    <t>Recenzor</t>
  </si>
  <si>
    <t>22-24 September</t>
  </si>
  <si>
    <t>30x1.5x2</t>
  </si>
  <si>
    <t>Eight International Symposium on Computer Vision and the Internet (VisionNet22)</t>
  </si>
  <si>
    <t>India</t>
  </si>
  <si>
    <t>https://connected-systems.org/VisionNet2022/committee.html</t>
  </si>
  <si>
    <t>31 august -2 septembrie</t>
  </si>
  <si>
    <t>50x2x2</t>
  </si>
  <si>
    <t>Sibiu Innovation Days (SID 2022)</t>
  </si>
  <si>
    <t>https://events.ulbsibiu.ro/innovationdays/2022.php</t>
  </si>
  <si>
    <t>29th - 30th September</t>
  </si>
  <si>
    <t>50x1.5</t>
  </si>
  <si>
    <t>Ciurea Stelian</t>
  </si>
  <si>
    <t>Faza judeteana a Olimpiadei Naționale de Informatica - Etapa I</t>
  </si>
  <si>
    <t>Naționala</t>
  </si>
  <si>
    <t>membru comitetul stiintific</t>
  </si>
  <si>
    <t>Peste 200 participanti</t>
  </si>
  <si>
    <t>https://sepi.ro/page/oni2022</t>
  </si>
  <si>
    <t>50*2</t>
  </si>
  <si>
    <t>Faza judeteana a Olimpiadei Naționale de Informatica - Etapa II</t>
  </si>
  <si>
    <t>Peste 100 participanti</t>
  </si>
  <si>
    <t>50*1,5</t>
  </si>
  <si>
    <t>Sibiu Innovation Days</t>
  </si>
  <si>
    <t>Organizator Principal</t>
  </si>
  <si>
    <t>Peste 200</t>
  </si>
  <si>
    <t>https://events.ulbsibiu.ro/innovationdays/</t>
  </si>
  <si>
    <t>29-30.09.2022</t>
  </si>
  <si>
    <t>23nd IFIP/SOCOLNET Working Conference on Virtual Enterprises, Collaborative Networks in Digitalization and Society 5.0</t>
  </si>
  <si>
    <t>Membru în comitetul stiintific de program</t>
  </si>
  <si>
    <t>Lisabona, Portugalia</t>
  </si>
  <si>
    <t>Peste 100</t>
  </si>
  <si>
    <t>https://pro-ve-2022.ipl.pt/committees</t>
  </si>
  <si>
    <t>19-21.09.2022</t>
  </si>
  <si>
    <t>13th Advanced Doctoral Conference On Computing, Electrical And Industrial Systems, 
Caparica, Portugal</t>
  </si>
  <si>
    <t xml:space="preserve"> Membru în comitetul stiintific de program </t>
  </si>
  <si>
    <t>Caparica, Portugal</t>
  </si>
  <si>
    <t>http://arquivo.uninova.pt/doceis/doceis22/program_committee/</t>
  </si>
  <si>
    <t>29.6-01.07.2022</t>
  </si>
  <si>
    <t>11th International Conference on Smart Cities and Green ICT Systems - Smartgreens 2022</t>
  </si>
  <si>
    <t>online</t>
  </si>
  <si>
    <t>https://smartgreens.scitevents.org/ProgramCommittee.aspx?y=2022</t>
  </si>
  <si>
    <t>27-29.04.2022</t>
  </si>
  <si>
    <t>IWEMB 2022 : Sixth International Workshop on Entrepreneurship, Electronic and Mobile Business</t>
  </si>
  <si>
    <t>Leipzig, Germania</t>
  </si>
  <si>
    <t>http://www.iwemb.org/2022/committee.html</t>
  </si>
  <si>
    <t>06-07.10.2022</t>
  </si>
  <si>
    <t>The 2022 IARIA Annual Congress on Frontiers in Science, Technology, Services, and Applications
IARIA Congress 2022,
Nice, Saint-Laurent-du-Var, France</t>
  </si>
  <si>
    <t>Nice, Saint-Laurent-du-Var, France</t>
  </si>
  <si>
    <t>https://www.iaria.org/conferences2022/ComIARIACongress22.html</t>
  </si>
  <si>
    <t>24-28.07.2022</t>
  </si>
  <si>
    <t xml:space="preserve">Mihai Neghina </t>
  </si>
  <si>
    <t>1st SUMMIT of IEEE EPS&amp;NTC Student Branch Chapters</t>
  </si>
  <si>
    <t>https://sites.google.com/ulbsibiu.ro/sbc-summit</t>
  </si>
  <si>
    <t>12.09.2022</t>
  </si>
  <si>
    <t>MDIS 2022</t>
  </si>
  <si>
    <t>28-30 Octombrie 2022</t>
  </si>
  <si>
    <t>KSEM 2022</t>
  </si>
  <si>
    <t>Singapore</t>
  </si>
  <si>
    <t>membru in Technical Committee</t>
  </si>
  <si>
    <t>August 6-8, 2022</t>
  </si>
  <si>
    <t>2x2x50</t>
  </si>
  <si>
    <t>roCHI 2022</t>
  </si>
  <si>
    <t>Nationala</t>
  </si>
  <si>
    <t>Comitetul stintific</t>
  </si>
  <si>
    <t>Cluj</t>
  </si>
  <si>
    <t>https://rochi2022.utcluj.ro/</t>
  </si>
  <si>
    <t>06.10.2022</t>
  </si>
  <si>
    <t xml:space="preserve">Noaptea Cercetărilor 2022 </t>
  </si>
  <si>
    <t>Participant</t>
  </si>
  <si>
    <t>Participare</t>
  </si>
  <si>
    <t>30 septembrie 2022</t>
  </si>
  <si>
    <t>Natională</t>
  </si>
  <si>
    <t xml:space="preserve">https://noapteacercetatorilor.ulbsibiu.ro/ro/ </t>
  </si>
  <si>
    <t xml:space="preserve">30 septembrie </t>
  </si>
  <si>
    <t xml:space="preserve">38th Danubia-Adria Symposium on Advanced in Experimental </t>
  </si>
  <si>
    <t>Poros Island (Grecia)</t>
  </si>
  <si>
    <t>&gt;100</t>
  </si>
  <si>
    <t>https://www.38danubia.org/</t>
  </si>
  <si>
    <t>Prezentare de lucrare</t>
  </si>
  <si>
    <t>20-23 septembrie</t>
  </si>
  <si>
    <t>30*2</t>
  </si>
  <si>
    <t xml:space="preserve">The International Student Innovation and Scientific Research Exhibition - ”Cadet INOVA'22”
 </t>
  </si>
  <si>
    <t xml:space="preserve">Participant </t>
  </si>
  <si>
    <t>http://cadetinova.ro/index.php/en/</t>
  </si>
  <si>
    <t>7-9 aprilie 2022</t>
  </si>
  <si>
    <t xml:space="preserve">Bârsan Alexandru </t>
  </si>
  <si>
    <t>38th Danubia-Adria Symposium on Advances in Experimental Mechanics</t>
  </si>
  <si>
    <t>20-23 septembrie 2022</t>
  </si>
  <si>
    <t xml:space="preserve">Biris Cristina </t>
  </si>
  <si>
    <t xml:space="preserve">Noaptea cercetatorilor </t>
  </si>
  <si>
    <t>Coordonator activitate  “Fabrica de mase plastice"</t>
  </si>
  <si>
    <t>21st International Conference “Innovative solutions for sustainable development of textiles and leather industry”, Oradea</t>
  </si>
  <si>
    <t>membru în comitetul științific</t>
  </si>
  <si>
    <t>http://textile.webhost.uoradea.ro/Conferinta/2022/index.html</t>
  </si>
  <si>
    <t>26-27 mai 2022</t>
  </si>
  <si>
    <t>10th IFAC Conference on Manufacturing Modelling, Management and Control MIM 2022</t>
  </si>
  <si>
    <t>Nantes, Franța</t>
  </si>
  <si>
    <t>peste 200 de participanți (https://www.sciencedirect.com/journal/ifac-papersonline/vol/55/issue/10)</t>
  </si>
  <si>
    <t>https://hub.imt-atlantique.fr/mim2022/</t>
  </si>
  <si>
    <r>
      <rPr>
        <b/>
        <sz val="10"/>
        <color theme="1"/>
        <rFont val="Arial Narrow"/>
      </rPr>
      <t xml:space="preserve">Recenzor </t>
    </r>
    <r>
      <rPr>
        <sz val="10"/>
        <color theme="1"/>
        <rFont val="Arial Narrow"/>
      </rPr>
      <t>(A Skill-Based MILP Model in Cellular Manufacturing Systems with Human-Robot Collaboration)</t>
    </r>
  </si>
  <si>
    <t>International Conference on Manufacturing Systems</t>
  </si>
  <si>
    <t>Bucuresti, Romania</t>
  </si>
  <si>
    <t>http://conference.icmas.eu/2017/01/06/international-scientific-committee/</t>
  </si>
  <si>
    <t>10-11 noiembrie 2022</t>
  </si>
  <si>
    <t>Noaptea cercetătorilor</t>
  </si>
  <si>
    <t>Chicea Anca Lucia</t>
  </si>
  <si>
    <t>Coldea Alina Mihaela</t>
  </si>
  <si>
    <t>FING$</t>
  </si>
  <si>
    <t>Noaptea cercetatorilor</t>
  </si>
  <si>
    <t xml:space="preserve"> Coman Diana</t>
  </si>
  <si>
    <t>Coordonator activitate</t>
  </si>
  <si>
    <t>Marosan Iosif Adrian (ULBS)</t>
  </si>
  <si>
    <t xml:space="preserve">The 32nd Edition – ICMaS 2023 </t>
  </si>
  <si>
    <t>http://conference.icmas.eu/</t>
  </si>
  <si>
    <t>30*1.5</t>
  </si>
  <si>
    <t>10 Noiembrie 2022</t>
  </si>
  <si>
    <t>Morariu Fineas (ULBS)</t>
  </si>
  <si>
    <t>30 Septembrie 2022</t>
  </si>
  <si>
    <t>20*1,5</t>
  </si>
  <si>
    <t>Participant: ”Micul capTHOR”</t>
  </si>
  <si>
    <t>38th DANUBIA – ADRIA Symposium on Advances in Experimental Mechanics 2022</t>
  </si>
  <si>
    <t>Străinătate (Poros - Grecia)</t>
  </si>
  <si>
    <t>peste 100 de participanți</t>
  </si>
  <si>
    <t>https://www.38danubia.org/scientific-committee</t>
  </si>
  <si>
    <t>20-23 sept. 2022</t>
  </si>
  <si>
    <t>Participant
(Study of implementation the tensile data of the glass fiber reinforced polyamide
into the finite element analyses)</t>
  </si>
  <si>
    <t>https://www.38danubia.org/_files/ugd/8c566f_0f8dcd9d0b994d4fa5e79889beaf4a98.pdf</t>
  </si>
  <si>
    <t>Noaptea Cercetatorilor ULBS, 30.09.2022 standuri mecatronice demonstrative</t>
  </si>
  <si>
    <t xml:space="preserve">peste 200 de participanți </t>
  </si>
  <si>
    <t>Coordonator activitate  “"</t>
  </si>
  <si>
    <t>Innovative Manufacturing
Engineering &amp; Energy</t>
  </si>
  <si>
    <t>https://imane.ro/</t>
  </si>
  <si>
    <t>octombrie 2022</t>
  </si>
  <si>
    <t>THE INTERNATIONAL STUDENT INNOVATION
AND SCIENTIFIC RESEARCH EXHIBITION
– “Cadet INOVA’22” -
“Nicolae Bălcescu” Land Forces Academy of Sibiu</t>
  </si>
  <si>
    <t>https://www.cadetinova.ro/index.php/ro/organizare/comitet-stiintific-de-recenzare</t>
  </si>
  <si>
    <t>aprile 2022</t>
  </si>
  <si>
    <t xml:space="preserve">NEWTECH 2022 – The 7th International Conference on Advanced Manufacturing Engineering and Technologies / </t>
  </si>
  <si>
    <t>Rennes, Franta</t>
  </si>
  <si>
    <t>https://newtech2022.sciencesconf.org/resource/page/id/3</t>
  </si>
  <si>
    <t>septembrie 2022</t>
  </si>
  <si>
    <t>VLAD DORIN</t>
  </si>
  <si>
    <t>NOAPTEA CERCETĂTORILOR</t>
  </si>
  <si>
    <t>NATIONALA</t>
  </si>
  <si>
    <t>ROMÂNIA</t>
  </si>
  <si>
    <t>MEMBRU</t>
  </si>
  <si>
    <t>Mironescu Monica, Mironescu Ioan, Vlad Dorin</t>
  </si>
  <si>
    <t xml:space="preserve">FORTHEM FOOD SCIENCE LAB WORKSHOP </t>
  </si>
  <si>
    <t>INTERNATIONALA</t>
  </si>
  <si>
    <t>PARTICIPANT</t>
  </si>
  <si>
    <t xml:space="preserve">ITALIA, University of Palermo </t>
  </si>
  <si>
    <t>https://www.unipa.it/FORTHEM-Food-Science-Lab--Beyond-the-Horizon-Europe-and-Green-Deal/</t>
  </si>
  <si>
    <t>Coautor</t>
  </si>
  <si>
    <t>14-16 MARTIE 2022</t>
  </si>
  <si>
    <t>(30*2)/3</t>
  </si>
  <si>
    <t>https://noapteacercetatorilor.ulbsibiu.ro/wp-content/uploads/Program_Activitati-Noaptea-Cercetatorilor-2022.pdf</t>
  </si>
  <si>
    <t>38th Danubia-Adria Symposium on Advances in Experimental Mechanics, 20-23 September 2022, Poros Island, Greece</t>
  </si>
  <si>
    <t>Grecia</t>
  </si>
  <si>
    <t>https://gsemm.gr/eventsEn/</t>
  </si>
  <si>
    <t>20-23 sept 2022</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</si>
  <si>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</si>
  <si>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</si>
  <si>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</si>
  <si>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</si>
  <si>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</si>
  <si>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b/>
        <sz val="10"/>
        <color rgb="FF000000"/>
        <rFont val="Arial Narrow"/>
      </rPr>
      <t>*Punctaje de referință:</t>
    </r>
    <r>
      <rPr>
        <sz val="10"/>
        <color rgb="FF000000"/>
        <rFont val="Arial Narrow"/>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</si>
  <si>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</si>
  <si>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</si>
  <si>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</si>
  <si>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</si>
  <si>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</si>
  <si>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b/>
        <sz val="10"/>
        <color rgb="FF000000"/>
        <rFont val="Arial Narrow"/>
      </rPr>
      <t>*Punctaj de referință:</t>
    </r>
    <r>
      <rPr>
        <sz val="10"/>
        <color rgb="FF000000"/>
        <rFont val="Arial Narrow"/>
      </rPr>
      <t xml:space="preserve">
a)	</t>
    </r>
    <r>
      <rPr>
        <b/>
        <sz val="10"/>
        <color rgb="FF000000"/>
        <rFont val="Arial Narrow"/>
      </rPr>
      <t>Organizare/management eveniment artistic (Artele spectacolului/Arte vizuale-restaurare)</t>
    </r>
    <r>
      <rPr>
        <sz val="10"/>
        <color rgb="FF000000"/>
        <rFont val="Arial Narrow"/>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b/>
        <sz val="10"/>
        <color rgb="FF000000"/>
        <rFont val="Arial Narrow"/>
      </rPr>
      <t>Film de scurt metraj (Artele spectacolului):</t>
    </r>
    <r>
      <rPr>
        <sz val="10"/>
        <color rgb="FF000000"/>
        <rFont val="Arial Narrow"/>
      </rPr>
      <t xml:space="preserve">
•	regie = 200 p; rol principal = 150 p.; rol secundar = 75 p.; rol episodic = 30 p.
c)	</t>
    </r>
    <r>
      <rPr>
        <b/>
        <sz val="10"/>
        <color rgb="FF000000"/>
        <rFont val="Arial Narrow"/>
      </rPr>
      <t>Roluri în spectacole în cadrul instituțiilor producătoare (Artele spectacolului)</t>
    </r>
    <r>
      <rPr>
        <sz val="10"/>
        <color rgb="FF000000"/>
        <rFont val="Arial Narrow"/>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b/>
        <sz val="10"/>
        <color rgb="FF000000"/>
        <rFont val="Arial Narrow"/>
      </rPr>
      <t>Roluri în spectacole jucate la festivaluri sau în deplasări naționale (Artele spectacolului):</t>
    </r>
    <r>
      <rPr>
        <sz val="10"/>
        <color rgb="FF000000"/>
        <rFont val="Arial Narrow"/>
      </rPr>
      <t xml:space="preserve">
•	rol într-un spectacol invitat / selectat în programul unui festival național sau al unei deplasări naționale: rol principal = 70 p.; rol secundar = 30 p.; rol episodic sau corp-ansamblu = 20 p.
e)	</t>
    </r>
    <r>
      <rPr>
        <b/>
        <sz val="10"/>
        <color rgb="FF000000"/>
        <rFont val="Arial Narrow"/>
      </rPr>
      <t>Roluri în spectacole de teatru de animație sau destinate unei categorii speciale de vârst</t>
    </r>
    <r>
      <rPr>
        <sz val="10"/>
        <color rgb="FF000000"/>
        <rFont val="Arial Narrow"/>
      </rPr>
      <t xml:space="preserve">ă (public tânăr și foarte tânăr, public senior etc.) în cadrul instituțiilor independente producătoare de spectacol (spectacol de stradă, performance, instalații etc.) – Artele spectacolului:
•	orice rol = 50 p.
f)	</t>
    </r>
    <r>
      <rPr>
        <b/>
        <sz val="10"/>
        <color rgb="FF000000"/>
        <rFont val="Arial Narrow"/>
      </rPr>
      <t>Producție artistică în cadrul instituțiilor producătoare de spectacol (Artele spectacolului):</t>
    </r>
    <r>
      <rPr>
        <sz val="10"/>
        <color rgb="FF000000"/>
        <rFont val="Arial Narrow"/>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b/>
        <sz val="10"/>
        <color rgb="FF000000"/>
        <rFont val="Arial Narrow"/>
      </rPr>
      <t>Concerte naționale (Muzică – inclusiv muzică religioasă):</t>
    </r>
    <r>
      <rPr>
        <sz val="10"/>
        <color rgb="FF000000"/>
        <rFont val="Arial Narrow"/>
      </rPr>
      <t xml:space="preserve">
•	spectacol invitat / selectat în programul unui festival (deplasare) național: solist = 60 puncte; membru cor/ansamblu/instrumentist = 30 p.
•	concert de muzică religioasă în România = 50 p.
h)	</t>
    </r>
    <r>
      <rPr>
        <b/>
        <sz val="10"/>
        <color rgb="FF000000"/>
        <rFont val="Arial Narrow"/>
      </rPr>
      <t>Expoziții în străinătate (Arte vizuale):</t>
    </r>
    <r>
      <rPr>
        <sz val="10"/>
        <color rgb="FF000000"/>
        <rFont val="Arial Narrow"/>
      </rPr>
      <t xml:space="preserve">
•	expoziție personala = 300 p.;
•	participare la expoziție = 60 p.
i)	</t>
    </r>
    <r>
      <rPr>
        <b/>
        <sz val="10"/>
        <color rgb="FF000000"/>
        <rFont val="Arial Narrow"/>
      </rPr>
      <t>Vizibilitate națională (Artele spectacolului/ Arte vizuale/ Muzică):</t>
    </r>
    <r>
      <rPr>
        <sz val="10"/>
        <color rgb="FF000000"/>
        <rFont val="Arial Narrow"/>
      </rPr>
      <t xml:space="preserve">
•	menționare nominală într-un context cultural-artistic, pe o pagină web din România (inclusiv social media) = 5 p./mențiune.</t>
    </r>
  </si>
  <si>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</si>
  <si>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</si>
  <si>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</si>
  <si>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</si>
  <si>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</si>
  <si>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b/>
        <sz val="10"/>
        <color theme="1"/>
        <rFont val="Arial Narrow"/>
      </rPr>
      <t>*Punctaj de referință:</t>
    </r>
    <r>
      <rPr>
        <sz val="10"/>
        <color theme="1"/>
        <rFont val="Arial Narrow"/>
      </rPr>
      <t xml:space="preserve">
a)	</t>
    </r>
    <r>
      <rPr>
        <b/>
        <sz val="10"/>
        <color theme="1"/>
        <rFont val="Arial Narrow"/>
      </rPr>
      <t xml:space="preserve">Organizare: </t>
    </r>
    <r>
      <rPr>
        <sz val="10"/>
        <color theme="1"/>
        <rFont val="Arial Narrow"/>
      </rPr>
      <t xml:space="preserve">
•	competiție regională/locală: 100 p./ echipă organizatorică
b)	</t>
    </r>
    <r>
      <rPr>
        <b/>
        <sz val="10"/>
        <color theme="1"/>
        <rFont val="Arial Narrow"/>
      </rPr>
      <t>Participare:</t>
    </r>
    <r>
      <rPr>
        <sz val="10"/>
        <color theme="1"/>
        <rFont val="Arial Narrow"/>
      </rPr>
      <t xml:space="preserve">
•	competiții de nivel regional sau local: 200 p. = Premiul I; 150 puncte = Premiul II; 100 p. = Premiul III; 50 p. = participare.</t>
    </r>
  </si>
  <si>
    <t>Cupa ULBS la ski</t>
  </si>
  <si>
    <t>sportiv</t>
  </si>
  <si>
    <t>18-19.02.2022</t>
  </si>
  <si>
    <t>https://events.ulbsibiu.ro/event.cupadeschi/</t>
  </si>
  <si>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</si>
  <si>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</si>
  <si>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</si>
  <si>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</si>
  <si>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sz val="10"/>
        <color theme="1"/>
        <rFont val="Arial Narrow"/>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b/>
        <sz val="10"/>
        <color theme="1"/>
        <rFont val="Arial Narrow"/>
      </rPr>
      <t>se aplică un coeficient de multiplicare de 2.</t>
    </r>
  </si>
  <si>
    <r>
      <rPr>
        <b/>
        <sz val="10"/>
        <color theme="1"/>
        <rFont val="Arial Narrow"/>
      </rPr>
      <t>* Punctaje de referință:</t>
    </r>
    <r>
      <rPr>
        <sz val="10"/>
        <color theme="1"/>
        <rFont val="Arial Narrow"/>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</si>
  <si>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</si>
  <si>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</si>
  <si>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</si>
  <si>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</si>
  <si>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</si>
  <si>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</si>
  <si>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sz val="10"/>
        <color theme="1"/>
        <rFont val="Arial Narrow"/>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b/>
        <sz val="10"/>
        <color theme="1"/>
        <rFont val="Arial Narrow"/>
      </rPr>
      <t>partener</t>
    </r>
    <r>
      <rPr>
        <sz val="10"/>
        <color theme="1"/>
        <rFont val="Arial Narrow"/>
      </rPr>
      <t xml:space="preserve">. În cazul în care ULBS este </t>
    </r>
    <r>
      <rPr>
        <b/>
        <sz val="10"/>
        <color theme="1"/>
        <rFont val="Arial Narrow"/>
      </rPr>
      <t>coordonator/ beneficiar</t>
    </r>
    <r>
      <rPr>
        <sz val="10"/>
        <color theme="1"/>
        <rFont val="Arial Narrow"/>
      </rPr>
      <t xml:space="preserve"> al proiectului, se aplică un </t>
    </r>
    <r>
      <rPr>
        <b/>
        <sz val="10"/>
        <color theme="1"/>
        <rFont val="Arial Narrow"/>
      </rPr>
      <t>coeficient de multiplicare de 2</t>
    </r>
    <r>
      <rPr>
        <sz val="10"/>
        <color theme="1"/>
        <rFont val="Arial Narrow"/>
      </rPr>
      <t>.</t>
    </r>
  </si>
  <si>
    <t>Prof.dr.ing. Florea Adrian</t>
  </si>
  <si>
    <t>2022-1-PL01-KA220-VET-000086326, Engineers of the Future – Smart, Skilled, Secure</t>
  </si>
  <si>
    <t xml:space="preserve"> Erasmus+ and European Solidarity Corps, KA220-VET</t>
  </si>
  <si>
    <t>http://digifof.omilab.ulbsibiu.ro/psm/content/efsss/info
https://www.erasmus-v.ssnetworks.eu/</t>
  </si>
  <si>
    <t>56000 euro</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</si>
  <si>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</si>
  <si>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</si>
  <si>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</si>
  <si>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sz val="10"/>
        <color theme="1"/>
        <rFont val="Arial Narrow"/>
      </rPr>
      <t xml:space="preserve">În cazul programelor de tip </t>
    </r>
    <r>
      <rPr>
        <i/>
        <sz val="10"/>
        <color theme="1"/>
        <rFont val="Arial Narrow"/>
      </rPr>
      <t>joint</t>
    </r>
    <r>
      <rPr>
        <sz val="10"/>
        <color theme="1"/>
        <rFont val="Arial Narrow"/>
      </rPr>
      <t xml:space="preserve"> sau </t>
    </r>
    <r>
      <rPr>
        <i/>
        <sz val="10"/>
        <color theme="1"/>
        <rFont val="Arial Narrow"/>
      </rPr>
      <t>multiple degree</t>
    </r>
    <r>
      <rPr>
        <sz val="10"/>
        <color theme="1"/>
        <rFont val="Arial Narrow"/>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</si>
  <si>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</si>
  <si>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</si>
  <si>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b/>
        <sz val="10"/>
        <color theme="1"/>
        <rFont val="Arial Narrow"/>
      </rPr>
      <t>* Punctaje de referință:</t>
    </r>
    <r>
      <rPr>
        <sz val="10"/>
        <color theme="1"/>
        <rFont val="Arial Narrow"/>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</si>
  <si>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</si>
  <si>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</si>
  <si>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</si>
  <si>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</si>
  <si>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Beju Livia Dana</t>
  </si>
  <si>
    <t>licenta</t>
  </si>
  <si>
    <t xml:space="preserve"> Beju Livia Dana</t>
  </si>
  <si>
    <t xml:space="preserve"> Inginerie industriala in limba engleza</t>
  </si>
  <si>
    <t>Bibu Marius</t>
  </si>
  <si>
    <t>Licenta</t>
  </si>
  <si>
    <t>Responsabil</t>
  </si>
  <si>
    <t>TDDH</t>
  </si>
  <si>
    <t>Master</t>
  </si>
  <si>
    <t>IMGN</t>
  </si>
  <si>
    <t>Licență</t>
  </si>
  <si>
    <t>Tehnologia construcțiilor de mașini</t>
  </si>
  <si>
    <t>COFARU NICOLAE</t>
  </si>
  <si>
    <t>MASTERAT</t>
  </si>
  <si>
    <t xml:space="preserve">SISTENE SI TEHNOLOGII INTELIGENTE DE FABRICATIE </t>
  </si>
  <si>
    <t>Ință Marinela</t>
  </si>
  <si>
    <t>masterat</t>
  </si>
  <si>
    <t>joiint</t>
  </si>
  <si>
    <t xml:space="preserve">responsabil </t>
  </si>
  <si>
    <t>Logistică Industrială</t>
  </si>
  <si>
    <t>Master Managementul Calitatii</t>
  </si>
  <si>
    <t>Doctorat</t>
  </si>
  <si>
    <t>Domeniu de doctorat Inginerie si Management</t>
  </si>
  <si>
    <t>150 x 3 (evaluare scoala doctorala)</t>
  </si>
  <si>
    <t>licență</t>
  </si>
  <si>
    <t>director/responsabil</t>
  </si>
  <si>
    <t>Ingineria Transporturilor și a Traficului</t>
  </si>
  <si>
    <t>licenţă</t>
  </si>
  <si>
    <t>Responsabil program</t>
  </si>
  <si>
    <t>IEDM
Evaluare ARACIS mai 2022</t>
  </si>
  <si>
    <t>master</t>
  </si>
  <si>
    <t>MAI</t>
  </si>
  <si>
    <t xml:space="preserve">Master Managementul Proiectelor </t>
  </si>
  <si>
    <t xml:space="preserve">Baciu Rodica </t>
  </si>
  <si>
    <t>Baciu Rodica</t>
  </si>
  <si>
    <t>ICAI</t>
  </si>
  <si>
    <t>Electromecanică</t>
  </si>
  <si>
    <t>Crețulescu Radu</t>
  </si>
  <si>
    <t>responsabil</t>
  </si>
  <si>
    <t>Tehnologia Informației</t>
  </si>
  <si>
    <t>Prof.dr.ing. FLOREA Adrian</t>
  </si>
  <si>
    <t>Advanced Computing Systems</t>
  </si>
  <si>
    <t>Masterat (în engleză)</t>
  </si>
  <si>
    <t>Embedded Systems</t>
  </si>
  <si>
    <t>Director</t>
  </si>
  <si>
    <t>Calculatoare, Inginer</t>
  </si>
  <si>
    <t>IOSUD Calculatoare și Tehnologia Informației</t>
  </si>
  <si>
    <t>Electronica Aplicata</t>
  </si>
  <si>
    <t>AAIE</t>
  </si>
  <si>
    <t>Nu</t>
  </si>
  <si>
    <t>Ingineria sistemelor multimedia</t>
  </si>
  <si>
    <t>Licența</t>
  </si>
  <si>
    <t>Sisteme de producție digitale Acreditare 28.10.2021</t>
  </si>
  <si>
    <t>100*3</t>
  </si>
  <si>
    <t xml:space="preserve">Mater </t>
  </si>
  <si>
    <t>Sisteme CAD CAM CAE in deformare plastică</t>
  </si>
  <si>
    <t>Mecatronica in limba engleza</t>
  </si>
  <si>
    <t>100*2</t>
  </si>
  <si>
    <t>Mecatronică</t>
  </si>
  <si>
    <t>Robotică</t>
  </si>
  <si>
    <t>Sisteme Mecatronice Avansate</t>
  </si>
  <si>
    <t>IRIDON Anca-Mădălina</t>
  </si>
  <si>
    <t>LICENȚĂ</t>
  </si>
  <si>
    <t>Tehnologia Tricotajelor și Confecțiilor</t>
  </si>
  <si>
    <t>Matran Crisitian</t>
  </si>
  <si>
    <t>Inginerie economică industrială</t>
  </si>
  <si>
    <t>Pascu Arian Marius</t>
  </si>
  <si>
    <t>Responsabil / coordonator de domeniu de doctorat</t>
  </si>
  <si>
    <t>Inginerie Mecanică</t>
  </si>
  <si>
    <t>Membru CSUD / coordonator de domeniu</t>
  </si>
  <si>
    <t>Inginerie Industriala</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</si>
  <si>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</si>
  <si>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</si>
  <si>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</si>
  <si>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</si>
  <si>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b/>
        <sz val="10"/>
        <color theme="1"/>
        <rFont val="Arial Narrow"/>
      </rPr>
      <t>*Punctaje de referință:</t>
    </r>
    <r>
      <rPr>
        <b/>
        <u/>
        <sz val="10"/>
        <color theme="1"/>
        <rFont val="Arial Narrow"/>
      </rPr>
      <t xml:space="preserve">
</t>
    </r>
    <r>
      <rPr>
        <sz val="10"/>
        <color theme="1"/>
        <rFont val="Arial Narrow"/>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</si>
  <si>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</si>
  <si>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Miricescu Dan, Popa Daniela</t>
  </si>
  <si>
    <t>Concurs naţional planuri de afaceri AntreprenorING 3.0
Oradea 17 - 19 dec. 2021</t>
  </si>
  <si>
    <t>competiţie ştiinţifică naţională</t>
  </si>
  <si>
    <t>17-19.12.2021</t>
  </si>
  <si>
    <t>Premiul I
Echipa SteCris Sibiu (Braneanu Stefania, Morozan Cristian) IEI
Coord. Miricescu Dan, Popa Daniela</t>
  </si>
  <si>
    <t>100/2</t>
  </si>
  <si>
    <r>
      <rPr>
        <b/>
        <sz val="10"/>
        <color theme="1"/>
        <rFont val="Arial Narrow"/>
      </rPr>
      <t>Popa Daniela</t>
    </r>
    <r>
      <rPr>
        <sz val="10"/>
        <color theme="1"/>
        <rFont val="Arial Narrow"/>
      </rPr>
      <t>, Miricescu Dan</t>
    </r>
  </si>
  <si>
    <t>Concurs național planuri de afaceri AntreprenorING 3.0, Oradea, 17-19 decembrie 2021</t>
  </si>
  <si>
    <t xml:space="preserve">Competiție științifică națională </t>
  </si>
  <si>
    <t>17-19 decembrie 2021</t>
  </si>
  <si>
    <t>Premiul I echipa SteCris Sibiu, cu lucrarea ”Virtual Couture – Avatarul care schimbă look-ul”. Studenți: Ștefania Brăneanu - IV IEI, Cristian Morozan - IV IEI; coordonatori: Miricescu Dan și Popa Daniela</t>
  </si>
  <si>
    <r>
      <rPr>
        <b/>
        <sz val="10"/>
        <color theme="1"/>
        <rFont val="Arial Narrow"/>
      </rPr>
      <t>L.G. Popescu</t>
    </r>
    <r>
      <rPr>
        <sz val="10"/>
        <color theme="1"/>
        <rFont val="Arial Narrow"/>
      </rPr>
      <t xml:space="preserve"> , V.M. Zerbes</t>
    </r>
  </si>
  <si>
    <t>International Fair of Innovation an Creative Eucation for Youth (ICE-USV)</t>
  </si>
  <si>
    <t>internaţional</t>
  </si>
  <si>
    <t>2*25</t>
  </si>
  <si>
    <r>
      <rPr>
        <b/>
        <sz val="10"/>
        <color theme="1"/>
        <rFont val="Arial Narrow"/>
      </rPr>
      <t>L.G. Popescu</t>
    </r>
    <r>
      <rPr>
        <sz val="10"/>
        <color theme="1"/>
        <rFont val="Arial Narrow"/>
      </rPr>
      <t xml:space="preserve"> , V.M. Zerbes</t>
    </r>
  </si>
  <si>
    <t>2*100</t>
  </si>
  <si>
    <r>
      <rPr>
        <b/>
        <sz val="10"/>
        <color theme="1"/>
        <rFont val="Arial Narrow"/>
      </rPr>
      <t>L.G. Popescu</t>
    </r>
    <r>
      <rPr>
        <sz val="10"/>
        <color theme="1"/>
        <rFont val="Arial Narrow"/>
      </rPr>
      <t xml:space="preserve"> , V.M. Zerbes</t>
    </r>
  </si>
  <si>
    <r>
      <rPr>
        <b/>
        <sz val="10"/>
        <color theme="1"/>
        <rFont val="Arial Narrow"/>
      </rPr>
      <t>L.G. Popescu</t>
    </r>
    <r>
      <rPr>
        <sz val="10"/>
        <color theme="1"/>
        <rFont val="Arial Narrow"/>
      </rPr>
      <t xml:space="preserve"> , V.M. Zerbes</t>
    </r>
  </si>
  <si>
    <t>2*80</t>
  </si>
  <si>
    <t>Antal Sebastian-Dionisie, Moca Sebastian, Dan Alexandru</t>
  </si>
  <si>
    <t>The 15th Edition of EUROINVENT – European Exhibition of Creativity and Innovation 2022</t>
  </si>
  <si>
    <t>Salon de Invenții, International</t>
  </si>
  <si>
    <t>26-28 Mai 2022</t>
  </si>
  <si>
    <t>http://www.euroinvent.org/archive/catalogues/</t>
  </si>
  <si>
    <t>Vergu Constantin-Alexandru</t>
  </si>
  <si>
    <t>Dragomir loan-Sebastian, Babi Mihai, Vira Andrei</t>
  </si>
  <si>
    <t>Gaston Maria-Cristina, Horga Bogdan Dumitru, Hera Stefan Danut</t>
  </si>
  <si>
    <t>Dragomir lonut Razvan, Muntean George Valentin</t>
  </si>
  <si>
    <t>Salonul International al Inovarii si Cercetarii Stiintifice Studentesti Cadet INOVA, editia a VII-a, 2022</t>
  </si>
  <si>
    <t>Salon de Invenții, Național</t>
  </si>
  <si>
    <t>07-09 Aprilie 2022</t>
  </si>
  <si>
    <t>https://www.cadetinova.ro/index.php/ro/</t>
  </si>
  <si>
    <t>Al VI-lea Târg Internațional de Inovare și Educație Creativă pentru Tineret IC-USV 2022</t>
  </si>
  <si>
    <t>10-12 Iulie 2022</t>
  </si>
  <si>
    <t>https://fiesc.usv.ro/ice-usv/#1609758595461-ce03e6be-6332</t>
  </si>
  <si>
    <t>Dragomir Ioan-Sebastian, Babii Mihai, Vira Andrei</t>
  </si>
  <si>
    <t xml:space="preserve">Vergu Constantin-Alexandru </t>
  </si>
  <si>
    <t xml:space="preserve">Gaston Maria-Cristina, Horga Bogdan Dumitru, Hera Stefan Danut </t>
  </si>
  <si>
    <t xml:space="preserve">Dragomir Ionut Razvan, Muntean George Valentin  </t>
  </si>
  <si>
    <t>THE 26th INTERNATIONAL EXHIBITION OF INVENTIONS, INVENTICA 2022</t>
  </si>
  <si>
    <t>23-24 iunie 2022</t>
  </si>
  <si>
    <t>https://ini.tuiasi.ro/exhibition/</t>
  </si>
  <si>
    <t>International Fair of Innovation an Creative Eucation for Yout (ICE-USV)</t>
  </si>
  <si>
    <t>https://fiesc.usv.ro/ice-usv/#1609758595461-ce03e6be-6332
https://ice-usv44.webnode.ro/copie-a-current-edition/</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</si>
  <si>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</si>
  <si>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</si>
  <si>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</si>
  <si>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</si>
  <si>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</si>
  <si>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</si>
  <si>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</si>
  <si>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</si>
  <si>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b/>
        <sz val="10"/>
        <color theme="1"/>
        <rFont val="Arial Narrow"/>
      </rPr>
      <t xml:space="preserve">*Punctaje de referință:
</t>
    </r>
    <r>
      <rPr>
        <b/>
        <sz val="10"/>
        <color theme="1"/>
        <rFont val="Arial Narrow"/>
      </rPr>
      <t xml:space="preserve">•	</t>
    </r>
    <r>
      <rPr>
        <sz val="10"/>
        <color theme="1"/>
        <rFont val="Arial Narrow"/>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</si>
  <si>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</si>
  <si>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</si>
  <si>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</si>
  <si>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</si>
  <si>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</si>
  <si>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</si>
  <si>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</si>
  <si>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</si>
  <si>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</si>
  <si>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</si>
  <si>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b/>
        <sz val="10"/>
        <color rgb="FF000000"/>
        <rFont val="Arial Narrow"/>
      </rPr>
      <t>* Punctaje de referință:</t>
    </r>
    <r>
      <rPr>
        <sz val="10"/>
        <color rgb="FF000000"/>
        <rFont val="Arial Narrow"/>
      </rPr>
      <t xml:space="preserve">
</t>
    </r>
    <r>
      <rPr>
        <sz val="10"/>
        <color rgb="FF000000"/>
        <rFont val="Arial Narrow"/>
      </rPr>
      <t>•	200 p./an – comisii, consilii sau comitete internaționale.
•	100 p./an – comisii, consilii sau comitete naționale;</t>
    </r>
  </si>
  <si>
    <t>Denumirea comisiei</t>
  </si>
  <si>
    <t>Link sau dovadă a rezultatului selecției ca membru în comisie</t>
  </si>
  <si>
    <t>CNATDCU</t>
  </si>
  <si>
    <t>CCCDI</t>
  </si>
  <si>
    <t>CSA</t>
  </si>
  <si>
    <t>Comisia C11. Stiinte ingineresti II</t>
  </si>
  <si>
    <t>https://www.aracis.ro/registrul-national-al-evaluatorilor-cadre-didactice/</t>
  </si>
  <si>
    <t>CNATDCU, Comisia 16, Ingineria si managementul productiei</t>
  </si>
  <si>
    <t>http://www.cnatdcu.ro/paneluri-cnatdcu/</t>
  </si>
  <si>
    <t>Comisia Specializată de acreditare (MEN)</t>
  </si>
  <si>
    <t>https://cdn.edupedu.ro/wp-content/uploads/2022/11/ordin_component%CC%A6a-comisiei-specializate-de-acreditare.pdf</t>
  </si>
  <si>
    <t>ARACIS</t>
  </si>
  <si>
    <t>Comisia 16 – CNATDCU – Inginerie Industrială și Management</t>
  </si>
  <si>
    <t>http://www.cnatdcu.ro/paneluri-cnatdcu/incepand-cu-data-de-7-septembrie-2012/stiinte-ingineresti/comisia-de-inginerie-industriala-si-management/</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</si>
  <si>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</si>
  <si>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</si>
  <si>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</si>
  <si>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sz val="10"/>
        <color rgb="FF000000"/>
        <rFont val="Arial Narrow"/>
      </rPr>
      <t>Se punctează aici doar activitățile care implică</t>
    </r>
    <r>
      <rPr>
        <b/>
        <sz val="10"/>
        <color rgb="FF000000"/>
        <rFont val="Arial Narrow"/>
      </rPr>
      <t xml:space="preserve"> întregul consorțiu</t>
    </r>
    <r>
      <rPr>
        <sz val="10"/>
        <color rgb="FF000000"/>
        <rFont val="Arial Narrow"/>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</si>
  <si>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</si>
  <si>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</si>
  <si>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b/>
        <sz val="10"/>
        <color rgb="FF000000"/>
        <rFont val="Arial Narrow"/>
      </rPr>
      <t>*Punctaje de referință:</t>
    </r>
    <r>
      <rPr>
        <sz val="10"/>
        <color rgb="FF000000"/>
        <rFont val="Arial Narrow"/>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</si>
  <si>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</si>
  <si>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</si>
  <si>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Consorțiul Universitaria</t>
  </si>
  <si>
    <t>contributor</t>
  </si>
  <si>
    <t>Asociația facultăților de inginerie și management</t>
  </si>
  <si>
    <t>Consortiul de Inginerie Economica din Romania (CIER)</t>
  </si>
  <si>
    <t>CIER - Consortiul de Inginerie Economica din Romania</t>
  </si>
  <si>
    <t>Contributor</t>
  </si>
  <si>
    <t>REUNIUNEA
CONSORȚIULUI UNIVERSITARIA
SIBIU, 03 - 05 noiembrie 2022</t>
  </si>
  <si>
    <t>FORTHEM</t>
  </si>
  <si>
    <t>Responsabil IT Officer: coordonarea la nivelul aliantei a sarcinii referitoare la realizarea unei identitati digitale comune + contributia la realizarea White paper "Towards an integrated European Higher Education Area digital space"</t>
  </si>
  <si>
    <t xml:space="preserve"> Contributor din partea ULBS la Workshopul FORTHEM "Intercultural Sensitization
The different priorities and strategies for European research funding within the FORTHEM Alliance Universities
04th May 2022 -/ 09:00 - 13:00 CET (online workshop, hosted by University of Burgundy)"</t>
  </si>
  <si>
    <t>Participare workshop Campus of European Universities 30 June 2022, Palais des Congrès of Versailles, Paris</t>
  </si>
  <si>
    <t>23-27 mai 2022 International Week – ULBS – responsabil din partea Facultății de Inginerie pentru: stabilire program profesori invitați, creare de Meet-uri, trimitere invitații către cadre didactice / studenți, asistență în timpul prelegerilor pe Meet.</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</si>
  <si>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</si>
  <si>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</si>
  <si>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</si>
  <si>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b/>
        <sz val="10"/>
        <color rgb="FF000000"/>
        <rFont val="Arial Narrow"/>
      </rPr>
      <t>*Punctaje de referință:</t>
    </r>
    <r>
      <rPr>
        <sz val="10"/>
        <color rgb="FF000000"/>
        <rFont val="Arial Narrow"/>
      </rPr>
      <t xml:space="preserve">
•</t>
    </r>
    <r>
      <rPr>
        <sz val="10"/>
        <color rgb="FF000000"/>
        <rFont val="Arial"/>
      </rPr>
      <t xml:space="preserve">	</t>
    </r>
    <r>
      <rPr>
        <sz val="10"/>
        <color rgb="FF000000"/>
        <rFont val="Arial Narrow"/>
      </rPr>
      <t xml:space="preserve">numărul de ore convenționale din norma de bază (maxim 16) x 28 de săptămâni.
</t>
    </r>
  </si>
  <si>
    <t xml:space="preserve">Număr de ore convenționale pentru activitățile din norma de bază </t>
  </si>
  <si>
    <t>Bădescu Mirce</t>
  </si>
  <si>
    <t>9x28=252</t>
  </si>
  <si>
    <t>Barb Carmen</t>
  </si>
  <si>
    <t xml:space="preserve"> Beju Livia dana</t>
  </si>
  <si>
    <t>Brănescu Andrei-Horia</t>
  </si>
  <si>
    <t>Butănescu-Volanin Remus Constantin</t>
  </si>
  <si>
    <t>28 saptamani</t>
  </si>
  <si>
    <t>Tehnologia materialelor 1</t>
  </si>
  <si>
    <t>Fenomene de transfer si operatii unitare</t>
  </si>
  <si>
    <t>Tehnologia materialelor 2</t>
  </si>
  <si>
    <t>Analiza si sinteza proceselor tehnologice</t>
  </si>
  <si>
    <t>Tehnologii si echipamente de epurare a aerului 1</t>
  </si>
  <si>
    <t>Tehnologii si echipamente de epurare a aerului 2</t>
  </si>
  <si>
    <t>Dan Maria Nicoleta</t>
  </si>
  <si>
    <t>Dan Nicoleta</t>
  </si>
  <si>
    <t>10 (post 27 stat functii IIM 2021-2022)</t>
  </si>
  <si>
    <t>DENEŞ Călin</t>
  </si>
  <si>
    <t>Tehnologia Materialelor TCM+SPD - 2C, Tratamente termice TCM - 2C, Tehnologia Materialelor TCM - 2L, Tratamente Termice - TCM - 4 L</t>
  </si>
  <si>
    <t>7x28</t>
  </si>
  <si>
    <t>Managementul proiectelor complexe (mAAIE; mMAI, mMC), Studii tehnico-economice (mMP), Management operațional (mMPA),Managementul proiectelor (IEI), Managementul proiectelor de mediu (IPMI), Managementul investițiilor (IEDM), Analiza proiectelor de investiții (IEI)</t>
  </si>
  <si>
    <t>12x28</t>
  </si>
  <si>
    <t>predare cursuri si aplicatii, post 9. profesor = 7 ore</t>
  </si>
  <si>
    <t>Foidas Ion</t>
  </si>
  <si>
    <t>Curs+Proiect la disciplinele Logistică, Logistica transporturilor, Trafic rutier, Infrastructura Rutiera</t>
  </si>
  <si>
    <t xml:space="preserve">Isarie Claudiu </t>
  </si>
  <si>
    <t>15.50</t>
  </si>
  <si>
    <t>Activitati predare din norma de baza</t>
  </si>
  <si>
    <t>7*28</t>
  </si>
  <si>
    <t>LUPU DIANA</t>
  </si>
  <si>
    <t>Lupu Diana</t>
  </si>
  <si>
    <t>Activitati norma de bază 9 ore
poz. 16 prof. Dep IIM</t>
  </si>
  <si>
    <t>9 ore * 28 sapt.</t>
  </si>
  <si>
    <t>Predare</t>
  </si>
  <si>
    <t>12 x 28 = 336</t>
  </si>
  <si>
    <r>
      <rPr>
        <sz val="10"/>
        <color theme="1"/>
        <rFont val="Arial Narrow"/>
      </rPr>
      <t xml:space="preserve">Managementul producției și serviciilor (III IEDM, 3 sgrP): </t>
    </r>
    <r>
      <rPr>
        <b/>
        <sz val="10"/>
        <color theme="1"/>
        <rFont val="Arial Narrow"/>
      </rPr>
      <t>3 ore</t>
    </r>
    <r>
      <rPr>
        <sz val="10"/>
        <color theme="1"/>
        <rFont val="Arial Narrow"/>
      </rPr>
      <t xml:space="preserve">;                          Managementul IMM - urilor (IV IEDM, 4 sgrP): </t>
    </r>
    <r>
      <rPr>
        <b/>
        <sz val="10"/>
        <color theme="1"/>
        <rFont val="Arial Narrow"/>
      </rPr>
      <t>4 ore</t>
    </r>
    <r>
      <rPr>
        <sz val="10"/>
        <color theme="1"/>
        <rFont val="Arial Narrow"/>
      </rPr>
      <t xml:space="preserve">                          Managementul producției (III IEI, 1sgrP): </t>
    </r>
    <r>
      <rPr>
        <b/>
        <sz val="10"/>
        <color theme="1"/>
        <rFont val="Arial Narrow"/>
      </rPr>
      <t>1 oră</t>
    </r>
    <r>
      <rPr>
        <sz val="10"/>
        <color theme="1"/>
        <rFont val="Arial Narrow"/>
      </rPr>
      <t xml:space="preserve">;                                                Management industrial (II TCM comasat cu II SPD): </t>
    </r>
    <r>
      <rPr>
        <b/>
        <sz val="10"/>
        <color theme="1"/>
        <rFont val="Arial Narrow"/>
      </rPr>
      <t xml:space="preserve">2 ore; </t>
    </r>
    <r>
      <rPr>
        <sz val="10"/>
        <color theme="1"/>
        <rFont val="Arial Narrow"/>
      </rPr>
      <t xml:space="preserve">                Managementul logisticii (III IEDM, 3 sgrP): </t>
    </r>
    <r>
      <rPr>
        <b/>
        <sz val="10"/>
        <color theme="1"/>
        <rFont val="Arial Narrow"/>
      </rPr>
      <t>3 ore</t>
    </r>
    <r>
      <rPr>
        <sz val="10"/>
        <color theme="1"/>
        <rFont val="Arial Narrow"/>
      </rPr>
      <t xml:space="preserve">;                                      Managementul IMM - urilor (IV IEDM comasat cu IV IEI Afaceri mici și mijlocii): </t>
    </r>
    <r>
      <rPr>
        <b/>
        <sz val="10"/>
        <color theme="1"/>
        <rFont val="Arial Narrow"/>
      </rPr>
      <t>2 ore</t>
    </r>
  </si>
  <si>
    <t>L.G. Popescu</t>
  </si>
  <si>
    <t>POST 46/54</t>
  </si>
  <si>
    <t>10 X 28</t>
  </si>
  <si>
    <t>PRODEA LAURENTIU</t>
  </si>
  <si>
    <t>pozitia 48 din stat functii IIM</t>
  </si>
  <si>
    <t>Prodea Laurentiu</t>
  </si>
  <si>
    <t>Sisteme informatice de gestiune - Curs</t>
  </si>
  <si>
    <t>Sisteme informatice in management - Curs</t>
  </si>
  <si>
    <t>Comunicare si negociere in afaceri- Curs</t>
  </si>
  <si>
    <t>Comunicare si negociere in afaceri - Aplicatii</t>
  </si>
  <si>
    <t>Sisteme informatice pentru suport managerial - Curs</t>
  </si>
  <si>
    <t>Comunicare - Curs</t>
  </si>
  <si>
    <t>Roșca Nicolae</t>
  </si>
  <si>
    <t>Ionela Rotaru</t>
  </si>
  <si>
    <t>Fabricarea si repararea autovehicolelor - ITT - 2C, Fabricarea si repararea autovehicolelor 1P,  Fabricarea si repararea autovehicolelor 1L, Tehnologia fabricarii masinilor si utilajelor - SPD - 2C,  Tehnologia fabricarii masinilor si utilajelor - SPD - 2L, Tehnologii de fabricatie 1 IEDM 2L, Tehnologia constructiilor de masini 2 - 1L, Tehnologia constructiilor de masini 3 - 1 L</t>
  </si>
  <si>
    <t>ROTARU MIHAELA</t>
  </si>
  <si>
    <t>Rotaru Mihaela</t>
  </si>
  <si>
    <t>8*28</t>
  </si>
  <si>
    <t>28 săptămâni</t>
  </si>
  <si>
    <t>NB 2021/2022 - Dispozitive pentru masini unelte IV SPD (curs + 1 gr Lp); Dispozitive tehnologice IV IEDM (curs + 4 sgr Pr); Dispozitive tehnologice 1 III TCM (1 sgr Lp) = 9 ore conv</t>
  </si>
  <si>
    <t>STOICA AUGUSTIN</t>
  </si>
  <si>
    <t>Post 57</t>
  </si>
  <si>
    <t>Stoica Augustin</t>
  </si>
  <si>
    <t>Țîțu Aurel Mihail</t>
  </si>
  <si>
    <t>POST 57</t>
  </si>
  <si>
    <t>12 X 28</t>
  </si>
  <si>
    <t xml:space="preserve">Brad Remus </t>
  </si>
  <si>
    <t>16*28=448</t>
  </si>
  <si>
    <t>Craciunean Daniel-Cristian</t>
  </si>
  <si>
    <t>DOROBANȚIU Alexandru</t>
  </si>
  <si>
    <t>8 ore convenționale în norma de bază</t>
  </si>
  <si>
    <t>ILIE Constantin Beriliu</t>
  </si>
  <si>
    <t>11 * 28</t>
  </si>
  <si>
    <t>Baze de date, Interactiune om calculator, Proiectarea bazelor de date</t>
  </si>
  <si>
    <t>10X28</t>
  </si>
  <si>
    <t>SPATARI OVIDIU</t>
  </si>
  <si>
    <t>Spatari Ovidiu</t>
  </si>
  <si>
    <t>10*28</t>
  </si>
  <si>
    <t>13*28</t>
  </si>
  <si>
    <t>10.5*28</t>
  </si>
  <si>
    <t>14*28</t>
  </si>
  <si>
    <t>12*28</t>
  </si>
  <si>
    <t>Activități de predare conform norma de bază, Stat funcții departament MEI, poz. 19, Conferentiar, an univ. 2021-2022</t>
  </si>
  <si>
    <t>8x28</t>
  </si>
  <si>
    <t>Chiliban Marius-Bogdan</t>
  </si>
  <si>
    <t>16*28</t>
  </si>
  <si>
    <t>15*28</t>
  </si>
  <si>
    <t>10^28</t>
  </si>
  <si>
    <t xml:space="preserve">Crenganiș Mihai </t>
  </si>
  <si>
    <r>
      <rPr>
        <b/>
        <sz val="10"/>
        <color theme="1"/>
        <rFont val="Arial Narrow"/>
      </rPr>
      <t>10</t>
    </r>
    <r>
      <rPr>
        <sz val="10"/>
        <color theme="1"/>
        <rFont val="Arial Narrow"/>
      </rPr>
      <t xml:space="preserve">
</t>
    </r>
  </si>
  <si>
    <t>12x28=336</t>
  </si>
  <si>
    <t xml:space="preserve"> Florea Marin</t>
  </si>
  <si>
    <t>16^28</t>
  </si>
  <si>
    <t>IRIDON ANCA-MĂDĂLINA</t>
  </si>
  <si>
    <t>16 x 28</t>
  </si>
  <si>
    <t>Maroșan Iosif-Adrian</t>
  </si>
  <si>
    <t>Pascu Adrian Marius</t>
  </si>
  <si>
    <t>NB post conf. poz. 16 - 14 ore conv.</t>
  </si>
  <si>
    <t>14X28</t>
  </si>
  <si>
    <t>14x28</t>
  </si>
  <si>
    <t>ID09-Pregătirea activității de predare</t>
  </si>
  <si>
    <t>Conform Statului de funcții al anului universitar pentru care se face raportarea</t>
  </si>
  <si>
    <r>
      <rPr>
        <b/>
        <sz val="10"/>
        <color rgb="FF000000"/>
        <rFont val="Arial Narrow"/>
      </rPr>
      <t>*Punctaje de referință:</t>
    </r>
    <r>
      <rPr>
        <sz val="10"/>
        <color rgb="FF000000"/>
        <rFont val="Arial Narrow"/>
      </rPr>
      <t xml:space="preserve">
•</t>
    </r>
    <r>
      <rPr>
        <sz val="10"/>
        <color rgb="FF000000"/>
        <rFont val="Arial"/>
      </rPr>
      <t xml:space="preserve">	</t>
    </r>
    <r>
      <rPr>
        <sz val="10"/>
        <color rgb="FF000000"/>
        <rFont val="Arial Narrow"/>
      </rPr>
      <t xml:space="preserve">numărul de ore convenționale din norma de bază (maxim 16) x 2 x 28 de săptămâni.
</t>
    </r>
  </si>
  <si>
    <t>Bădescu Mircea</t>
  </si>
  <si>
    <t>9x2x28=504</t>
  </si>
  <si>
    <t>Barb Carmen Sorina</t>
  </si>
  <si>
    <t>Beju Livia dana</t>
  </si>
  <si>
    <t>2x28 săptămâni</t>
  </si>
  <si>
    <t>Tehnologia Materialelor TCM+SPD - 2C, Tratamente termice TCM - 2C, Tehnologia Materialelor TCM - 2L, Tratamente Termice - TCM - 2 L, Tratamente Termice SPD - 1C</t>
  </si>
  <si>
    <t>7x2x28</t>
  </si>
  <si>
    <t>12x2x28</t>
  </si>
  <si>
    <t>activitati de predare cursuri si aplicatii, post nr.9, profesor = 7 ore</t>
  </si>
  <si>
    <t>Fălădău Maria Alina</t>
  </si>
  <si>
    <t>Faladau Alina</t>
  </si>
  <si>
    <t>Pregatirea activitatii de predare</t>
  </si>
  <si>
    <t>7*2*28</t>
  </si>
  <si>
    <t>9 ore x 2 x 28 sapt.</t>
  </si>
  <si>
    <t>12 x 2 x 28 = 672</t>
  </si>
  <si>
    <r>
      <rPr>
        <sz val="10"/>
        <color theme="1"/>
        <rFont val="Arial Narrow"/>
      </rPr>
      <t xml:space="preserve">Managementul producției și serviciilor (III IEDM, 3 sgrP): </t>
    </r>
    <r>
      <rPr>
        <b/>
        <sz val="10"/>
        <color theme="1"/>
        <rFont val="Arial Narrow"/>
      </rPr>
      <t>3 ore</t>
    </r>
    <r>
      <rPr>
        <sz val="10"/>
        <color theme="1"/>
        <rFont val="Arial Narrow"/>
      </rPr>
      <t xml:space="preserve">;                          Managementul IMM - urilor (IV IEDM, 4 sgrP): </t>
    </r>
    <r>
      <rPr>
        <b/>
        <sz val="10"/>
        <color theme="1"/>
        <rFont val="Arial Narrow"/>
      </rPr>
      <t>4 ore</t>
    </r>
    <r>
      <rPr>
        <sz val="10"/>
        <color theme="1"/>
        <rFont val="Arial Narrow"/>
      </rPr>
      <t xml:space="preserve">                          Managementul producției (III IEI, 1sgrP): </t>
    </r>
    <r>
      <rPr>
        <b/>
        <sz val="10"/>
        <color theme="1"/>
        <rFont val="Arial Narrow"/>
      </rPr>
      <t>1 oră</t>
    </r>
    <r>
      <rPr>
        <sz val="10"/>
        <color theme="1"/>
        <rFont val="Arial Narrow"/>
      </rPr>
      <t xml:space="preserve">;                                                Management industrial (II TCM comasat cu II SPD): </t>
    </r>
    <r>
      <rPr>
        <b/>
        <sz val="10"/>
        <color theme="1"/>
        <rFont val="Arial Narrow"/>
      </rPr>
      <t xml:space="preserve">2 ore; </t>
    </r>
    <r>
      <rPr>
        <sz val="10"/>
        <color theme="1"/>
        <rFont val="Arial Narrow"/>
      </rPr>
      <t xml:space="preserve">                Managementul logisticii (III IEDM, 3 sgrP): </t>
    </r>
    <r>
      <rPr>
        <b/>
        <sz val="10"/>
        <color theme="1"/>
        <rFont val="Arial Narrow"/>
      </rPr>
      <t>3 ore</t>
    </r>
    <r>
      <rPr>
        <sz val="10"/>
        <color theme="1"/>
        <rFont val="Arial Narrow"/>
      </rPr>
      <t xml:space="preserve">;                                      Managementul IMM - urilor (IV IEDM comasat cu IV IEI Afaceri mici și mijlocii): </t>
    </r>
    <r>
      <rPr>
        <b/>
        <sz val="10"/>
        <color theme="1"/>
        <rFont val="Arial Narrow"/>
      </rPr>
      <t>2 ore</t>
    </r>
  </si>
  <si>
    <t>10 X 2 X 28</t>
  </si>
  <si>
    <t>Sisteme informatice pentru suport managerial - Aplicatii</t>
  </si>
  <si>
    <t>8*2*28</t>
  </si>
  <si>
    <t>Tanu Lucian</t>
  </si>
  <si>
    <t>12 X 2 X 28</t>
  </si>
  <si>
    <t>Baciu Rocica</t>
  </si>
  <si>
    <t xml:space="preserve">Cofaru Ileana Ioana </t>
  </si>
  <si>
    <t>16*2*28=896</t>
  </si>
  <si>
    <t>11*2*28</t>
  </si>
  <si>
    <t>10X2X28</t>
  </si>
  <si>
    <t>10*28*2</t>
  </si>
  <si>
    <t>13*2*28</t>
  </si>
  <si>
    <t>10.5*2*28</t>
  </si>
  <si>
    <t>14*2*28</t>
  </si>
  <si>
    <t>12*2*28</t>
  </si>
  <si>
    <t>8x2x28</t>
  </si>
  <si>
    <t>16*2*28</t>
  </si>
  <si>
    <t>15*2*28</t>
  </si>
  <si>
    <t>10*2*28</t>
  </si>
  <si>
    <t>12x2x28=672</t>
  </si>
  <si>
    <t>16 x 2 x 28</t>
  </si>
  <si>
    <t>14x2x28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</si>
  <si>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</si>
  <si>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</si>
  <si>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</si>
  <si>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</si>
  <si>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</si>
  <si>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</si>
  <si>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și  pentru examenele de admitere se ia în calcul numărul de candidați care au susținut efectiv examenul, și nu acela al candidaților care s-au înscris la examen					</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</si>
  <si>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</si>
  <si>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</si>
  <si>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b/>
        <sz val="10"/>
        <color rgb="FF000000"/>
        <rFont val="Arial Narrow"/>
      </rPr>
      <t>*Punctaje de referință:</t>
    </r>
    <r>
      <rPr>
        <sz val="10"/>
        <color rgb="FF000000"/>
        <rFont val="Arial Narrow"/>
      </rPr>
      <t xml:space="preserve">
•</t>
    </r>
    <r>
      <rPr>
        <sz val="10"/>
        <color rgb="FF000000"/>
        <rFont val="Arial"/>
      </rPr>
      <t xml:space="preserve"> </t>
    </r>
    <r>
      <rPr>
        <sz val="10"/>
        <color rgb="FF000000"/>
        <rFont val="Arial Narrow"/>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</si>
  <si>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</si>
  <si>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</si>
  <si>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Examen semestru, Evaluare pe parcurs (curs), Restanță,  II LI Logistica activităților de exp. și transport</t>
  </si>
  <si>
    <t>titular</t>
  </si>
  <si>
    <t>14 stud. : 3 = 4,66; 14 stud. : 3 = 4,66; 14 stud. X 25/100 : 3 = 1,16</t>
  </si>
  <si>
    <t>Examen semestru, Evaluare pe parcurs (curs), Evaluare pe parcurs (seminar), Restanță, Transporturi speciale IV ITT</t>
  </si>
  <si>
    <t>17 stud. : 3 = 5,66; 17 stud. : 3 = 5,66; 17 stud. : 3 = 5,66; 17 stud. X25/100 : 3 =  1,42</t>
  </si>
  <si>
    <t xml:space="preserve">Examen semestru, Evaluare pe parcurs (curs), Evaluare pe parcurs (seminar), Restanță, Tehnici de asamblare în TDDH2 II TDDH </t>
  </si>
  <si>
    <t>24 stud. : 3 = 8; 24 stud. : 3 = 8;  24 stud. : 3 = 8; 24 stud. X 25/100: 3 = 2</t>
  </si>
  <si>
    <t>Examen semestru, Restanță, Reexaminare BAGSI II SPD</t>
  </si>
  <si>
    <t>asistat Mușiu</t>
  </si>
  <si>
    <t xml:space="preserve">27 stud. : 3x0,5 = 4,5;  27 stud. X25/100 : 3x0,5 = 1,12; 27 stud. x 10/100: 3x0,5 = 0,45; </t>
  </si>
  <si>
    <t>Licență ITT, Disertație LI</t>
  </si>
  <si>
    <t>(2 stud. Feb. + 12 stud. iulie.)/3x2 = 9,32; (1 stud. Feb. + 10 stud. iulie)/3x3 = 10,98</t>
  </si>
  <si>
    <t>Barb Carmen- Sorina</t>
  </si>
  <si>
    <t>Colocviu, curs, Politici investitionale in transporturi, an III ITT</t>
  </si>
  <si>
    <t>28x0.33</t>
  </si>
  <si>
    <t>Evaluare pe parcurs, curs, Politici investitionale in transporturi, an III ITT</t>
  </si>
  <si>
    <t>Restanta, curs, Politici investitionale in transporturi, an III ITT</t>
  </si>
  <si>
    <t>28x0.33x0.25</t>
  </si>
  <si>
    <t>Reexaminare, curs, Politici investitionale in transporturi, an III ITT</t>
  </si>
  <si>
    <t>28x0.33x0.1</t>
  </si>
  <si>
    <t>Evaluare pe parcurs, proiect, Politici investitionale in transporturi, an III ITT</t>
  </si>
  <si>
    <t>Examen, curs, Managementul achizitiilor in proiecte, an I mMP</t>
  </si>
  <si>
    <t>Evaluare pe parcurs, curs, Managementul achizitiilor in proiecte, an I mMP</t>
  </si>
  <si>
    <t>Restanta, curs,Managementul achizitiilor in proiecte, an I mMP</t>
  </si>
  <si>
    <t>Reexaminare, curs, Managementul achizitiilor in proiecte, an I mMP</t>
  </si>
  <si>
    <t>Examen, curs, Managementul relatiilor cu clientii, an II mLI</t>
  </si>
  <si>
    <t>14x0.33</t>
  </si>
  <si>
    <t>Evaluare pe parcurs, curs, Managementul relatiilor cu clientii, an II mLI</t>
  </si>
  <si>
    <t>Restanta, curs,Managementul relatiilor cu clientii, an II mLI</t>
  </si>
  <si>
    <t>14x0.33x0.25</t>
  </si>
  <si>
    <t>Reexaminare, curs,Managementul relatiilor cu clientii, an II mLI</t>
  </si>
  <si>
    <t>14x0.33x0.1</t>
  </si>
  <si>
    <t>Colocviu, curs, Managementul resurselor umane, an II mMPMA</t>
  </si>
  <si>
    <t>13x0.33</t>
  </si>
  <si>
    <t>Evaluare pe parcurs, curs, Managementul resurselor umane, an II mMPMA</t>
  </si>
  <si>
    <t>Restanta, curs, Managementul resurselor umane, an II mMPMA</t>
  </si>
  <si>
    <t>13x0.33x0.25</t>
  </si>
  <si>
    <t>Reexaminare, curs,Managementul resurselor umane, an II mMPMA</t>
  </si>
  <si>
    <t>13x0.33x0.1</t>
  </si>
  <si>
    <t>Evaluare pe parcurs, proiect, Managementul resurselor umane, an II mMPMA</t>
  </si>
  <si>
    <t>Evluare pe parcurs, seminar, Marketing in transporturi, an II ITT</t>
  </si>
  <si>
    <t>23x0.33</t>
  </si>
  <si>
    <t>Evaluare pe parcurs, Marketing, an II TCM</t>
  </si>
  <si>
    <t>48x0.33</t>
  </si>
  <si>
    <t>Colocviu, curs Marketing in transporturi, an II IT</t>
  </si>
  <si>
    <t>asistent la examen</t>
  </si>
  <si>
    <t>23x0.33x0.5</t>
  </si>
  <si>
    <t>Colocviu curs Marketing,  an II TCM</t>
  </si>
  <si>
    <t>48x0.66x0.5</t>
  </si>
  <si>
    <t>examen Principiile fabricatiei suple master LI - 23 studenti</t>
  </si>
  <si>
    <t>0.33* 23</t>
  </si>
  <si>
    <t>Evaluare pe parcurs, curs Principiile fabricatiei suple,an I LI, 23 stud</t>
  </si>
  <si>
    <t>Restanta,  Principiile fabricatiei suple,an I LI, 23 stud</t>
  </si>
  <si>
    <t>0.33* 23*0.25</t>
  </si>
  <si>
    <t>Reexaminare,  Principiile fabricatiei suple,an I LI, 23 stud</t>
  </si>
  <si>
    <t>0.33* 23*0.1</t>
  </si>
  <si>
    <t>Examen Managementul proiectului master LI + STIF= 23+18 = 41 sudenti</t>
  </si>
  <si>
    <t>41*0.33</t>
  </si>
  <si>
    <t>Evaluare pe parcurs, curs Managementul proiectului i master  LI+ STIF 23+18 = 41 sudenti</t>
  </si>
  <si>
    <t>Restanta, curs Principiile fabricatiei suple,Managementul proiectului i master  LI+ STIF 23+18 = 41 sudenti</t>
  </si>
  <si>
    <t>41*0.33*0.25</t>
  </si>
  <si>
    <t>Reexaminare, curs Principiile fabricatiei suple,Managementul proiectului i master  LI+ STIF 23+18 = 41 sudenti</t>
  </si>
  <si>
    <t>41*0.33* 0.1</t>
  </si>
  <si>
    <t>examen  Scule aschietoare 2,an III  TCM. 48 stud</t>
  </si>
  <si>
    <t>0.33* 48</t>
  </si>
  <si>
    <t>Restanta,  Scule aschietoare 2,an III  TCM. 48 stud</t>
  </si>
  <si>
    <t>0.33* 48*0.25</t>
  </si>
  <si>
    <t>Reexaminare,Scule aschietoare 2,an III  TCM. 48 stud</t>
  </si>
  <si>
    <t>0.33* 48*0.1</t>
  </si>
  <si>
    <t>Evaluare proiecte Scule aschietoare 2  - 2 semigrupe - 34 studenti (NB)</t>
  </si>
  <si>
    <t>0.33*34</t>
  </si>
  <si>
    <t>Examen disertatie master LI</t>
  </si>
  <si>
    <t>presedinte comisie</t>
  </si>
  <si>
    <t xml:space="preserve"> (10 +1)/3*2</t>
  </si>
  <si>
    <t>Examen disertatie master STIF</t>
  </si>
  <si>
    <t>membru in comisie</t>
  </si>
  <si>
    <t xml:space="preserve"> (17+2) /3*2</t>
  </si>
  <si>
    <t xml:space="preserve"> Examen admitere master  Ing Industriala</t>
  </si>
  <si>
    <t>47 studenti</t>
  </si>
  <si>
    <t>FIN3</t>
  </si>
  <si>
    <t>Examen Tehnici de asamblare in transp si distrib, an II TDDH = 17 studenti</t>
  </si>
  <si>
    <t>Titular</t>
  </si>
  <si>
    <t>Examen Stiinta materialelor, an I TCM = 60 studenti</t>
  </si>
  <si>
    <t>Examen Stiinta materialelor, an I SPD = 23 studenti</t>
  </si>
  <si>
    <t>Examen Stiinta si ingineria materialelor, an I IEDM = 32 studenti</t>
  </si>
  <si>
    <t>Examen Instalatii sanitare si de gaze, an II TDDH = 17 studenti</t>
  </si>
  <si>
    <t>examen de semestru, anul III Elm, 16</t>
  </si>
  <si>
    <t>examen de semestru, anul IV TCM, 34</t>
  </si>
  <si>
    <t>examen de semestru, anul IV TCM, 57</t>
  </si>
  <si>
    <t>examen de licență, anul IV TCM, 57</t>
  </si>
  <si>
    <t>examen restanâă, anul IV TCM</t>
  </si>
  <si>
    <t>examen de restanță, anul III Elm, 16</t>
  </si>
  <si>
    <t>Proba orala de verificare a cunostintelor de domeniu si/sau complementara - Master - domeniul Inginerie Industrială - sesiunea IULIE</t>
  </si>
  <si>
    <t>Asistent</t>
  </si>
  <si>
    <t>Proba orala de verificare a cunostintelor de domeniu si/sau complementara - Master - domeniul Inginerie Industrială -sesiunea SEPTEMBRIE</t>
  </si>
  <si>
    <t>Susținere proiecte - Tehnologii de Fabricație 2 - proiect</t>
  </si>
  <si>
    <t>Examen Tehnologii de Fabricație 2</t>
  </si>
  <si>
    <t>Examen Tehnologii de Fabricație</t>
  </si>
  <si>
    <t>Examen Tehnologii de prelucrare pe MUCN</t>
  </si>
  <si>
    <t>Examen Tehnologiia Construcțiilor de Mașini 2 - proiect</t>
  </si>
  <si>
    <t>Examen Tehnologiia Construcțiilor de Mașini 2</t>
  </si>
  <si>
    <t>Examen Tehnologiia Construcțiilor de Mașini 3</t>
  </si>
  <si>
    <t xml:space="preserve">Examen de semestru. Organizarea întreprinderii. IV IEDM. Nr. Studenți: 53 </t>
  </si>
  <si>
    <t xml:space="preserve">Asistent. </t>
  </si>
  <si>
    <t xml:space="preserve">Examen de semestru. Ingineria sistemelor de productie. IV IEDM. Nr. Studenți: 53 </t>
  </si>
  <si>
    <t xml:space="preserve">Examen de semestru. Ingineria sistemelor de productie. IV TTC. Nr. Studenți: 53 </t>
  </si>
  <si>
    <t xml:space="preserve">Examen de semestru. Capitalul uman in organizatii. I mMAI. Nr. Studenți: 53 </t>
  </si>
  <si>
    <t xml:space="preserve">Examen de semestru. Managementul echipelor de proiect. I mMP. Nr. Studenți: 53 </t>
  </si>
  <si>
    <t>Examen de semestru. Managementul resurselor umane. II mMPA. Nr. Studenți: 19</t>
  </si>
  <si>
    <t xml:space="preserve">Examen de semestru. Managementul resurselor umane. III IEDM. Nr. Studenți: 45 </t>
  </si>
  <si>
    <t xml:space="preserve">Examen de semestru. Managementul resurselor umane. III IEI. Nr. Studenți: 19 </t>
  </si>
  <si>
    <t xml:space="preserve">Examen de semestru. Confortabilitate si ergonomie. III ITT. Nr. Studenți: 28 </t>
  </si>
  <si>
    <t>Examen de semestru. Managementul resurselor umane. IV IMAPA. Nr. Studenți: 18</t>
  </si>
  <si>
    <t>Evaluare seminar. Managementul resurselor umane. IV IMAPA. Nr. Studenți: 18</t>
  </si>
  <si>
    <t>Admitere</t>
  </si>
  <si>
    <t>Evaluare pe parcurs / curs Analiza economică și financiară, III IEDM, 45 studenți</t>
  </si>
  <si>
    <t>Evaluare pe parcurs / laborator Analiza economică și financiară, III IEDM, 45 studenți</t>
  </si>
  <si>
    <t>Colocviu Analiza economică și financiară, III IEDM, 45 studenți</t>
  </si>
  <si>
    <t>Restanță Analiza economică și financiară, III IEDM, 45 studenți x 25% = 11.25</t>
  </si>
  <si>
    <t>Evaluare pe parcurs / curs Analiza economică, III IEI, 19 studenți</t>
  </si>
  <si>
    <t>Evaluare pe parcurs / laborator Analiza economică, III IEI, 19 studenți</t>
  </si>
  <si>
    <t>Colocviu Analiza economică, III IEI, 19 studenți</t>
  </si>
  <si>
    <t>Restanță Analiza economică, III IEI, 19 studenți x 25% = 4.75</t>
  </si>
  <si>
    <t>Evaluare pe parcurs / curs Teoria probabilităților și statistică matematică, II IEDM, 39 studenți</t>
  </si>
  <si>
    <t>Evaluare pe parcurs / laborator Teoria probabilităților și statistică matematică, II IEDM, 39 studenți</t>
  </si>
  <si>
    <t>Examen Teoria probabilităților și statistică matematică, II IEDM, 39 studenți</t>
  </si>
  <si>
    <t>Restanță Teoria probabilităților și statistică matematică, II IEDM, 39 studenți x 25% = 9.75</t>
  </si>
  <si>
    <t>Evaluare pe parcurs / curs Teoria probabilităților și statistică matematică, II IEI, 23 studenți</t>
  </si>
  <si>
    <t>Evaluare pe parcurs / laborator Teoria probabilităților și statistică matematică, II IEI, sgr. 422/1, 12 studenți</t>
  </si>
  <si>
    <t>Examen Teoria probabilităților și statistică matematică, II IEI, 23 studenți</t>
  </si>
  <si>
    <t>Restanță Teoria probabilităților și statistică matematică, II IEI, 23 studenți x 25% = 5.75</t>
  </si>
  <si>
    <t>Evaluare pe parcurs / curs Teoria probabilităților și statistică matematică, I IPMI, 16 studenți</t>
  </si>
  <si>
    <t>Evaluare pe parcurs / seminar Teoria probabilităților și statistică matematică, I IPMI, 16 studenți</t>
  </si>
  <si>
    <t>Colocviu Teoria probabilităților și statistică matematică, I IPMI, 16 studenți</t>
  </si>
  <si>
    <t>Restanță Teoria probabilităților și statistică matematică, I IPMI, 16 studenți x 25% = 4</t>
  </si>
  <si>
    <t>Evaluare pe parcurs / curs Teoria probabilităților și statistică matematică, I TDDH, 21 studenți</t>
  </si>
  <si>
    <t>Evaluare pe parcurs / seminar Teoria probabilităților și statistică matematică, I TDDH, 21 studenți</t>
  </si>
  <si>
    <t>Colocviu Teoria probabilităților și statistică matematică, I TDDH, 21 studenți</t>
  </si>
  <si>
    <t>Restanță Teoria probabilităților și statistică matematică, I TDDH, 21 studenți x 25% = 4.25</t>
  </si>
  <si>
    <t>Reexaminare Teoria probabilităților și statistică matematică, I TDDH, 21 studenți x 10% = 2.1</t>
  </si>
  <si>
    <t>Examen licență martie 2022, IEDM, 1 student</t>
  </si>
  <si>
    <t>Examen licență martie 2022, IEDM-ID, 3 studenți</t>
  </si>
  <si>
    <t>Examen licență iulie 2022, IEDM, 54 studenți</t>
  </si>
  <si>
    <t>Examen licență iulie 2022, IEDM-ID, 33 studenți</t>
  </si>
  <si>
    <t>Examen disertație iulie 2022, MPE, 11 studenți</t>
  </si>
  <si>
    <t xml:space="preserve">Examen de semestru. Managementul echipelor de proiect. I mMP. Nr. Studenți: 28 </t>
  </si>
  <si>
    <t>Disertație MAI Nr. Studenți: 20</t>
  </si>
  <si>
    <t>Disertație MPE Nr. Studenți: 11</t>
  </si>
  <si>
    <t>Evaluare pe parcurs: Programarea calculatoarelor si limbaje de programare 1 / I MEC / curs</t>
  </si>
  <si>
    <t>35 st / 3</t>
  </si>
  <si>
    <t>Evaluare pe parcurs: Programarea calculatoarelor si limbaje de programare 1 / I ROB / curs</t>
  </si>
  <si>
    <t>24 st / 3</t>
  </si>
  <si>
    <t>Evaluare de semestru: Programarea calculatoarelor si limbaje de programare 1 / I MEC / curs</t>
  </si>
  <si>
    <t>Evaluare de semestru: Programarea calculatoarelor si limbaje de programare 1 / I ROB / curs</t>
  </si>
  <si>
    <t>Restanțe: Programarea calculatoarelor si limbaje de programare 1 / I MEC</t>
  </si>
  <si>
    <t>25% 35 st  / 3 = 8.75 st / 3</t>
  </si>
  <si>
    <t>Restanțe: Programarea calculatoarelor si limbaje de programare 1 / I ROB</t>
  </si>
  <si>
    <t>25% 24 st  / 3 = 6 st / 3</t>
  </si>
  <si>
    <t>Reexaminare: Programarea calculatoarelor si limbaje de programare 1 / I MEC</t>
  </si>
  <si>
    <t>10% 35 st  / 3 = 3,5 st / 3</t>
  </si>
  <si>
    <t>Reexaminare: Programarea calculatoarelor si limbaje de programare 1 / I ROB</t>
  </si>
  <si>
    <t>10% 24 st  / 3 = 2.4 st / 3</t>
  </si>
  <si>
    <t>Evaluare pe parcurs: Programarea calculatoarelor si limbaje de programare 2 / I TCM / curs</t>
  </si>
  <si>
    <t>60 st / 3</t>
  </si>
  <si>
    <t>Evaluare pe parcurs: Programarea calculatoarelor si limbaje de programare 2 / I SPD / curs</t>
  </si>
  <si>
    <t>23 st / 3</t>
  </si>
  <si>
    <t>Evaluare de semestru: Programarea calculatoarelor si limbaje de programare 2 / I TCM / curs</t>
  </si>
  <si>
    <t>Evaluare de semestru: Programarea calculatoarelor si limbaje de programare 2 / I SPD / curs</t>
  </si>
  <si>
    <t>Restanțe: Programarea calculatoarelor si limbaje de programare 2 / I TCM</t>
  </si>
  <si>
    <t>25% 60 st  / 3 = 15 st / 3</t>
  </si>
  <si>
    <t>Restanțe: Programarea calculatoarelor si limbaje de programare 2 / I SPD</t>
  </si>
  <si>
    <t>25% 23 st  / 3 = 5.75 st / 3</t>
  </si>
  <si>
    <t>Reexaminare: Programarea calculatoarelor si limbaje de programare 2 / I TCM</t>
  </si>
  <si>
    <t>10% 60 st  / 3 = 6 st / 3</t>
  </si>
  <si>
    <t>Reexaminare: Programarea calculatoarelor si limbaje de programare 2 / I SPD</t>
  </si>
  <si>
    <t>10% 23 st  / 3 = 2.3 st / 3</t>
  </si>
  <si>
    <t>Examen FTOU, an II IPMI = 17 studenti</t>
  </si>
  <si>
    <t>Colocviu proiect TEEA 1, an IV IPMI = 14 studenti</t>
  </si>
  <si>
    <t>ExamenTEEA 1, an IV IPMI = 14 studenti</t>
  </si>
  <si>
    <t>Examen TEEA 2, an IV IPMI = 14 studenti</t>
  </si>
  <si>
    <t>Colocviu ASPT, an III IPMI = 17 studenti</t>
  </si>
  <si>
    <t>Examen Tehnologia materialelor 1, an II IPMI = 17 studenti</t>
  </si>
  <si>
    <t>Examen Tehnologia materialelor 2, an II IPMI = 17 studenti</t>
  </si>
  <si>
    <t>Licenta IPMI  = 13 studenti</t>
  </si>
  <si>
    <t>Secretar</t>
  </si>
  <si>
    <t>Examen  - Tehnologii de prelucrare pe MUCN, IVTCM, 37 studenti</t>
  </si>
  <si>
    <t>Evaluare pe parcurs  - Tehnologii de prelucrare pe MUCN, IVTCM, 37 studenti</t>
  </si>
  <si>
    <t>Examen Tehnologia constructiilor de masini 1,  III TCM  ,48 studenti</t>
  </si>
  <si>
    <t>Evaluare pe parcurs Tehnologia constructiilor de masini 1,  III TCM  ,48 studenti</t>
  </si>
  <si>
    <t>Evaluare laborator Metode si mijloace CAM,  I mSTIF  ,27 studenti</t>
  </si>
  <si>
    <t>Evaluare laborator Programarea avansata si exploatarea echipamentelor CNC,  II mSTIF  ,18 studenti</t>
  </si>
  <si>
    <t>Evaluare parcurs Tehnologii de fabricatie 1,  III IEDM  ,45 studenti</t>
  </si>
  <si>
    <t>Examen Tehnologii de fabricatie 1,  III IEDM  ,45 studenti</t>
  </si>
  <si>
    <t>Restanta  - Tehnologii de prelucrare pe MUCN, IVTCM, 37 studenti</t>
  </si>
  <si>
    <t>Restanta Tehnologia constructiilor de masini 1,  III TCM  ,48 studenti</t>
  </si>
  <si>
    <t>Restanta Tehnologii de fabricatie 1,  III IEDM  ,45 studenti</t>
  </si>
  <si>
    <t>Reexaminare  - Tehnologii de prelucrare pe MUCN, IVTCM, 37 studenti</t>
  </si>
  <si>
    <t>Reexaminare Tehnologia constructiilor de masini 1,  III TCM  ,48 studenti</t>
  </si>
  <si>
    <t>Reexaminare Tehnologii de fabricatie 1,  III IEDM  ,45 studenti</t>
  </si>
  <si>
    <t>Examen licenta TCM feb, iulie 2022, 1+38 stud</t>
  </si>
  <si>
    <t>Examen licenta IEDM feb, iulie 2022, 1+54 stud</t>
  </si>
  <si>
    <t>Examen MASTER STIF feb, iulie 2022, 2+17 stud</t>
  </si>
  <si>
    <t>Examen admitere MASTER Ing. Industriala, 74+39 stud</t>
  </si>
  <si>
    <t>Evaluare pe parcurs</t>
  </si>
  <si>
    <t>Examen de semestru</t>
  </si>
  <si>
    <t>Examen de restante</t>
  </si>
  <si>
    <t>Examen de licență la specializarea IPMI</t>
  </si>
  <si>
    <t>Membru în comisia de examen de licență</t>
  </si>
  <si>
    <t>2*13 stud / 3</t>
  </si>
  <si>
    <t>Examen de semestru la disciplina Managementul integrat al deseurilor 2, anul III IPMI</t>
  </si>
  <si>
    <t>17 stud / 3</t>
  </si>
  <si>
    <t>Verificare pe parcurs la disciplina Managementul integrat al deseurilor 2, anul III IPMI, curs</t>
  </si>
  <si>
    <t>Colocviu proiect la disciplina Managementul integrat al deseurilor 2, anul III IPMI, proiect</t>
  </si>
  <si>
    <t>Examen de semestru la disciplina Managementul integrat al deseurilor 1, anul III IPMI</t>
  </si>
  <si>
    <t>Verificare pe parcurs la disciplina Managementul integrat al deseurilor 1, anul III IPMI, curs</t>
  </si>
  <si>
    <t>Verificare pe parcurs la disciplina Managementul integrat al deseurilor 1, anul III IPMI, seminar</t>
  </si>
  <si>
    <t>Examen de semestru la disciplina Stiinta si Ingineria Materialelor, anul I IPMI</t>
  </si>
  <si>
    <t>16 stud / 3</t>
  </si>
  <si>
    <t>Examen de semestru la disciplina Studiul Materialelor, anul I TDDH</t>
  </si>
  <si>
    <t>21 stud / 3</t>
  </si>
  <si>
    <t>Verificare pe parcurs la disciplina Stiinta si Ingineria Materialelor, anul I IPMI, curs</t>
  </si>
  <si>
    <t>Verificare pe parcurs la disciplina Studiul Materialelor, anul I TDDH, curs</t>
  </si>
  <si>
    <t>Verificare pe parcurs la disciplina Stiinta si Ingineria Materialelor, semigrupa 511/1, IPMI, laborator</t>
  </si>
  <si>
    <t>Examen restanță la disciplina Managementul integrat al deseurilor 2, anul III IPMI</t>
  </si>
  <si>
    <t>0,25*17 stud / 3</t>
  </si>
  <si>
    <t>Reexaminare la disciplina Managementul integrat al deseurilor 2, anul III IPMI</t>
  </si>
  <si>
    <t>0,10*17 stud / 3</t>
  </si>
  <si>
    <t>Examen restanță la disciplina Managementul integrat al deseurilor 1, anul III IPMI</t>
  </si>
  <si>
    <t>Reexaminare la disciplina Managementul integrat al deseurilor 1, anul III IPMI</t>
  </si>
  <si>
    <t>Examen restanță la disciplina Stiinta si Ingineria Materialelor, anul I IPMI</t>
  </si>
  <si>
    <t>0,25*16 stud / 3</t>
  </si>
  <si>
    <t>Reexaminare la disciplina Stiinta si Ingineria Materialelor, anul I IPMI</t>
  </si>
  <si>
    <t>0,1*16 stud / 3</t>
  </si>
  <si>
    <t>Examen restanță la disciplina Studiul Materialelor, anul I TDDH</t>
  </si>
  <si>
    <t>0,25*21 stud / 3</t>
  </si>
  <si>
    <t>Reexaminare la disciplina Studiul Materialelor, anul I TDDH</t>
  </si>
  <si>
    <t>0,10*21 stud / 3</t>
  </si>
  <si>
    <t>examem+restanta+reex. 3 IEDM</t>
  </si>
  <si>
    <t>evaluare parcurs 3 IEDM (C)</t>
  </si>
  <si>
    <t>examen+restanta+reex. 1mMC</t>
  </si>
  <si>
    <t>evaluare parcurs 1mMC (C)</t>
  </si>
  <si>
    <t>examen+restanta+reex. 1mLI</t>
  </si>
  <si>
    <t>evaluare parcurs 2mLI (C)</t>
  </si>
  <si>
    <t>examen de diserttie mLI</t>
  </si>
  <si>
    <t>mb. comisie diserttie</t>
  </si>
  <si>
    <t>Evaluare pe parcurs - Tehnologia Materialelor - curs - 46 studenți</t>
  </si>
  <si>
    <t>3 studenți/punct</t>
  </si>
  <si>
    <t>Examen - Tehnologia Materialelor -  46 studenți</t>
  </si>
  <si>
    <t>Restantă - Tehnologia Materialelor -11 studenți</t>
  </si>
  <si>
    <t>Reexaminare - Tehnologia Materialelor - curs - 5 studenți</t>
  </si>
  <si>
    <t>Evaluare pe parcurs - Tehnologia Materialelor - laborator - 12 studenți</t>
  </si>
  <si>
    <t>Evaluare pe parcurs - Tratamente Termice - laborator - 48 studenți</t>
  </si>
  <si>
    <t>Evaluare pe parcurs - Tratamente termice - curs - 48 studenți</t>
  </si>
  <si>
    <t>Examen - Tratamente termice -  48 studenți</t>
  </si>
  <si>
    <t>Restantă - Tratamente termice -12 studenți</t>
  </si>
  <si>
    <t>Reexaminare - Tratamente termice - curs - 5 studenți</t>
  </si>
  <si>
    <t>Evaluare licență TCM - 38 studenți</t>
  </si>
  <si>
    <t>Membru în comisia de licență  - TCM</t>
  </si>
  <si>
    <t>1,5 studenți/punct</t>
  </si>
  <si>
    <t>Evaluare disertație MPE - 11 studenți</t>
  </si>
  <si>
    <t>Membru în comisia de disertație - MPE</t>
  </si>
  <si>
    <t>1 student/punct</t>
  </si>
  <si>
    <t>Managementul proiectelor complexe (mMAI) - Evaluare periodică proiect</t>
  </si>
  <si>
    <t>Managementul proiectelor complexe (mMC) - Evaluare periodică proiect</t>
  </si>
  <si>
    <t>Managementul proiectelor complexe (mAAIE) - Evaluare periodică proiect</t>
  </si>
  <si>
    <t>Studii tehnico-economice pentru proiecte (mMP) - Evaluare periodică proiect</t>
  </si>
  <si>
    <t>Managementul proiectelor complexe (mMAI) - Examen</t>
  </si>
  <si>
    <t>Managementul proiectelor complexe (mMC) - Examen</t>
  </si>
  <si>
    <t>Managementul proiectelor complexe (mAAIE) - Examen</t>
  </si>
  <si>
    <t>Managementul proiectelor complexe (mMP) - Examen</t>
  </si>
  <si>
    <t>Studii tehnico-economice pentru proiecte (mMP) - Examen</t>
  </si>
  <si>
    <t>Antreprenoriat și dezvoltarea afacerilor industriale (mMAI) - Examen</t>
  </si>
  <si>
    <t>Managementul proiectelor (IEI) - Evaluare periodică proiect</t>
  </si>
  <si>
    <t>Managementul investițiilor (IEDM) - Evaluare periodică proiect</t>
  </si>
  <si>
    <t>Analiza proiectelor de investiții (IEI) - Evaluare periodică proiect</t>
  </si>
  <si>
    <t>Managementul proiectelor de mediu - Evaluare proiect</t>
  </si>
  <si>
    <t>Managementul proiectelor de mediu - Evaluare periodică curs</t>
  </si>
  <si>
    <t>Managementul proiectelor de mediu - Examen</t>
  </si>
  <si>
    <t>Managementul proiectelor de mediu - Proiect - Restanță</t>
  </si>
  <si>
    <t>Managementul proiectelor de mediu - Curs- Restanță</t>
  </si>
  <si>
    <t>Studii tehnico-economice pentru proiecte (mMP) - Restanță</t>
  </si>
  <si>
    <t>Antreprenoriat și dezvoltarea afacerilor industriale (mMAI) - Restanță</t>
  </si>
  <si>
    <t>Evaluare pe parcurs, curs Manag. Productiei si serviciilor an III IEDM, 45 stud</t>
  </si>
  <si>
    <t>45X0,33</t>
  </si>
  <si>
    <t>Examen finală, curs Manag. Productiei si serviciilor an III IEDM, 45 stud</t>
  </si>
  <si>
    <t>45x0,33</t>
  </si>
  <si>
    <t>Restanta, curs Manag. Productiei si serviciilor an III IEDM</t>
  </si>
  <si>
    <t>0,25x45/3</t>
  </si>
  <si>
    <t>Reexaminare, curs Manag. Productiei si serviciilor an III IEDM</t>
  </si>
  <si>
    <t>0,1x45/3</t>
  </si>
  <si>
    <t>Evaluare pe parcurs curs Managementul Productiei an III IEI, 19 stud</t>
  </si>
  <si>
    <t>19x0,33</t>
  </si>
  <si>
    <t>Examen finală, curs Manag. Productiei an III IEI, 19 stud</t>
  </si>
  <si>
    <t>Restanta, curs Manag. Productiei an III IEI</t>
  </si>
  <si>
    <t>0,25x19/3</t>
  </si>
  <si>
    <t>Reexaminare, curs Managementul Productiei, an III IEI</t>
  </si>
  <si>
    <t>0,1x19/3</t>
  </si>
  <si>
    <t>Evaluare pe parcurs, curs Antreprenoriat si dezvoltarea afacerilor, an I master MAI, 30 stud</t>
  </si>
  <si>
    <t>30x0,33</t>
  </si>
  <si>
    <t>Evaluare finală, curs Antreprenoriat si dezvoltarea afacerilor, an I master MAI, 30 stud</t>
  </si>
  <si>
    <t>Restanta, curs Antreprenoriat si dezvoltarea afacerilor, an I master MAI</t>
  </si>
  <si>
    <t>0,25x30/3</t>
  </si>
  <si>
    <t>Reexaminare, curs Antreprenoriat si dezvoltarea afacerilor, an I master MAI</t>
  </si>
  <si>
    <t>0,1x30/3</t>
  </si>
  <si>
    <t>Evaluare pe parcurs, Managementul proiectelor complexe, an I master MAI, 30 stud</t>
  </si>
  <si>
    <t>Evaluare finala, Managementul proiectelor complexe, an I master MAI, 30 stud</t>
  </si>
  <si>
    <t>Restanta, Managementul proiectelor complexe, an I master MAI</t>
  </si>
  <si>
    <t>Reexaminare, Managementul proiectelor complexe, an I master MAI</t>
  </si>
  <si>
    <t>Evaluare pe parcurs, Designul proiectelor complexe, an I master MP</t>
  </si>
  <si>
    <t>Evaluare finală, Designul proiectelor complexe, an I master MP</t>
  </si>
  <si>
    <t>Restanță, Designul proiectelor complexe, an I master MP</t>
  </si>
  <si>
    <t>Reexaminare, Designul proiectelor complexe, an I master MP</t>
  </si>
  <si>
    <t>Admitere master domeniu Inginerie si Management, proba orală</t>
  </si>
  <si>
    <t>100/3 x 2</t>
  </si>
  <si>
    <t>Admitere doctorat domeniu Management</t>
  </si>
  <si>
    <t>12/3x3</t>
  </si>
  <si>
    <t>Examen licență IEDM zi</t>
  </si>
  <si>
    <t>53/3x2</t>
  </si>
  <si>
    <t>Examen licență IEDM ID</t>
  </si>
  <si>
    <t>40/3x2x0,8</t>
  </si>
  <si>
    <t>Examen disertație master MAI</t>
  </si>
  <si>
    <t>24/3x3x0,8</t>
  </si>
  <si>
    <t>Examen disertatie master MP</t>
  </si>
  <si>
    <t>22/3x3x0,8</t>
  </si>
  <si>
    <t>Examen disertatie master MPMA (Fac. SAIAPM)</t>
  </si>
  <si>
    <t>18/3x3x0,8</t>
  </si>
  <si>
    <t>Evaluare de parcurs (curs si seminar) + examen de semestru</t>
  </si>
  <si>
    <t>2 x 16</t>
  </si>
  <si>
    <t>3 x 4</t>
  </si>
  <si>
    <t>2 x 7,6(6)</t>
  </si>
  <si>
    <t>3 x 5,3(3)</t>
  </si>
  <si>
    <t>3 x 7</t>
  </si>
  <si>
    <t>3 x 9,3(3)</t>
  </si>
  <si>
    <t xml:space="preserve">Foidas Ion </t>
  </si>
  <si>
    <t>Examen finalizare studii / Disertație IMGN / febr 2022</t>
  </si>
  <si>
    <t>numit prin decizie ULBS</t>
  </si>
  <si>
    <t>3 x 1 st / 3</t>
  </si>
  <si>
    <t>Examen finalizare studii / Disertație IMGN / iulie 2022</t>
  </si>
  <si>
    <t>3 x 22 st / 3</t>
  </si>
  <si>
    <t>Examen finalizare studii / Licenta TDDH/ iulie 2022</t>
  </si>
  <si>
    <t>2x 8 st / 3</t>
  </si>
  <si>
    <t>5,33</t>
  </si>
  <si>
    <t>Examen finalizare studii / Licenta TDDH/ martie 2022</t>
  </si>
  <si>
    <t>2x 1 st /3</t>
  </si>
  <si>
    <t>0,66</t>
  </si>
  <si>
    <t>Examen de semestru: Economisirea hidrocarburilor / IV TDDH / curs</t>
  </si>
  <si>
    <t>11st /3</t>
  </si>
  <si>
    <t>3,66</t>
  </si>
  <si>
    <t>Reexaminare: Managementul forajului / I IMGN/ curs</t>
  </si>
  <si>
    <t>10% 31 st /3</t>
  </si>
  <si>
    <t>Reexaminare: Tehn. specif. realiz. retelelor de transport gaze/ I IMGN/ curs</t>
  </si>
  <si>
    <t>Reexaminare: Forajul sondelor  III TDDH/ curs</t>
  </si>
  <si>
    <t>10% 24 st /3</t>
  </si>
  <si>
    <t>0,80</t>
  </si>
  <si>
    <t>Reexaminare: Geologie generala si statigrafica  III TDDH/ curs</t>
  </si>
  <si>
    <t>Reexaminare: Extractia si prelucrarea hidrocarburilor  III TDDH/ curs</t>
  </si>
  <si>
    <t>Restanta: Tehn. specif. realiz. retelelor de transport gaze/ I IMGN/ curs</t>
  </si>
  <si>
    <t>25% 31 st /3</t>
  </si>
  <si>
    <t>Restanta: Calitatea gazelor naturale/ I IMGN/ curs</t>
  </si>
  <si>
    <t>asistent</t>
  </si>
  <si>
    <t>50% 25% 31 st/3</t>
  </si>
  <si>
    <t>Restanta: Extractia si prelucrarea hidrocarburilor  III TDDH/ curs</t>
  </si>
  <si>
    <t>25% 24 st /3</t>
  </si>
  <si>
    <t>Examen: Extractia si prelucrarea hidrocarburilor  III TDDH/ curs</t>
  </si>
  <si>
    <t xml:space="preserve"> 24 st /3</t>
  </si>
  <si>
    <t>8,00</t>
  </si>
  <si>
    <t>Examen: Calitatea gazelor naturale/ I IMGN/ curs</t>
  </si>
  <si>
    <t>50%  31 st/3</t>
  </si>
  <si>
    <t>Examen: Tehn. specif. realiz. retelelor de transport gaze/ I IMGN/ curs</t>
  </si>
  <si>
    <t xml:space="preserve">  31 st/3</t>
  </si>
  <si>
    <t>Restanta: Economisirea hidrocarburilor / IV TDDH / curs</t>
  </si>
  <si>
    <t>25%11 st /3</t>
  </si>
  <si>
    <t>0,91</t>
  </si>
  <si>
    <t>Examen: Forajul sondelor  III TDDH/ curs</t>
  </si>
  <si>
    <t>Examen: Geologie generala si statigrafica  III TDDH/ curs</t>
  </si>
  <si>
    <t>Examen: Managementul forajului / I IMGN/ curs</t>
  </si>
  <si>
    <t>Concurs admitere master IMGN, sept 2022</t>
  </si>
  <si>
    <t xml:space="preserve">  22 st/3</t>
  </si>
  <si>
    <t>7,33</t>
  </si>
  <si>
    <t>Concurs admitere master IMGN, iulie, 2022</t>
  </si>
  <si>
    <t>15 st/3</t>
  </si>
  <si>
    <t>Colocviu</t>
  </si>
  <si>
    <t>III IPMI = 17 stud/3= 5.66
III IEDM (seminar NB) = 45 stud/3*0.5 = 7.5</t>
  </si>
  <si>
    <t>Examen</t>
  </si>
  <si>
    <t>I mMC (seminar NB) = 29 stud/3*0.5 = 9.66</t>
  </si>
  <si>
    <t>II IEI = 23 stud/3*0.5= 3.83
II IEDM = 39 stud/3*0.5= 6.5
IV IEDM = 53 stud/3*0.5 = 8.83</t>
  </si>
  <si>
    <t>Restanță</t>
  </si>
  <si>
    <t>(13.16+4.83)/4</t>
  </si>
  <si>
    <t>(19.16/4)*0.5</t>
  </si>
  <si>
    <t>Reexaminre</t>
  </si>
  <si>
    <t>Disertatie</t>
  </si>
  <si>
    <t>17 stud disertatie mMC/3*coef 3 = 17</t>
  </si>
  <si>
    <t>Evaluare parcurs Trafic rutier</t>
  </si>
  <si>
    <t>Examen Trafic rutier</t>
  </si>
  <si>
    <t>Examen Infrastructura rutiera</t>
  </si>
  <si>
    <t>Evaluare parcurs Logistica</t>
  </si>
  <si>
    <t>Examen Logistica</t>
  </si>
  <si>
    <t>Examen Logistica transporturilor</t>
  </si>
  <si>
    <t>Examen finalizare a studiilor de licenta ITT</t>
  </si>
  <si>
    <t>Examen finalizare a studiilor de masterat LI</t>
  </si>
  <si>
    <t>Examen finalizare a studiilor de licenta STIF</t>
  </si>
  <si>
    <t>Proba de verificare a cunostintelor- master iulie</t>
  </si>
  <si>
    <t>Evaluări de parcurs</t>
  </si>
  <si>
    <t>Examene de semestru</t>
  </si>
  <si>
    <t xml:space="preserve">Examene de finalizare a studiilor </t>
  </si>
  <si>
    <t>Examen Ingineria calitatii IEDM3 + IEI3</t>
  </si>
  <si>
    <t>Form studii 2021/2022 (IEDM+IEI) = 64 studenti</t>
  </si>
  <si>
    <t>Examen Tehnici si instrumente ale calitatii</t>
  </si>
  <si>
    <t>Form studii 2021/2022 (MC) = 29 studenti</t>
  </si>
  <si>
    <t>Examen Politici si mecanisme in domeniul calitatii</t>
  </si>
  <si>
    <t>Admitere Master MPE+MAI+MC</t>
  </si>
  <si>
    <t xml:space="preserve">Liste admitere  iulie, sept - 172 </t>
  </si>
  <si>
    <t>Admitere Doctorat</t>
  </si>
  <si>
    <t>Liste admitere  iulie, sept - 5</t>
  </si>
  <si>
    <t>Disertatie Maser MC 2022</t>
  </si>
  <si>
    <t>PV examen disertatie - 17 studenti</t>
  </si>
  <si>
    <t>Examen de semestru - CACR - 2 ITT</t>
  </si>
  <si>
    <t>Examen de semestru - MAI - 3 ITT</t>
  </si>
  <si>
    <t>asistent netitular</t>
  </si>
  <si>
    <t>Examen de semestru - SNPT - 4 ITT</t>
  </si>
  <si>
    <t>Examen de semestru - SST - 4 ITT</t>
  </si>
  <si>
    <t>Examen de semestru - ICCC - 2 ITT</t>
  </si>
  <si>
    <t>Examen de semestru - TR - 3 ITT</t>
  </si>
  <si>
    <t>Examen de semestru - TIC - 1 mMC</t>
  </si>
  <si>
    <t>Examen de finalizare a studiilor - licență - ITT</t>
  </si>
  <si>
    <t>Examen de finalizare a studiilor - masterat - MC</t>
  </si>
  <si>
    <t>Examen sem.I 2022</t>
  </si>
  <si>
    <t>Asistent al titularului</t>
  </si>
  <si>
    <t>COLOCVIU sem.I 2022</t>
  </si>
  <si>
    <t>Restante sem I.2022</t>
  </si>
  <si>
    <t>Examen sem.II 2022</t>
  </si>
  <si>
    <t>Restante sem.II 2022</t>
  </si>
  <si>
    <t>Reexaminari sept.2022</t>
  </si>
  <si>
    <t>Disertatie IMGN feb 2022</t>
  </si>
  <si>
    <t>secretar comisie</t>
  </si>
  <si>
    <t>Disertatie IMGN iulie 2022</t>
  </si>
  <si>
    <t>Licenta TDDH feb 2022</t>
  </si>
  <si>
    <t>Licenta TDDH iulie 2022</t>
  </si>
  <si>
    <t>FING</t>
  </si>
  <si>
    <r>
      <rPr>
        <sz val="10"/>
        <color theme="1"/>
        <rFont val="Arial Narrow"/>
      </rPr>
      <t xml:space="preserve">Evaluare pe parcurs, examen semestru, restanta, reexaminari Curs </t>
    </r>
    <r>
      <rPr>
        <b/>
        <sz val="10"/>
        <color theme="1"/>
        <rFont val="Arial Narrow"/>
      </rPr>
      <t>Tranzacţii Comerciale an III IEDM 
45 studenţi</t>
    </r>
  </si>
  <si>
    <t>45/3+45/3+(45x25%)/3+(45x10%)/3</t>
  </si>
  <si>
    <r>
      <rPr>
        <sz val="10"/>
        <color theme="1"/>
        <rFont val="Arial Narrow"/>
      </rPr>
      <t xml:space="preserve">Evaluare pe parcurs, examen semestru, restanta, reexaminari Curs </t>
    </r>
    <r>
      <rPr>
        <b/>
        <sz val="10"/>
        <color theme="1"/>
        <rFont val="Arial Narrow"/>
      </rPr>
      <t>Comportamentul Consumatorului an IV IEI 
19 studenţi</t>
    </r>
  </si>
  <si>
    <t>19/3+19/3+(19x25%)/3+(19x10%)/3</t>
  </si>
  <si>
    <r>
      <rPr>
        <sz val="10"/>
        <color theme="1"/>
        <rFont val="Arial Narrow"/>
      </rPr>
      <t>Evaluare pe parcurs, examen semestru, restanta, reexaminari</t>
    </r>
    <r>
      <rPr>
        <b/>
        <sz val="10"/>
        <color theme="1"/>
        <rFont val="Arial Narrow"/>
      </rPr>
      <t xml:space="preserve"> Curs Bazele Managementului an I IEDM + an I IEI 
32 + 21 = 53 studenţi</t>
    </r>
  </si>
  <si>
    <t>53/3+53/3+(53x25%)/3+(53x10%)/3</t>
  </si>
  <si>
    <r>
      <rPr>
        <sz val="10"/>
        <color theme="1"/>
        <rFont val="Arial Narrow"/>
      </rPr>
      <t xml:space="preserve">Evaluare pe parcurs, examen semestru, restanta, reexaminari Curs </t>
    </r>
    <r>
      <rPr>
        <b/>
        <sz val="10"/>
        <color theme="1"/>
        <rFont val="Arial Narrow"/>
      </rPr>
      <t xml:space="preserve">Management Strategic an IV IEDM + an VI IEI  </t>
    </r>
    <r>
      <rPr>
        <sz val="10"/>
        <color theme="1"/>
        <rFont val="Arial Narrow"/>
      </rPr>
      <t xml:space="preserve">
</t>
    </r>
    <r>
      <rPr>
        <b/>
        <sz val="10"/>
        <color theme="1"/>
        <rFont val="Arial Narrow"/>
      </rPr>
      <t>53 + 19 = 72 studenţi</t>
    </r>
  </si>
  <si>
    <t>72/3+72/3+(72x25%)/3+(72x10%)/3</t>
  </si>
  <si>
    <r>
      <rPr>
        <sz val="10"/>
        <color theme="1"/>
        <rFont val="Arial Narrow"/>
      </rPr>
      <t>Evaluare pe parcurs, examen semestru, restanta, reexaminari Aplicaţii</t>
    </r>
    <r>
      <rPr>
        <b/>
        <sz val="10"/>
        <color theme="1"/>
        <rFont val="Arial Narrow"/>
      </rPr>
      <t xml:space="preserve"> Leadership în organizaţii  an I mMAI 
30 studenţi</t>
    </r>
  </si>
  <si>
    <t>titular examen / asistent cf. normei de bază</t>
  </si>
  <si>
    <t>30/3+(30/3x0,5)+(30x25%)/3x0,5+(30x10%)/3x0,5</t>
  </si>
  <si>
    <r>
      <rPr>
        <sz val="10"/>
        <color theme="1"/>
        <rFont val="Arial Narrow"/>
      </rPr>
      <t>Evaluare pe parcurs, examen semestru, restanta, reexaminari Aplicaţii</t>
    </r>
    <r>
      <rPr>
        <b/>
        <sz val="10"/>
        <color theme="1"/>
        <rFont val="Arial Narrow"/>
      </rPr>
      <t xml:space="preserve"> Leadership în proiecte  an I mMP 
28 studenţi</t>
    </r>
  </si>
  <si>
    <t>28/3+(28/3x0,5)+(28x25%)/3x0,5+(28x10%)/3x0,5</t>
  </si>
  <si>
    <t>Comisie examen proiect de diplomă IEDM 04-05.07.2022</t>
  </si>
  <si>
    <t>54/3x2+1/3x2</t>
  </si>
  <si>
    <t>Comisie examen proiect de diplomă IEI 07.07.2022</t>
  </si>
  <si>
    <t>19/3x2</t>
  </si>
  <si>
    <t>Comisie examen proiect de diplomă IEDM+ID</t>
  </si>
  <si>
    <t>(33+3)/3x2</t>
  </si>
  <si>
    <t>Comisie examen disertaţie MAI</t>
  </si>
  <si>
    <t>20/3x3</t>
  </si>
  <si>
    <t>Comisie examen disertaţie MPE 06.07.2022</t>
  </si>
  <si>
    <t>11/3x3</t>
  </si>
  <si>
    <t>Comisie examen disertaţie LI 24.02.2022,14.07.2022</t>
  </si>
  <si>
    <t>10/3x3+1/3x3</t>
  </si>
  <si>
    <t>Comisie probă verificarea cunoştinţelor master</t>
  </si>
  <si>
    <t>(57+90)/3x2</t>
  </si>
  <si>
    <r>
      <rPr>
        <sz val="10"/>
        <color theme="1"/>
        <rFont val="Arial Narrow"/>
      </rPr>
      <t xml:space="preserve">Examen de disertație - Managementul Afacerilor Industriale, 06.07.2022, 20 absolvenți; </t>
    </r>
    <r>
      <rPr>
        <b/>
        <sz val="10"/>
        <color theme="1"/>
        <rFont val="Arial Narrow"/>
      </rPr>
      <t>20 / 3 x 3,0 puncte</t>
    </r>
  </si>
  <si>
    <t>Membru în comisia de disertație</t>
  </si>
  <si>
    <r>
      <rPr>
        <sz val="10"/>
        <color theme="1"/>
        <rFont val="Arial Narrow"/>
      </rPr>
      <t>Examen de finalizare a Programului Postuniversitar de Formare şi Dezvoltare Profesională Continuă Evaluator de Risc şi Auditor în Domeniul Securităţii şi Sănătăţii în Muncă, 12.02.2022, 20 absolvenți;</t>
    </r>
    <r>
      <rPr>
        <b/>
        <sz val="10"/>
        <color theme="1"/>
        <rFont val="Arial Narrow"/>
      </rPr>
      <t xml:space="preserve"> 20 / 3 x 2,0 puncte</t>
    </r>
  </si>
  <si>
    <t>Secretarul comisiei</t>
  </si>
  <si>
    <r>
      <rPr>
        <sz val="10"/>
        <color theme="1"/>
        <rFont val="Arial Narrow"/>
      </rPr>
      <t xml:space="preserve">Examen de finalizare a Programului Postuniversitar de Formare şi Dezvoltare Profesională Continuă Evaluator de Risc şi Auditor în Domeniul Securităţii şi Sănătăţii în Muncă, 06.07.2022, 19 absolvenți; </t>
    </r>
    <r>
      <rPr>
        <b/>
        <sz val="10"/>
        <color theme="1"/>
        <rFont val="Arial Narrow"/>
      </rPr>
      <t>19 / 3 x 2,0 puncte</t>
    </r>
  </si>
  <si>
    <r>
      <rPr>
        <sz val="10"/>
        <color theme="1"/>
        <rFont val="Arial Narrow"/>
      </rPr>
      <t xml:space="preserve">Evaluare pe parcurs Management și marketing - curs, II IPMI, 17 studenți; </t>
    </r>
    <r>
      <rPr>
        <b/>
        <sz val="10"/>
        <color theme="1"/>
        <rFont val="Arial Narrow"/>
      </rPr>
      <t>17 / 3 puncte</t>
    </r>
  </si>
  <si>
    <r>
      <rPr>
        <sz val="10"/>
        <color theme="1"/>
        <rFont val="Arial Narrow"/>
      </rPr>
      <t xml:space="preserve">Evaluare pe parcurs Management și marketing - seminar, II IPMI, 17 studenți; </t>
    </r>
    <r>
      <rPr>
        <b/>
        <sz val="10"/>
        <color theme="1"/>
        <rFont val="Arial Narrow"/>
      </rPr>
      <t>17 / 3 puncte</t>
    </r>
  </si>
  <si>
    <r>
      <rPr>
        <sz val="10"/>
        <color theme="1"/>
        <rFont val="Arial Narrow"/>
      </rPr>
      <t xml:space="preserve">Examen Management și marketing, II IPMI, 17 studenți; </t>
    </r>
    <r>
      <rPr>
        <b/>
        <sz val="10"/>
        <color theme="1"/>
        <rFont val="Arial Narrow"/>
      </rPr>
      <t>17 / 3 puncte</t>
    </r>
  </si>
  <si>
    <r>
      <rPr>
        <sz val="10"/>
        <color theme="1"/>
        <rFont val="Arial Narrow"/>
      </rPr>
      <t xml:space="preserve">Restanță Management și marketing, II IPMI, 25% x 17 studenți; </t>
    </r>
    <r>
      <rPr>
        <b/>
        <sz val="10"/>
        <color theme="1"/>
        <rFont val="Arial Narrow"/>
      </rPr>
      <t>0,25 x 17 / 3 puncte</t>
    </r>
  </si>
  <si>
    <r>
      <rPr>
        <sz val="10"/>
        <color theme="1"/>
        <rFont val="Arial Narrow"/>
      </rPr>
      <t xml:space="preserve">Evaluare pe parcurs Management și marketing - curs, II TDDH, 24 studenți; </t>
    </r>
    <r>
      <rPr>
        <b/>
        <sz val="10"/>
        <color theme="1"/>
        <rFont val="Arial Narrow"/>
      </rPr>
      <t>24 / 3 puncte</t>
    </r>
  </si>
  <si>
    <r>
      <rPr>
        <sz val="10"/>
        <color theme="1"/>
        <rFont val="Arial Narrow"/>
      </rPr>
      <t xml:space="preserve">Evaluare pe parcurs Management și marketing - seminar, II TDDH, 24 studenți; </t>
    </r>
    <r>
      <rPr>
        <b/>
        <sz val="10"/>
        <color theme="1"/>
        <rFont val="Arial Narrow"/>
      </rPr>
      <t>24 / 3 puncte</t>
    </r>
  </si>
  <si>
    <r>
      <rPr>
        <sz val="10"/>
        <color theme="1"/>
        <rFont val="Arial Narrow"/>
      </rPr>
      <t xml:space="preserve">Colocviu Management și marketing, II TDDH, 24 studenți; </t>
    </r>
    <r>
      <rPr>
        <b/>
        <sz val="10"/>
        <color theme="1"/>
        <rFont val="Arial Narrow"/>
      </rPr>
      <t>24 / 3 puncte</t>
    </r>
  </si>
  <si>
    <r>
      <rPr>
        <sz val="10"/>
        <color theme="1"/>
        <rFont val="Arial Narrow"/>
      </rPr>
      <t xml:space="preserve">Restanță Management și marketing, II TDDH, 25% x 24 studenți; </t>
    </r>
    <r>
      <rPr>
        <b/>
        <sz val="10"/>
        <color theme="1"/>
        <rFont val="Arial Narrow"/>
      </rPr>
      <t>0,25 x 24 / 3 puncte</t>
    </r>
  </si>
  <si>
    <r>
      <rPr>
        <sz val="10"/>
        <color theme="1"/>
        <rFont val="Arial Narrow"/>
      </rPr>
      <t xml:space="preserve">Evaluare pe parcurs seminar Marketing, I IEDM, 32 studenți; </t>
    </r>
    <r>
      <rPr>
        <b/>
        <sz val="10"/>
        <color theme="1"/>
        <rFont val="Arial Narrow"/>
      </rPr>
      <t>32 / 3 puncte</t>
    </r>
  </si>
  <si>
    <r>
      <rPr>
        <sz val="10"/>
        <color theme="1"/>
        <rFont val="Arial Narrow"/>
      </rPr>
      <t xml:space="preserve">Examen Marketing, I IEDM, 32 studenți; </t>
    </r>
    <r>
      <rPr>
        <b/>
        <sz val="10"/>
        <color theme="1"/>
        <rFont val="Arial Narrow"/>
      </rPr>
      <t>32 / 3 x 0,5 puncte</t>
    </r>
  </si>
  <si>
    <r>
      <rPr>
        <sz val="10"/>
        <color theme="1"/>
        <rFont val="Arial Narrow"/>
      </rPr>
      <t xml:space="preserve">Evaluare pe parcurs seminar Marketing, I IEI, 21 studenți; </t>
    </r>
    <r>
      <rPr>
        <b/>
        <sz val="10"/>
        <color theme="1"/>
        <rFont val="Arial Narrow"/>
      </rPr>
      <t>21 / 3 puncte</t>
    </r>
  </si>
  <si>
    <r>
      <rPr>
        <sz val="10"/>
        <color theme="1"/>
        <rFont val="Arial Narrow"/>
      </rPr>
      <t xml:space="preserve">Examen Marketing, I IEI, 21 studenți; </t>
    </r>
    <r>
      <rPr>
        <b/>
        <sz val="10"/>
        <color theme="1"/>
        <rFont val="Arial Narrow"/>
      </rPr>
      <t>21 / 3 x 0,5 puncte</t>
    </r>
  </si>
  <si>
    <r>
      <rPr>
        <sz val="10"/>
        <color theme="1"/>
        <rFont val="Arial Narrow"/>
      </rPr>
      <t xml:space="preserve">Evaluare pe parcurs laborator Managementul marketingului, II master MC, 23 studenți; </t>
    </r>
    <r>
      <rPr>
        <b/>
        <sz val="10"/>
        <color theme="1"/>
        <rFont val="Arial Narrow"/>
      </rPr>
      <t>23 / 3 puncte</t>
    </r>
  </si>
  <si>
    <r>
      <rPr>
        <sz val="10"/>
        <color theme="1"/>
        <rFont val="Arial Narrow"/>
      </rPr>
      <t xml:space="preserve">Examen Managementul marketingului, II master MC, 23 studenți; </t>
    </r>
    <r>
      <rPr>
        <b/>
        <sz val="10"/>
        <color theme="1"/>
        <rFont val="Arial Narrow"/>
      </rPr>
      <t>23 / 3 x 0,5 puncte</t>
    </r>
  </si>
  <si>
    <t>Titular examen/ Asistent cf. normei de bază</t>
  </si>
  <si>
    <r>
      <rPr>
        <sz val="10"/>
        <color theme="1"/>
        <rFont val="Arial Narrow"/>
      </rPr>
      <t xml:space="preserve">Restanță Managementul marketingului, II master MC, 25% x 23 studenți; </t>
    </r>
    <r>
      <rPr>
        <b/>
        <sz val="10"/>
        <color theme="1"/>
        <rFont val="Arial Narrow"/>
      </rPr>
      <t>0,25 x 23 / 3 x 0,5 puncte</t>
    </r>
  </si>
  <si>
    <r>
      <rPr>
        <sz val="10"/>
        <color theme="1"/>
        <rFont val="Arial Narrow"/>
      </rPr>
      <t xml:space="preserve">Evaluare pe parcurs laborator Managementul marketingului, II master MAI, 24 studenți; </t>
    </r>
    <r>
      <rPr>
        <b/>
        <sz val="10"/>
        <color theme="1"/>
        <rFont val="Arial Narrow"/>
      </rPr>
      <t>24 / 3 puncte</t>
    </r>
  </si>
  <si>
    <r>
      <rPr>
        <sz val="10"/>
        <color theme="1"/>
        <rFont val="Arial Narrow"/>
      </rPr>
      <t xml:space="preserve">Examen Managementul marketingului, II master MAI, 24 studenți; </t>
    </r>
    <r>
      <rPr>
        <b/>
        <sz val="10"/>
        <color theme="1"/>
        <rFont val="Arial Narrow"/>
      </rPr>
      <t>24 / 3 x 0,5 puncte</t>
    </r>
  </si>
  <si>
    <r>
      <rPr>
        <sz val="10"/>
        <color theme="1"/>
        <rFont val="Arial Narrow"/>
      </rPr>
      <t xml:space="preserve">Restanță Managementul marketingului, II master MAI, 25% x 24 studenți; </t>
    </r>
    <r>
      <rPr>
        <b/>
        <sz val="10"/>
        <color theme="1"/>
        <rFont val="Arial Narrow"/>
      </rPr>
      <t>0,25 x 24 / 3 x 0,5 puncte</t>
    </r>
  </si>
  <si>
    <r>
      <rPr>
        <sz val="10"/>
        <color theme="1"/>
        <rFont val="Arial Narrow"/>
      </rPr>
      <t xml:space="preserve">Evaluare pe parcurs Marketing industrial - curs, III C, 87 studenți; </t>
    </r>
    <r>
      <rPr>
        <b/>
        <sz val="10"/>
        <color theme="1"/>
        <rFont val="Arial Narrow"/>
      </rPr>
      <t>87 / 3 puncte</t>
    </r>
  </si>
  <si>
    <r>
      <rPr>
        <sz val="10"/>
        <color theme="1"/>
        <rFont val="Arial Narrow"/>
      </rPr>
      <t xml:space="preserve">Colocviu Marketing industrial, III C, 87 studenți; </t>
    </r>
    <r>
      <rPr>
        <b/>
        <sz val="10"/>
        <color theme="1"/>
        <rFont val="Arial Narrow"/>
      </rPr>
      <t>87 / 3 puncte</t>
    </r>
  </si>
  <si>
    <r>
      <rPr>
        <sz val="10"/>
        <color theme="1"/>
        <rFont val="Arial Narrow"/>
      </rPr>
      <t xml:space="preserve">Restanță Marketing industrial, III C, 25% x 87 studenți; </t>
    </r>
    <r>
      <rPr>
        <b/>
        <sz val="10"/>
        <color theme="1"/>
        <rFont val="Arial Narrow"/>
      </rPr>
      <t>0,25 x 87 / 3 puncte</t>
    </r>
  </si>
  <si>
    <r>
      <rPr>
        <sz val="10"/>
        <color theme="1"/>
        <rFont val="Arial Narrow"/>
      </rPr>
      <t xml:space="preserve">Evaluare pe parcurs Marketing industrial - curs, III TI, 36 studenți; </t>
    </r>
    <r>
      <rPr>
        <b/>
        <sz val="10"/>
        <color theme="1"/>
        <rFont val="Arial Narrow"/>
      </rPr>
      <t>36 / 3 puncte</t>
    </r>
  </si>
  <si>
    <r>
      <rPr>
        <sz val="10"/>
        <color theme="1"/>
        <rFont val="Arial Narrow"/>
      </rPr>
      <t xml:space="preserve">Colocviu Marketing industrial, III TI, 36 studenți; </t>
    </r>
    <r>
      <rPr>
        <b/>
        <sz val="10"/>
        <color theme="1"/>
        <rFont val="Arial Narrow"/>
      </rPr>
      <t>36 / 3 puncte</t>
    </r>
  </si>
  <si>
    <r>
      <rPr>
        <sz val="10"/>
        <color theme="1"/>
        <rFont val="Arial Narrow"/>
      </rPr>
      <t xml:space="preserve">Restanță Marketing industrial, III TI, 25% x 36 studenți; </t>
    </r>
    <r>
      <rPr>
        <b/>
        <sz val="10"/>
        <color theme="1"/>
        <rFont val="Arial Narrow"/>
      </rPr>
      <t>0,25 x 36 / 3 puncte</t>
    </r>
  </si>
  <si>
    <r>
      <rPr>
        <sz val="10"/>
        <color theme="1"/>
        <rFont val="Arial Narrow"/>
      </rPr>
      <t xml:space="preserve">Evaluare pe parcurs Cultură organizațională - curs, IV IEDM, 53 studenți; </t>
    </r>
    <r>
      <rPr>
        <b/>
        <sz val="10"/>
        <color theme="1"/>
        <rFont val="Arial Narrow"/>
      </rPr>
      <t>53 / 3 puncte</t>
    </r>
  </si>
  <si>
    <r>
      <rPr>
        <sz val="10"/>
        <color theme="1"/>
        <rFont val="Arial Narrow"/>
      </rPr>
      <t xml:space="preserve">Colocviu Cultură organizațională IV IEDM, 53 studenți; </t>
    </r>
    <r>
      <rPr>
        <b/>
        <sz val="10"/>
        <color theme="1"/>
        <rFont val="Arial Narrow"/>
      </rPr>
      <t>53/3 puncte</t>
    </r>
  </si>
  <si>
    <r>
      <rPr>
        <sz val="10"/>
        <color theme="1"/>
        <rFont val="Arial Narrow"/>
      </rPr>
      <t xml:space="preserve">Restanță Cultură organizațională IV IEDM, 25% x 53 studenți; </t>
    </r>
    <r>
      <rPr>
        <b/>
        <sz val="10"/>
        <color theme="1"/>
        <rFont val="Arial Narrow"/>
      </rPr>
      <t>0,25 x 53 / 3 puncte</t>
    </r>
  </si>
  <si>
    <t>Evaluare de parcurs - Laborator BAGS 1 (II-TCM)</t>
  </si>
  <si>
    <t>46 / 3 = 15,12</t>
  </si>
  <si>
    <t>Examen de semestru BAGS 1 (II-TCM)</t>
  </si>
  <si>
    <t>Restanta BAGS 1 (II-TCM)</t>
  </si>
  <si>
    <t>46 / 3 * 25% = 3,833</t>
  </si>
  <si>
    <t>Reexaminare BAGS 1 (II-TCM)</t>
  </si>
  <si>
    <t>46 / 3 * 10% = 1,533</t>
  </si>
  <si>
    <t>Evaluare de parcurs - Laborator PLM (I-mSTIF) - (NB_Laborator)</t>
  </si>
  <si>
    <t>Prof. asistent</t>
  </si>
  <si>
    <t>27 / 3 * 0,5 = 4,5</t>
  </si>
  <si>
    <t>Examen de semestru - PLM (I-mSTIF) - (NB_Laborator)</t>
  </si>
  <si>
    <t>Restanta PLM (I-mSTIF) - (NB_Laborator)</t>
  </si>
  <si>
    <t>27 / 3 * 25% * 0,5 = 1,125</t>
  </si>
  <si>
    <t>Reexaminare PLM (I-mSTIF) - (NB_Laborator)</t>
  </si>
  <si>
    <t>27 / 3 * 10% * 0,5 = 0,45</t>
  </si>
  <si>
    <t>Evaluare de parcurs - Laborator BAGS 1 (II-SPD)</t>
  </si>
  <si>
    <t>27 / 3 = 9</t>
  </si>
  <si>
    <t>Examen de semestru BAGS 1 (II-SPD)</t>
  </si>
  <si>
    <t>Restanta BAGS 1 (II-SPD)</t>
  </si>
  <si>
    <t>27 / 3 * 25% = 2,25</t>
  </si>
  <si>
    <t>Reexaminare BAGS 1 (II-SPD)</t>
  </si>
  <si>
    <t>27 / 3 * 10% = 0,9</t>
  </si>
  <si>
    <t>Evaluare de parcurs - Laborator Prelucrari prin așchiere (II-IEDM)</t>
  </si>
  <si>
    <t>39 / 3 = 13</t>
  </si>
  <si>
    <t>Examen de semestru Prelucrari prin așchiere (II-IEDM)</t>
  </si>
  <si>
    <t>Restanta Prelucrari prin așchiere (II-IEDM)</t>
  </si>
  <si>
    <t>39 / 3 * 25% = 3,25</t>
  </si>
  <si>
    <t>Reexaminare Prelucrari prin așchiere (II-IEDM)</t>
  </si>
  <si>
    <t>39 / 3 * 10% = 1,3</t>
  </si>
  <si>
    <t>Evaluare de parcurs - Laborator Scule aschitoare (III-SPD)</t>
  </si>
  <si>
    <r>
      <rPr>
        <b/>
        <sz val="10"/>
        <color theme="1"/>
        <rFont val="Arial Narrow"/>
      </rPr>
      <t xml:space="preserve">Titular </t>
    </r>
    <r>
      <rPr>
        <sz val="10"/>
        <color theme="1"/>
        <rFont val="Arial Narrow"/>
      </rPr>
      <t>(singur pentru evaluare de parcurs Laborator)</t>
    </r>
  </si>
  <si>
    <t>12 / 3 = 4</t>
  </si>
  <si>
    <t>Examen de semestru Scule aschitoare (III-SPD)</t>
  </si>
  <si>
    <r>
      <rPr>
        <b/>
        <sz val="10"/>
        <color theme="1"/>
        <rFont val="Arial Narrow"/>
      </rPr>
      <t xml:space="preserve">Prof. asistent </t>
    </r>
    <r>
      <rPr>
        <sz val="10"/>
        <color theme="1"/>
        <rFont val="Arial Narrow"/>
      </rPr>
      <t>(la Beju Livia)</t>
    </r>
  </si>
  <si>
    <t>12 / 3 / 2 = 2</t>
  </si>
  <si>
    <t>Restanta Scule aschitoare (III-SPD)</t>
  </si>
  <si>
    <r>
      <rPr>
        <b/>
        <sz val="10"/>
        <color theme="1"/>
        <rFont val="Arial Narrow"/>
      </rPr>
      <t xml:space="preserve">Prof. asistent </t>
    </r>
    <r>
      <rPr>
        <sz val="10"/>
        <color theme="1"/>
        <rFont val="Arial Narrow"/>
      </rPr>
      <t>(la Beju Livia)</t>
    </r>
  </si>
  <si>
    <t>12 / 3 / 2 * 25% = 0,5</t>
  </si>
  <si>
    <t>Reexaminare Scule aschitoare (III-SPD)</t>
  </si>
  <si>
    <r>
      <rPr>
        <b/>
        <sz val="10"/>
        <color theme="1"/>
        <rFont val="Arial Narrow"/>
      </rPr>
      <t xml:space="preserve">Prof. asistent </t>
    </r>
    <r>
      <rPr>
        <sz val="10"/>
        <color theme="1"/>
        <rFont val="Arial Narrow"/>
      </rPr>
      <t>(la Beju Livia)</t>
    </r>
  </si>
  <si>
    <t>12 / 3 / 2 * 10% = 0,2</t>
  </si>
  <si>
    <t>Evaluare de parcurs - Laborator Scule aschitoare 1 (III-TCM)</t>
  </si>
  <si>
    <r>
      <rPr>
        <b/>
        <sz val="10"/>
        <color theme="1"/>
        <rFont val="Arial Narrow"/>
      </rPr>
      <t xml:space="preserve">Prof. asistent </t>
    </r>
    <r>
      <rPr>
        <sz val="10"/>
        <color theme="1"/>
        <rFont val="Arial Narrow"/>
      </rPr>
      <t>(singur pentru evaluare de parcurs Laborator)</t>
    </r>
  </si>
  <si>
    <t>48 / 3 = 16</t>
  </si>
  <si>
    <t>Examen de semestru Scule aschitoare 1 (III-TCM)</t>
  </si>
  <si>
    <r>
      <rPr>
        <b/>
        <sz val="10"/>
        <color theme="1"/>
        <rFont val="Arial Narrow"/>
      </rPr>
      <t xml:space="preserve">Prof. asistent </t>
    </r>
    <r>
      <rPr>
        <sz val="10"/>
        <color theme="1"/>
        <rFont val="Arial Narrow"/>
      </rPr>
      <t>(la Beju Livia)</t>
    </r>
  </si>
  <si>
    <t>48 / 3 / 2 = 8</t>
  </si>
  <si>
    <t>Restanta Scule aschitoare 1 (III-TCM)</t>
  </si>
  <si>
    <r>
      <rPr>
        <b/>
        <sz val="10"/>
        <color theme="1"/>
        <rFont val="Arial Narrow"/>
      </rPr>
      <t xml:space="preserve">Prof. asistent </t>
    </r>
    <r>
      <rPr>
        <sz val="10"/>
        <color theme="1"/>
        <rFont val="Arial Narrow"/>
      </rPr>
      <t>(la Beju Livia)</t>
    </r>
  </si>
  <si>
    <t>48 / 3 / 2 * 25% = 2</t>
  </si>
  <si>
    <t>Reexaminare Scule aschitoare 1 (III-TCM)</t>
  </si>
  <si>
    <r>
      <rPr>
        <b/>
        <sz val="10"/>
        <color theme="1"/>
        <rFont val="Arial Narrow"/>
      </rPr>
      <t xml:space="preserve">Prof. asistent </t>
    </r>
    <r>
      <rPr>
        <sz val="10"/>
        <color theme="1"/>
        <rFont val="Arial Narrow"/>
      </rPr>
      <t>(la Beju Livia)</t>
    </r>
  </si>
  <si>
    <t>48 / 3 / 2 * 10% = 0,8</t>
  </si>
  <si>
    <t>Evaluare de parcurs - Laborator Scule aschitoare 2 (III-TCM)</t>
  </si>
  <si>
    <r>
      <rPr>
        <b/>
        <sz val="10"/>
        <color theme="1"/>
        <rFont val="Arial Narrow"/>
      </rPr>
      <t xml:space="preserve">Prof. asistent </t>
    </r>
    <r>
      <rPr>
        <sz val="10"/>
        <color theme="1"/>
        <rFont val="Arial Narrow"/>
      </rPr>
      <t>(singur pentru evaluare de   parcurs Laborator)</t>
    </r>
  </si>
  <si>
    <t>Examen de semestru Scule aschitoare 2 (III-TCM)</t>
  </si>
  <si>
    <r>
      <rPr>
        <b/>
        <sz val="10"/>
        <color theme="1"/>
        <rFont val="Arial Narrow"/>
      </rPr>
      <t xml:space="preserve">Prof. asistent </t>
    </r>
    <r>
      <rPr>
        <sz val="10"/>
        <color theme="1"/>
        <rFont val="Arial Narrow"/>
      </rPr>
      <t>(la Beju Livia)</t>
    </r>
  </si>
  <si>
    <t>Restanta Scule aschitoare 2 (III-TCM)</t>
  </si>
  <si>
    <r>
      <rPr>
        <b/>
        <sz val="10"/>
        <color theme="1"/>
        <rFont val="Arial Narrow"/>
      </rPr>
      <t xml:space="preserve">Prof. asistent </t>
    </r>
    <r>
      <rPr>
        <sz val="10"/>
        <color theme="1"/>
        <rFont val="Arial Narrow"/>
      </rPr>
      <t>(la Beju Livia)</t>
    </r>
  </si>
  <si>
    <t>Reexaminare Scule aschitoare 2 (III-TCM)</t>
  </si>
  <si>
    <r>
      <rPr>
        <b/>
        <sz val="10"/>
        <color theme="1"/>
        <rFont val="Arial Narrow"/>
      </rPr>
      <t xml:space="preserve">Prof. asistent </t>
    </r>
    <r>
      <rPr>
        <sz val="10"/>
        <color theme="1"/>
        <rFont val="Arial Narrow"/>
      </rPr>
      <t>(la Beju Livia)</t>
    </r>
  </si>
  <si>
    <t>Evaluare pe parcurs - Teoria probabilităților și statistică matematică - curs - I MecEn -7 studenți</t>
  </si>
  <si>
    <t>Examen - Teoria probabilităților și statistică matematică - I MecEn - 7 studenți</t>
  </si>
  <si>
    <t>Restanță - Teoria probabilităților și statistică matematică - I MecEn - 1 student</t>
  </si>
  <si>
    <t>Evaluare pe parcurs - Metode și mijloace CAI - curs - I mSTIF - 27 studenți</t>
  </si>
  <si>
    <t>Evaluare pe parcurs - Metode și mijloace CAI - laborator - I mSTIF - 27 studenți</t>
  </si>
  <si>
    <t>Examen - Metode și mijloace CAI - I mSTIF - 27 studenți</t>
  </si>
  <si>
    <t>Restanță - Metode și mijloace CAI - I mSTIF - 6 studenți</t>
  </si>
  <si>
    <t>Reexaminare - Metode și mijloace CAI - I mSTIF - 2 studenți</t>
  </si>
  <si>
    <t>Evaluare pe parcurs - Toleranțe și control dimensional 1 - laborator - 4 sgr, II TCM - 46 studenți</t>
  </si>
  <si>
    <t>Evaluare pe parcurs - Toleranțe și control dimensional 1 - laborator - 1 sgr, II SPD - 27 studenți</t>
  </si>
  <si>
    <t>Evaluare pe parcurs - Toleranțe și control dimensional - laborator - 3 sgr, II IEDM - 39 studenți</t>
  </si>
  <si>
    <t>Evaluare pe parcurs - Toleranțe și control dimensional - laborator - 2 sgr, II MEC - 30 studenți</t>
  </si>
  <si>
    <t>Examen - asistență- Toleranțe și control dimensional 1 - 4 sgr, II TCM - 46 studenți</t>
  </si>
  <si>
    <t>6 studenți/punct</t>
  </si>
  <si>
    <t>Examen - asistență- Toleranțe și control dimensional 1 - 1 sgr, II SPD - 27 studenți</t>
  </si>
  <si>
    <t>Examen - asistență- Toleranțe și control dimensional - 3 sgr, II IEDM - 39 studenți</t>
  </si>
  <si>
    <t>Examen - asistență- Toleranțe și control dimensional - 2 sgr, II MEC - 30 studenți</t>
  </si>
  <si>
    <t>Restanță - asistență - Toleranțe și control dimensional 1 - 4 sgr, II TCM - 11 studenți</t>
  </si>
  <si>
    <t>Restanță - asistență - Toleranțe și control dimensional 1 - 1 sgr, II SPD - 6 studenți</t>
  </si>
  <si>
    <t>Restanță - asistență - Toleranțe și control dimensional - 3 sgr, II IEDM - 9 studenți</t>
  </si>
  <si>
    <t>Restanță - asistență - Toleranțe și control dimensional - 2 sgr, II MEC - 7 studenți</t>
  </si>
  <si>
    <t>Examen licență TCM - 38 studenți - iulie 2022</t>
  </si>
  <si>
    <t>Secretar în comisia de licență  - TCM</t>
  </si>
  <si>
    <t>Examen licență TCM - 1 student - februarie 2022</t>
  </si>
  <si>
    <t>Colocviu Management industrial II TCM (2 grupe)</t>
  </si>
  <si>
    <t>Parțial Management industrial II TCM (2 grupe)</t>
  </si>
  <si>
    <t>Colocviu Management industrial II SPD</t>
  </si>
  <si>
    <t>Parțial Management industrial II SPD</t>
  </si>
  <si>
    <t>Examen Managementul IMM - urilor IV IEDM</t>
  </si>
  <si>
    <t>Evaluare parțială Managementul IMM - urilor IV IEDM</t>
  </si>
  <si>
    <t>Examen Afaceri mici și mijlocii IV IEI</t>
  </si>
  <si>
    <t>Evaluare parțială Afaceri mici și mijlocii IV IEI</t>
  </si>
  <si>
    <t>Sustineri proiecte Managementul IMM - urilor IV IEDM</t>
  </si>
  <si>
    <t>Sustineri proiecte Managementul Producției și Serviciilor  III IEDM</t>
  </si>
  <si>
    <t>Susțineri proiecte Managementul producției III IEI</t>
  </si>
  <si>
    <t>Managementul logisticii III IEDM (proiect )</t>
  </si>
  <si>
    <t>Examinare semestrială Managementul Logisticii III IEDM</t>
  </si>
  <si>
    <t>Disertație master MPE iulie 2022</t>
  </si>
  <si>
    <t>Disertație master MAI iulie 2022</t>
  </si>
  <si>
    <t>Asistenta examen  Managementul Producției și Serviciilor  III IEDM</t>
  </si>
  <si>
    <t>asistent titular</t>
  </si>
  <si>
    <t>Asistenta examen Managementul producției III IEI</t>
  </si>
  <si>
    <t xml:space="preserve">Asistenta examen Managementul logisticii III IEDM </t>
  </si>
  <si>
    <t>Examen de semestru TCM an IV  - Tehnici de prezentare</t>
  </si>
  <si>
    <t>37 stud/3 x 2</t>
  </si>
  <si>
    <t>Examen de semestru ITT an IV  - Maşini şi instalaţii pentru manipularea mărfurilor</t>
  </si>
  <si>
    <t>17  stud/3 x 2</t>
  </si>
  <si>
    <t>Examen de semestru ITT an III  - Terminale de Transport</t>
  </si>
  <si>
    <t>28 stud/3 x 2</t>
  </si>
  <si>
    <t>Examen de semestru ITT an II  - Mijloace de transport</t>
  </si>
  <si>
    <t>23 stud/3 x 2</t>
  </si>
  <si>
    <t>Evaluare proiect Transport multimodal an IV, ITT</t>
  </si>
  <si>
    <t>17  stud/3</t>
  </si>
  <si>
    <t>Evaluare pe parcurs TCM an IV  - Tehnici de prezentare (seminar)</t>
  </si>
  <si>
    <t>Evaluare pe parcurs  ITT an IV  - Maşini şi instalaţii pentru manipularea mărfurilor</t>
  </si>
  <si>
    <t>Evaluare pe parcurs  - ITT an III    Terminale de Transport</t>
  </si>
  <si>
    <t>Evaluare pe parcurs  -  ITT an II  - Mijloace de transport</t>
  </si>
  <si>
    <t xml:space="preserve">Examene licenţă (specializarea ITT) - februarie </t>
  </si>
  <si>
    <t>membru în comisia pentru examenele de finalizare a studiilor specializarea Ingineria Transporturilor şi a Traficului</t>
  </si>
  <si>
    <t>2/3 x 2 =</t>
  </si>
  <si>
    <t>Examene licenţă (specializarea ITT) - iulie</t>
  </si>
  <si>
    <t>12/3 x 2 =</t>
  </si>
  <si>
    <t>MECANICA FLUIDELOR -COLOCVIU</t>
  </si>
  <si>
    <t>TITULAR</t>
  </si>
  <si>
    <t>24stud/3=8</t>
  </si>
  <si>
    <t>MECANICA FLUIDELOR -VERIFICARE PE PARCURS CURS</t>
  </si>
  <si>
    <t>MECANICA FLUIDELOR VERIFICARE PE PARCURS SEMINAR</t>
  </si>
  <si>
    <t>MECANICA FLUIDELOR VERIFICARE PE PARCURS LABORATOR SEMIGRUPA 1</t>
  </si>
  <si>
    <t>MECANICA FLUIDELOR RESTANTA</t>
  </si>
  <si>
    <t>0,25*24stud/3=2</t>
  </si>
  <si>
    <t>MECANICA FLUIDELOR REEXAMINARE</t>
  </si>
  <si>
    <t>0,1*24stud/3=0,8</t>
  </si>
  <si>
    <t>COMPRIMAREA SI LICHEFIEREA GAZELOR NATURALE-EXAMEN</t>
  </si>
  <si>
    <t>COMPRIMAREA SI LICHEFIEREA GAZELOR NATURALE- VERIFICARE PE PARCURS CURS</t>
  </si>
  <si>
    <t>COMPRIMAREA SI LICHEFIEREA GAZELOR NATURALE- RESTANTA</t>
  </si>
  <si>
    <t>COMPRIMAREA SI LICHEFIEREA GAZELOR NATURALE- REEXAMINARE</t>
  </si>
  <si>
    <t>POLITICI SI STRATEGII IN INGINERIA GAZELOR NATURALE- EVALUARE</t>
  </si>
  <si>
    <t>29stud/3=9,66</t>
  </si>
  <si>
    <t>HIDRAULICA SUBTERANA -COLOCVIU</t>
  </si>
  <si>
    <t>HIDRAULICA SUBTERANA -VERIFICARE PE PARCURS CURS</t>
  </si>
  <si>
    <t>HIDRAULICA SUBTERANA- VERIFICARE PE PARCURS SEMINAR</t>
  </si>
  <si>
    <t>HIDRAULICA SUBTERANA - VERIFICARE PE PARCURS LABORATOR SEMIGRUPA 1</t>
  </si>
  <si>
    <t>HIDRAULICA SUBTERANA -  VERIFICARE PE PARCURS LABORATOR SEMIGRUPA 2</t>
  </si>
  <si>
    <t>HIDRAULICA SUBTERANA -  RESTANTA</t>
  </si>
  <si>
    <t>HIDRAULICA SUBTERANA - REEXAMINARE</t>
  </si>
  <si>
    <t>Evaluare pe parcurs: Toleranțe și control dimensional 2 / II TCM / curs</t>
  </si>
  <si>
    <t>46 st / 3</t>
  </si>
  <si>
    <t>Evaluare pe parcurs: Toleranțe și control dimensional 2 / II SPD / curs</t>
  </si>
  <si>
    <t>27 st / 3</t>
  </si>
  <si>
    <t>Examen de semestru: Toleranțe și control dimensional 1 / II TCM</t>
  </si>
  <si>
    <t>Examen de semestru: Toleranțe și control dimensional 1 / II SPD</t>
  </si>
  <si>
    <t>Restanțe: Toleranțe și control dimensional 2 / II TCM</t>
  </si>
  <si>
    <t>25% 46 st  / 3 = 11.5 st / 3</t>
  </si>
  <si>
    <t>Reexaminare: Toleranțe și control dimensional 2 / II TCM</t>
  </si>
  <si>
    <t>10% 46 st  / 3 = 4.6 st / 3</t>
  </si>
  <si>
    <t>Restanțe: Toleranțe și control dimensional 2 / II SPD</t>
  </si>
  <si>
    <t>25% 27 st  / 3 = 6.75 st / 3</t>
  </si>
  <si>
    <t>Reexaminare: Toleranțe și control dimensional 2 / II SPD</t>
  </si>
  <si>
    <t>10% 27 st  / 3 =  2.7 st / 3</t>
  </si>
  <si>
    <t>Evaluare pe parcurs: Toleranțe și control dimensional 2 / II TCM- 1 sg / laborator</t>
  </si>
  <si>
    <t>11 st /3</t>
  </si>
  <si>
    <t>Evaluare pe parcurs: Toleranțe și control dimensional 2 / II SPD- 1sg / laborator</t>
  </si>
  <si>
    <t>14 st/3</t>
  </si>
  <si>
    <t>Colocviu: Transport public de persoane/III ITT</t>
  </si>
  <si>
    <t>28 stud/3</t>
  </si>
  <si>
    <t>Restanta Colocviu: Transport public de persoane/III ITT</t>
  </si>
  <si>
    <t>Evaluare pe parcurs: Transport public de persoane / III ITT / curs</t>
  </si>
  <si>
    <t>Evaluare pe parcurs: Transport public de persoane / III ITT / laborator</t>
  </si>
  <si>
    <t>Evaluare pe parcurs: Evaluarea riscurilor si asigurari / IV ITT / curs</t>
  </si>
  <si>
    <t>Evaluare pe parcurs: Evaluarea riscurilor si asigurari / IV ITT/ seminar</t>
  </si>
  <si>
    <t>Colocviu: Evaluarea riscurilor si asigurari / IV ITT</t>
  </si>
  <si>
    <t>Restanta colocviu: Evaluarea riscurilor si asigurari / IV ITT</t>
  </si>
  <si>
    <t>25% 28 stud/3</t>
  </si>
  <si>
    <t>Evaluare pe parcurs: Teoria probabilităților și statistică matematică / I TCM-gr. 111 /seminar</t>
  </si>
  <si>
    <t>30 stud/3</t>
  </si>
  <si>
    <t>Evaluare pe parcurs: Teoria probabilităților și statistică matematică / I TCM-gr. 112 /seminar</t>
  </si>
  <si>
    <t>31 stud/3</t>
  </si>
  <si>
    <t>Evaluare pe parcurs: Teoria probabilităților și statistică matematică / I TCM-gr. 113 /seminar</t>
  </si>
  <si>
    <t>23 stud/3</t>
  </si>
  <si>
    <t>Evaluare pe parcurs: Teoria probabilităților și statistică matematică / I TCM-gr. 115 /seminar</t>
  </si>
  <si>
    <t>24 stud/3</t>
  </si>
  <si>
    <t xml:space="preserve">Examen de semestru: Teoria probabilităților și statistică matematică / I TCM </t>
  </si>
  <si>
    <t>60 st / 3x0,5</t>
  </si>
  <si>
    <t>Restanțe: Teoria probabilităților și statistică matematică / I TCM</t>
  </si>
  <si>
    <t>25% 60 st  / 3 /2</t>
  </si>
  <si>
    <t>Reexaminare: Teoria probabilităților și statistică matematică / I TCM</t>
  </si>
  <si>
    <t>10% 60 st  / 3 /2</t>
  </si>
  <si>
    <t>Evaluare pe parcurs: Teoria probabilităților și statistică matematică / I SPD / curs</t>
  </si>
  <si>
    <t>23 st / 3/2</t>
  </si>
  <si>
    <t xml:space="preserve">Examen de semestru: Teoria probabilităților și statistică matematică / I SPD </t>
  </si>
  <si>
    <t>Restanțe: Teoria probabilităților și statistică matematică / I SPD</t>
  </si>
  <si>
    <t>25% 23 st  / 3 /2</t>
  </si>
  <si>
    <t>Reexaminare: Teoria probabilităților și statistică matematică / I SPD</t>
  </si>
  <si>
    <t>10% 23 st  / 3 /2</t>
  </si>
  <si>
    <t>Examen de semestru: Teoria probabilităților și statistică matematică / I Mec+Ro</t>
  </si>
  <si>
    <t>48 st/3</t>
  </si>
  <si>
    <t>Restanțe: Teoria probabilităților și statistică matematică / I Mec+Ro</t>
  </si>
  <si>
    <t>25% 48 st/3/2</t>
  </si>
  <si>
    <t>Reexaminare: Teoria probabilităților și statistică matematică / I Mec+Ro</t>
  </si>
  <si>
    <t>10% 48 st/3/2</t>
  </si>
  <si>
    <t>Examen de semestru: Desen tehnic si infografica / I TCM- gr 111 si 112</t>
  </si>
  <si>
    <t>60 std/3/2</t>
  </si>
  <si>
    <t>Restante: Desen tehnic si infografica / I TCM- gr 111 si 112</t>
  </si>
  <si>
    <t>25% 60 std/3/2</t>
  </si>
  <si>
    <t>Reexaminare: Desen tehnic si infografica / I TCM- gr 111 si 112</t>
  </si>
  <si>
    <t>10% 02 std/3/2</t>
  </si>
  <si>
    <t>Examen finalizare studii / Licență ITT / februarie 2022</t>
  </si>
  <si>
    <t>numită prin decizie ULBS</t>
  </si>
  <si>
    <t>2 x 2 st / 3</t>
  </si>
  <si>
    <t>Examen finalizare studii / Licență ITT / iulie 2022</t>
  </si>
  <si>
    <t>12 x 2 st / 3</t>
  </si>
  <si>
    <t>Examen de semestru: Tehnici de asamblare / II TDDH</t>
  </si>
  <si>
    <t>24 st/3</t>
  </si>
  <si>
    <t>Examen Sisteme informatice de gestiune</t>
  </si>
  <si>
    <t xml:space="preserve">Examen Sisteme informatice in management </t>
  </si>
  <si>
    <t>Examen Comunicare si negociere in afaceri II MAI</t>
  </si>
  <si>
    <t>Examen Sisteme informatice pentru suport managerial</t>
  </si>
  <si>
    <t>Examen Comunicare an II ITT</t>
  </si>
  <si>
    <t>Examen licenta IEDM</t>
  </si>
  <si>
    <t>Examen disertatie MAI</t>
  </si>
  <si>
    <t>Examen semestru I, I ITT, 28 studenti, 28/3x0.5</t>
  </si>
  <si>
    <t>Examen semestru I, I TDDH, 21 studenti, 21/3x0.5</t>
  </si>
  <si>
    <t>Examen semestru I, I IEDM, 32 studenti, 32/3x0.5</t>
  </si>
  <si>
    <t>Colocviu semestru I, III Iien, 4 studenti, 4/3x2</t>
  </si>
  <si>
    <t>Colocviu semestru II, I ITT, 28 studenti, 28/3x0.5</t>
  </si>
  <si>
    <t>Colocviu semestru II, I TDDH, 21 studenti, 21/3x0.5</t>
  </si>
  <si>
    <t>Colocviu semestru II, I IEDM, 32 studenti, 32/3x0.5</t>
  </si>
  <si>
    <t>Examen semestru II, I SPD, 23 studenti, 23/3x0.5</t>
  </si>
  <si>
    <t>Examen restanță semestru I, I ITT, 28 studenti, 0.25x28/3x0.5</t>
  </si>
  <si>
    <t>Examen restanță semestru I, I TDDH, 21 studenti, 0.25x21/3x0.5</t>
  </si>
  <si>
    <t>Examen restanță semestru I, I IEDM, 32 studenti, 0.25x32/3x0.5</t>
  </si>
  <si>
    <t>Examen restanță semestru I, III Iien, 4 studenti, 0.25x4/3x2</t>
  </si>
  <si>
    <t>Examen restanță semestru II, I ITT , 28 studenti, 0.25x28/3x0.5</t>
  </si>
  <si>
    <t>Examen restanță semestru II, I TDDH, 21 studenti, 0.25x21/3x0.5</t>
  </si>
  <si>
    <t>Examen restanță semestru II, I IEDM, 32 studenti, 0.25x32/3x0.5</t>
  </si>
  <si>
    <t>Examen reexaminare semestru I, I ITT , 28 studenti, 0.1x28/3x0.5</t>
  </si>
  <si>
    <t xml:space="preserve">Examen reexaminare semestru I, I TDDH, 21 studenti, 0.1x21/3x0.5 </t>
  </si>
  <si>
    <t>Examen reexaminare semestru I, I IEDM, 32 studenti, 0.1x32/3x0.5</t>
  </si>
  <si>
    <t>Examen reexaminare semestru II, I ITT , 28 studenti, 0.1x28/3x0.5</t>
  </si>
  <si>
    <t>Examen reexaminare semestru II, I TDDH, 21 studenti, 0.1x21/3x0.5</t>
  </si>
  <si>
    <t>Examen reexaminare semestru II, I IEDM, 32 studenti, 0.1x32/3x0.5</t>
  </si>
  <si>
    <t xml:space="preserve">Examen restanță semestru II, I SPD, 23 studenti, 0.1x23/3x0.5 </t>
  </si>
  <si>
    <t>Evaluare de parcurs seminar 27 de studenti / 3 = 9  SPD 123	Management industrial	12/21/2021 14:00	Ș.l.dr.ing. Popa Daniela, Ș.l.dr.ing. Rotaru Mihaela</t>
  </si>
  <si>
    <t>Evaluare de parcurs seminar 23 studenti / 3 = 7.67, TCM 121	Management industrial	12/21/2021	14:00	Ș.l.dr.ing. Popa Daniela, Ș.l.dr.ing. Rotaru Mihaela</t>
  </si>
  <si>
    <t>Evaluare de parcurs seminar 23 studenti/3 = 7.67, 7.67*2=15.33 TCM 122	Management industrial	12/21/2021	14:00	Ș.l.dr.ing. Popa Daniela, Ș.l.dr.ing. Rotaru Mihaela</t>
  </si>
  <si>
    <t>Asistent 21 studenti/3 - 7, 7*0.5= 3.5 IEI 412	Bazele managementului	IM 222	1/26/2022	9:00	Prof.dr.ing. Dan Miricescu, Ş.l.dr.ing Mihaela ROTARU</t>
  </si>
  <si>
    <t>ASISTENT</t>
  </si>
  <si>
    <t>Evaluare de parcurs laborator 21 studenti/3 = 7 IEI 412	Bazele managementului	IM 222	1/26/2022	9:00	Prof.dr.ing. Dan Miricescu, Ş.l.dr.ing Mihaela ROTARU</t>
  </si>
  <si>
    <t>Asistent examen 32 studenti/3=10.67, 10.67*0.5=5.33 IEDM 411	Bazele managementului	IM 201	1/28/2022	8:00	Prof.dr.ing. Dan Miricescu, Ş.l.dr.ing Mihaela ROTARU</t>
  </si>
  <si>
    <t>Evaluare de parcurs laborator 32 studenti/3 = 10.67 IEDM 411	Bazele managementului	IM 201	1/28/2022	8:00	Prof.dr.ing. Dan Miricescu, Ş.l.dr.ing Mihaela ROTARU</t>
  </si>
  <si>
    <t>Examen 20 de studenti /3 = 6.67 EM 341	Management	IE 302	5/16/2022	8:00	Ş.l.dr.ing. Rotaru Mihaela, Ș.l.dr.ing. Zerbeș Mihai</t>
  </si>
  <si>
    <t>Proiect 19 studenti/3 =6.33 IEI 443	Management strategic	IE 101	5/9/2022	9:00	Prof.dr.ing.Miricescu Dan + ș.l.dr.ing. Rotaru Mihaela</t>
  </si>
  <si>
    <t>Proiect 26 de studenti/3=8.67 IEDM 441	Management strategic	IM 323	5/13/2022	9:00	Prof.dr.ing.Miricescu Dan + ș.l.dr.ing. Rotaru Mihaela</t>
  </si>
  <si>
    <t>Proiect 27 studenti / 3= 9 IEDM 442	Management strategic	IM 323	5/13/2022	9:00	Prof.dr.ing.Miricescu Dan + ș.l.dr.ing. Rotaru Mihaela</t>
  </si>
  <si>
    <t>Examen 39 studenti/3=13 ISM 235 Management S.l. dr ing Mihaela Rotaru</t>
  </si>
  <si>
    <t>Examen Marketing IEDM1 + IEI1</t>
  </si>
  <si>
    <t>Form studii 2021/2022 (IEDM+IEI) = 53 studenti</t>
  </si>
  <si>
    <t>Colocviu Marketing TCM2 + SPD2</t>
  </si>
  <si>
    <t>Form studii 2021/2022 (TCM+SPD) = 73 studenti</t>
  </si>
  <si>
    <t>Colocviu Cercetari de Marketing IEDM4+IEI4</t>
  </si>
  <si>
    <t>Form studii 2021/2022 (IEDM+IEI) = 72 studenti</t>
  </si>
  <si>
    <t>Proiect Cercetari de Marketing IEDM4+IEI4</t>
  </si>
  <si>
    <t>Evaluare pe parcurs Cercetari de Marketing IEDM4+IEI4</t>
  </si>
  <si>
    <t>Restanta Marketing IEDM1+IEI1</t>
  </si>
  <si>
    <t>25% din studenti = 13.25</t>
  </si>
  <si>
    <t>Restanta TCM2+SPD2</t>
  </si>
  <si>
    <t>25% din studenti = 18,25</t>
  </si>
  <si>
    <t>Restanta Cercetari de Marketing IEDM4+IEI4</t>
  </si>
  <si>
    <t>25% din studenti = 18</t>
  </si>
  <si>
    <t>Reexaminare Marketing IEDM1+IEI1</t>
  </si>
  <si>
    <t>10% din studenti = 5,3</t>
  </si>
  <si>
    <t>Reexaminare TCM2+SPD2</t>
  </si>
  <si>
    <t>10% din studenti = 7,3</t>
  </si>
  <si>
    <t>Reexaminare Cercetari de Marketing IEDM4+IEI4</t>
  </si>
  <si>
    <t>10% din studenti = 7,4</t>
  </si>
  <si>
    <t>Liste admitere  iulie, sept - 147</t>
  </si>
  <si>
    <t>Disertatie MPE 2022</t>
  </si>
  <si>
    <t>PV examen disertatie - 11 studenti</t>
  </si>
  <si>
    <t>Evaluare pe parcurs: Metode de control ale fabricației produselor / II mSTIF / laborator</t>
  </si>
  <si>
    <t>18 st / 3</t>
  </si>
  <si>
    <t>Evaluare pe parcurs: Toleranțe și control dimensional 1 / II TCM / curs</t>
  </si>
  <si>
    <t>Evaluare pe parcurs: Toleranțe și control dimensional 1 / II SPD / curs</t>
  </si>
  <si>
    <t>Restanțe: Toleranțe și control dimensional 1 / II TCM</t>
  </si>
  <si>
    <t>Reexaminare: Toleranțe și control dimensional 1 / II TCM</t>
  </si>
  <si>
    <t>Restanțe: Toleranțe și control dimensional 1 / II SPD</t>
  </si>
  <si>
    <t>Reexaminare: Toleranțe și control dimensional 1 / II SPD</t>
  </si>
  <si>
    <t>Evaluare pe parcurs: Toleranțe și control dimensional / II IEDM / curs</t>
  </si>
  <si>
    <t>39 st / 3</t>
  </si>
  <si>
    <t>Examen de semestru: Toleranțe și control dimensional / II IEDM / curs</t>
  </si>
  <si>
    <t>Restanțe: Toleranțe și control dimensional / II IEDM / curs</t>
  </si>
  <si>
    <t>25% 39 st  / 3 = 9.75 st / 3</t>
  </si>
  <si>
    <t>Reexaminare: Toleranțe și control dimensional / II IEDM / curs</t>
  </si>
  <si>
    <t>10% 39 st  / 3 = 3.9 st / 3</t>
  </si>
  <si>
    <t>Evaluare pe parcurs: Sisteme de inspecție a calității în fluxuri logistice / I mLI / laborator</t>
  </si>
  <si>
    <t>Evaluare pe parcurs: Controlul statistic al proceselor / I mMC / curs</t>
  </si>
  <si>
    <t>29 st / 3</t>
  </si>
  <si>
    <t>Evaluare pe parcurs: Controlul statistic al proceselor / I mMC / laborator</t>
  </si>
  <si>
    <t>Examen de semestru: Controlul statistic al proceselor / I mMC</t>
  </si>
  <si>
    <t>Restanțe: Controlul statistic al proceselor / I mMC</t>
  </si>
  <si>
    <t>25% 29 st  / 3 =  7.25 st / 3</t>
  </si>
  <si>
    <t>Reexaminare: Controlul statistic al proceselor / I mMC</t>
  </si>
  <si>
    <t>10% 29 st  / 3 = 2.9 st / 3</t>
  </si>
  <si>
    <t>Evaluare pe parcurs: Teoria probabilităților și statistică matematică / I TCM / curs</t>
  </si>
  <si>
    <t>Examen de semestru: Teoria probabilităților și statistică matematică / I TCM / curs</t>
  </si>
  <si>
    <t>25% 60 st  / 3 =  15 st / 3</t>
  </si>
  <si>
    <t>10% 60 st  / 3 =  6 st / 3</t>
  </si>
  <si>
    <t>Examen de semestru: Teoria probabilităților și statistică matematică / I SPD / curs</t>
  </si>
  <si>
    <t>Evaluare pe parcurs: Toleranțe și control dimensional / II MECen / laborator</t>
  </si>
  <si>
    <t>16 st / 3</t>
  </si>
  <si>
    <t>Examen de admitere master: Proba de verificare a cunoștințelor / domeniul Inginerie industrială / iulie 2022</t>
  </si>
  <si>
    <t>2 x 74 st / 3</t>
  </si>
  <si>
    <t>Examen de admitere master: Proba de verificare a cunoștințelor / domeniul Inginerie industrială /septembrie 2022</t>
  </si>
  <si>
    <t>2 x 39 st / 3</t>
  </si>
  <si>
    <t>Examen finalizare studii / Licență TCM / februarie 2022</t>
  </si>
  <si>
    <t>2 x 1 st / 3</t>
  </si>
  <si>
    <t>Examen finalizare studii / Licență TCM / iulie 2022</t>
  </si>
  <si>
    <t>2 x 38 st / 3</t>
  </si>
  <si>
    <t>Examen finalizare studii / Disertație STIF / februarie 2022</t>
  </si>
  <si>
    <t>3 x 2 st / 3</t>
  </si>
  <si>
    <t>Examen finalizare studii / Disertație STIF / iulie 2022</t>
  </si>
  <si>
    <t>3 x 17 st / 3</t>
  </si>
  <si>
    <t>Examen finalizare studii / Disertație MC / iulie 2022</t>
  </si>
  <si>
    <t>examen semestru - Dispozitive pentru masini unelte IV SPD - 14 studenti sem II 2021/2022</t>
  </si>
  <si>
    <t>evaluare pe parcurs curs - Dispozitive pentru masini unelte IV SPD - 14 studenti sem II 2021/2022</t>
  </si>
  <si>
    <t>evaluare pe parcurs Lp - Dispozitive pentru masini unelte IV SPD - 14 studenti sem II 2021/2022</t>
  </si>
  <si>
    <t>examen semestru - Dispozitive tehnologice IV IEDM - 53 studenti sem II 2021/2022</t>
  </si>
  <si>
    <t>evaluare pe parcurs curs - Dispozitive tehnologice IV IEDM - 53 studenti sem II 2021/2022</t>
  </si>
  <si>
    <t>evaluare proiect Proiect - Dispozitive tehnologice IV IEDM 4 sgr - 13=13+13+14 studenti sem II 2021/2022</t>
  </si>
  <si>
    <t>evaluare pe parcurs Proiect - Dispozitive tehnologice IV IEDM 4 sgr - 13+13+13+14 studenti sem II 2021/2022</t>
  </si>
  <si>
    <t>evaluare pe parcurs Lp - Dispozitive tehnologice 1 III - TCM - 14 studenti sem II 2021/2022</t>
  </si>
  <si>
    <t>examen semestru - Programarea calculatorului si limbaje de programare I ITT - 28 studenti sem I 2022/2023</t>
  </si>
  <si>
    <t>evaluare pe parcurs curs - Programarea calculatorului si limbaje de programare I ITT - 28 studenti sem I 2022/2023</t>
  </si>
  <si>
    <t>examen licenta februarie 2022</t>
  </si>
  <si>
    <t>APARATE DE MASURA SI CONTROL -COLOCVIU</t>
  </si>
  <si>
    <t>24 stud. / 3 = 8</t>
  </si>
  <si>
    <t>APARATE DE MASURA SI CONTROL -EVALUARE</t>
  </si>
  <si>
    <t>APARATE DE MASURA SI CONTROL - LABORATOR</t>
  </si>
  <si>
    <t>TERMOTEHNICA I-EXAMEN</t>
  </si>
  <si>
    <t>TERMOTEHNICA I - EVALUARE</t>
  </si>
  <si>
    <t>TERMOTEHNICA II - SEMINAR</t>
  </si>
  <si>
    <t>TERMOTEHNICA II-EXAMEN</t>
  </si>
  <si>
    <t>TERMOTEHNICA II - EVALUARE</t>
  </si>
  <si>
    <t>TRANSPORTUL FLUIDELOR MULTIFAZICE - COLOCVIU</t>
  </si>
  <si>
    <t>11 stud. / 3 = 8</t>
  </si>
  <si>
    <t>TRANSPORTUL FLUIDELOR MULTIFAZICE - EVALUARE</t>
  </si>
  <si>
    <t>TRANSPORTUL FLUIDELOR MULTIFAZICE - Laborator</t>
  </si>
  <si>
    <t>METODE NUMERICE DE SIMULARE SI OPTIMIZARE - EVALUARE</t>
  </si>
  <si>
    <t>METODE NUMERICE DE SIMULARE SI OPTIMIZARE - EXAMEN</t>
  </si>
  <si>
    <t>Evaluare pe parcurs: Legislatie economica  / IV IEDM / curs</t>
  </si>
  <si>
    <t>53 st / 3</t>
  </si>
  <si>
    <t>Evaluare pe parcurs: Legislatie economica  / IV IEI / curs</t>
  </si>
  <si>
    <t>19 st/3</t>
  </si>
  <si>
    <t>Evaluare pe parcurs: Legislatie economica  / IV IEI / seminar</t>
  </si>
  <si>
    <t>Evaluare pe parcurs: Legislatia proprietatii intelectuale  / III IEI / curs</t>
  </si>
  <si>
    <t>Evaluare pe parcurs: Legislatia proprietatii intelectuale  / III IEI / seminar</t>
  </si>
  <si>
    <t>Evaluare pe parcurs: Dinamica si expertiza  / IV ITT / curs</t>
  </si>
  <si>
    <t>17 st/3</t>
  </si>
  <si>
    <t>Evaluare pe parcurs: Etica si integritate  / II mLI / curs</t>
  </si>
  <si>
    <t>Evaluare pe parcurs: Legislatie in drept si transporturi  / IV ITT / curs</t>
  </si>
  <si>
    <t>Evaluare pe parcurs: Legislatie in drept si transporturi  / IV ITT / seminar</t>
  </si>
  <si>
    <t>Evaluare pe parcurs: Etica si integritate academica / II mMAI / laborator</t>
  </si>
  <si>
    <t>Evaluare pe parcurs: Etica si integritate academica / II mIMGN / seminar</t>
  </si>
  <si>
    <t>29 st/3</t>
  </si>
  <si>
    <t>Evaluare pe parcurs: Etica si integritate academica / II mMPE / laborator</t>
  </si>
  <si>
    <t>22 st/3</t>
  </si>
  <si>
    <t xml:space="preserve">Examen de semestru: Legislatie economica  / IV IEDM </t>
  </si>
  <si>
    <t xml:space="preserve">Examen de semestru: Legislatie economica  / IV IEI </t>
  </si>
  <si>
    <t xml:space="preserve">Examen de semestru: Legislatia proprietatii intelectuale  / III IEI </t>
  </si>
  <si>
    <t>Examen de semestru: Dinamica si expertiza  / IV ITT / curs</t>
  </si>
  <si>
    <t>Examen de semestru: Etica si integritate  / II mLI / curs</t>
  </si>
  <si>
    <t>Examen de semestru: Legislatie in drept si transporturi  / IV ITT / curs</t>
  </si>
  <si>
    <t>Examen de semestru: Etica si integritate academica / II mMAI / laborator</t>
  </si>
  <si>
    <t>Examen de semestru: Etica si integritate academica / II mIMGN / seminar</t>
  </si>
  <si>
    <t>Examen de semestru: Etica si integritate academica / II mMPE / laborator</t>
  </si>
  <si>
    <t>Examen de semestru la disciplina Dispozitive Tehnologice 1 la anul III TCM</t>
  </si>
  <si>
    <t>48 impartit 3 = 16</t>
  </si>
  <si>
    <t>Examen de semestru la disciplina Dispozitive Tehnologice 2 la anul IV TCM</t>
  </si>
  <si>
    <t>37 impartit 3 = 12,33</t>
  </si>
  <si>
    <t>Verificare pe parcurs la disciplina Dispozitive Tehnologice 1 la anul III TCM, curs</t>
  </si>
  <si>
    <t>Verfiicare pe parcurs la disciplina Dispozitive Tehnologice 2 la anul IV TCM, curs</t>
  </si>
  <si>
    <t>Verfiicare pe parcurs la disciplina Dispozitive Tehnologice 1 la 131-1, laborator</t>
  </si>
  <si>
    <t>12 impartit 3 = 4</t>
  </si>
  <si>
    <t>Verfiicare pe parcurs la disciplina Dispozitive Tehnologice 1 la 131-2, laborator</t>
  </si>
  <si>
    <t>Verfiicare pe parcurs la disciplina Dispozitive Tehnologice 2 la 141-1, proiect</t>
  </si>
  <si>
    <t>Verfiicare pe parcurs la disciplina Dispozitive Tehnologice 2 la 141-2, proiect</t>
  </si>
  <si>
    <t>Examen de semestru mLI an I - Managementul achizitiilor</t>
  </si>
  <si>
    <t>14 stud/3</t>
  </si>
  <si>
    <t>Examen de semestru IPMI an III - Managementul calitatii</t>
  </si>
  <si>
    <t>11 stud/3</t>
  </si>
  <si>
    <t>Examen de semestru ITT an III - Sisteme de transport</t>
  </si>
  <si>
    <t>21 stud/3</t>
  </si>
  <si>
    <t>Examen de semestru TCM an IV  - Ingineria calitatii</t>
  </si>
  <si>
    <t>57 stud/3 x 0,5</t>
  </si>
  <si>
    <t>Examen de semestru SPD an IV  - Ingineria calitatii</t>
  </si>
  <si>
    <t>20 stud/3 x 0,5</t>
  </si>
  <si>
    <t>Examen de semestru Mec an IV  - Ingineria calitatii</t>
  </si>
  <si>
    <t>41 stud/3 x 0,5</t>
  </si>
  <si>
    <t>Examen de semestru IEDM an III  - Ingineria calitatii</t>
  </si>
  <si>
    <t>36 stud/3 x 0,5</t>
  </si>
  <si>
    <t>Examen de semestru TDDH an IV  - Managementul calitatii</t>
  </si>
  <si>
    <t>33 stud/3 x 0,5</t>
  </si>
  <si>
    <t>Examen de semestru mSTIF an I  - Tehnici și metode de imbunatatire a calitatii proceselor de productie</t>
  </si>
  <si>
    <t>25 stud/3 x 0,5</t>
  </si>
  <si>
    <t>21 stud/3 x 0,5</t>
  </si>
  <si>
    <t>23 stud/3 x 0,5</t>
  </si>
  <si>
    <t>14 stud/3 x 2</t>
  </si>
  <si>
    <t>Examene disertatie (specializarea mLI) - iulie</t>
  </si>
  <si>
    <t>membru în comisia pentru examenele de finalizare a studiilor specializarea Logistica Industriala</t>
  </si>
  <si>
    <t>13 stud/3 x 2</t>
  </si>
  <si>
    <t>Examene disertatie (specializarea mMC) - iulie</t>
  </si>
  <si>
    <t>membru în comisia pentru examenele de finalizare a studiilor specializarea Managementul Calitatii</t>
  </si>
  <si>
    <t>20 stud/3 x 2</t>
  </si>
  <si>
    <t>Examene de finalizare si certificare a competentelor profesionale (specializarea  program postuniversitar ERASSM) - februarie</t>
  </si>
  <si>
    <t>membru în comisia pentru examenele de finalizare a studiilor specializarea Evaluator de risc si auditor in domeniul SSM</t>
  </si>
  <si>
    <t>Examene de finalizare si certificare a competentelor profesionale (specializarea  program postuniversitar ERASSM) - iulie</t>
  </si>
  <si>
    <t>19 stud/3 x 2</t>
  </si>
  <si>
    <t>Examene de finalizare si certificare a competentelor profesionale (specializarea  program postuniversitar MCPE) - noiembrie</t>
  </si>
  <si>
    <t>membru în comisia pentru examenele de finalizare a studiilor specializarea Managementul calitatii proceselor educationale</t>
  </si>
  <si>
    <t>45 stud/3 x 2</t>
  </si>
  <si>
    <t>Examene de finalizare si certificare a competentelor profesionale (specializarea  program postuniversitar ICPE) - noiembrie</t>
  </si>
  <si>
    <t>membru în comisia pentru examenele de finalizare a studiilor specializarea Imbunatatirea calitatii proceselor educationale</t>
  </si>
  <si>
    <t>26 stud/3 x 2</t>
  </si>
  <si>
    <t>Examene de finalizare si certificare a competentelor profesionale (specializarea  program postuniversitar MRPE) - noiembrie</t>
  </si>
  <si>
    <t>membru în comisia pentru examenele de finalizare a studiilor specializarea Managementul riscului in procesele educationale</t>
  </si>
  <si>
    <t>29 stud/3 x 2</t>
  </si>
  <si>
    <t>Probă orală de verificare a cunoștințelor de domeniu pentru admitere master (domeniul Inginerie și management) - septembrie</t>
  </si>
  <si>
    <t>membru în comisia admitere Master- domeniul Inginerie și management</t>
  </si>
  <si>
    <t>57stud/3 x 2</t>
  </si>
  <si>
    <t>Probă orală de verificare a cunoștințelor de domeniu pentru admitere master (domeniul Inginerie și management) - iulie</t>
  </si>
  <si>
    <t>90 stud/3 x 2</t>
  </si>
  <si>
    <t>Examene de admitere proba scrisa  (specializarea Calculatoare si tehnologia informatiei) - iulie</t>
  </si>
  <si>
    <t>membru în comisia de verificare/corectura - Calculatoare si tehnologia informatie</t>
  </si>
  <si>
    <t>30 stud/3 x 2</t>
  </si>
  <si>
    <t>Evaluare an 2 C - curs PLA - 74 studenti
Evaluare an 2 C -curs GAC - 74 studenti
Evaluare an 4 C+TI -curs SM - 129 studenti
Evaluare an 3 ISM - curs PAM - 39 studenti
Evaluare an 2 ICAI - curs PAG - 46 studenti
Evaluare an 2 ICAI - 1 sgr proiect PAG - 23 studenti
Evaluare an 2 ICAI - 1 sgr laborator PAG - 23 studenti
Evaluare an 3 ISM - curs PGA - 39 studenti
Evaluare an 3 ISM - 1 sgr laborator PGA - 13 studenti
======================================
TOTAL 460 studenti</t>
  </si>
  <si>
    <t>392 * 1.35 / 3 = 207</t>
  </si>
  <si>
    <t>Evaluare licenta 
ISM iulie = 26 = 26</t>
  </si>
  <si>
    <t>26 / 3 *2 =17.33</t>
  </si>
  <si>
    <t>Examen licență EM și EA</t>
  </si>
  <si>
    <t>57 studenti/3=22.3x2=44.6</t>
  </si>
  <si>
    <t>Examen dizertație AAIE</t>
  </si>
  <si>
    <t>17 studenti/3=5.66x3=17</t>
  </si>
  <si>
    <t>Examene de semestru, restanță, reexaminare, 2EM, 2EA, 3EM, 3EA</t>
  </si>
  <si>
    <t>108x1,35 studenti/3=48.6</t>
  </si>
  <si>
    <t>Evaluări pe parcurs curs 2EM, 2EA, 3EM, 3EA</t>
  </si>
  <si>
    <t>108 studenti/3=36</t>
  </si>
  <si>
    <t>Evaluări pe parcurs laborator 2EM, 3EM</t>
  </si>
  <si>
    <t>48 studenti/3=16</t>
  </si>
  <si>
    <t>Admitere master AAIE (17 iulie + 13 sept) - 30 stud</t>
  </si>
  <si>
    <t xml:space="preserve">Titular </t>
  </si>
  <si>
    <t>30/3*2</t>
  </si>
  <si>
    <t>Evaluare an 2 EM - curs Electronica - 31 studenți</t>
  </si>
  <si>
    <t>31 * 1,35 / 3  = 13.95</t>
  </si>
  <si>
    <t xml:space="preserve">Evaluare an 2 EM - 3 sgr lab Electronică - 31 studenți </t>
  </si>
  <si>
    <t>31 / 3  = 10.33</t>
  </si>
  <si>
    <t>Evaluare an 4 EA - lab CEM - 28 studenți</t>
  </si>
  <si>
    <t>28 / 3  = 9.33</t>
  </si>
  <si>
    <t xml:space="preserve">Evaluare an 2 EA - lab CID - 25 studenți </t>
  </si>
  <si>
    <t>25 / 3  = 8.33</t>
  </si>
  <si>
    <t>Evaluare an 2 EA - proiect CID - 25 studenți</t>
  </si>
  <si>
    <t>Evaluare an 2 EA - curs CEF - 37 studenti</t>
  </si>
  <si>
    <t>asistent examen</t>
  </si>
  <si>
    <t>37 * 0.5 / 3  = 6.16</t>
  </si>
  <si>
    <t xml:space="preserve">Evaluare an 4 EA - curs TV - 28 studenți </t>
  </si>
  <si>
    <t>28 * 1,35 / 3  = 37,8</t>
  </si>
  <si>
    <t xml:space="preserve">Evaluare an 4 EA - lab TV - 28 studenți </t>
  </si>
  <si>
    <t>28  / 3  = 9.33</t>
  </si>
  <si>
    <t xml:space="preserve">Evaluare an 4 EA - proiect TV - 28 studenți </t>
  </si>
  <si>
    <t>Evaluare an 4 EA - CEM 28 Studenți</t>
  </si>
  <si>
    <t>28/3*0.5=4.67</t>
  </si>
  <si>
    <t xml:space="preserve">Evaluare an 2 EA - examen CEF - 25 studenți </t>
  </si>
  <si>
    <t xml:space="preserve">25*0.25/3= </t>
  </si>
  <si>
    <t>Evaluare Licență EA febr + iulie = 5+26 = 31</t>
  </si>
  <si>
    <t xml:space="preserve">2 *31 / 3 =20,66  </t>
  </si>
  <si>
    <t xml:space="preserve">Evaluare de parcurs  an IV C - Laborator Prelucrarea imaginilor - 15 studenti 
Evaluare finala  an IV C - Laborator Prelucrarea imaginilor - 15 studenti 
Evaluare finala an I C - Curs Informatica aplicata - 73 studenti  
Evaluare finala an IV C - Curs Securitatea datelor - 92 studenti
Evaluare finala an IV TI - Curs Criptografie si securit. inform. - 37 studenti  
Evaluare finala an IV C - Curs Prelucrarea imaginilor - 92 studenti 
=============================================================   
TOTAL 324 studenti                                                                                                                                                                                                                                                        
</t>
  </si>
  <si>
    <r>
      <rPr>
        <sz val="10"/>
        <color theme="1"/>
        <rFont val="Arial Narrow"/>
      </rPr>
      <t xml:space="preserve">Examen de licenta 
C febr+iulie = 6+71 = 77 studenti       
TI febr+iulie = 8+22 = 30 studenti    
=============================================================
TOTAL 107 studenti                                                                                                                                                                                                                                                                                                                                                                                                                                                                                                      </t>
    </r>
    <r>
      <rPr>
        <sz val="10"/>
        <color theme="1"/>
        <rFont val="Calibri"/>
      </rPr>
      <t xml:space="preserve">                                                                                                                                                                                                                                                                                                                                                                                                                                                                                                                                                                                                                                                                                                                                                                                                                                                                                                                                                                                                                                                                                                                                                                                                                                                                                                                                                                                                                                                                                                                                                                                                                                                                                                                                                                                                                                                                                                                                                                                                                                                                                                                                                                                                                                              </t>
    </r>
  </si>
  <si>
    <t xml:space="preserve">Examen de dizertatie 
ES febr+iulie = 1+3 = 4 studenti              =============================================================    
TOTAL 4 studenti                                                                                                                                                                                                                                                                                                                                                                                                                                                                                                                                                                                                                                                                                                                                                                                                                                                                                                                                                                                                                                                                                                                                                                                                                                                                                                                                                                                                                                                                                                                                                                                                                                                                                                                                                                                                                                                                                                                                                                                                                                                                                                                                                                                                                                                                                                                                                                                                                                                                                                                                                                                                                                                                                                                                           </t>
  </si>
  <si>
    <t xml:space="preserve">Examen admitere master
ACS+ES+ICAI iulie+septembrie = 62 + 39 = 101 studenti
=============================================================    
TOTAL 101 studenti                                                               </t>
  </si>
  <si>
    <t>Examen admitere doctorat
Calculatoare si Tehnologia Informatiei septembrie = 2</t>
  </si>
  <si>
    <t>Evaluare an 2 C - curs POO - 74 studenti
Evaluare an 2 C - 4 sgr proiect POO - 49 studenti
Evaluare an 2 ISM - 2 sgr proiect POO - 30 studenti
Evaluare an 2 EM+EA - curs PCLP2+POO - 31+37 studenti
Evaluare an 4 ISM - curs CIM - 36 studenti
Evaluare an 3 C - curs SO - 74 studenti
======================================
TOTAL 331 studenti</t>
  </si>
  <si>
    <t>331 * 1.35 / 3 = 148.95</t>
  </si>
  <si>
    <t>Evaluare licenta 
C febr+iulie = 6+71 = 77
TI febr+iulie = 8+22 = 30
EA febr+iulie = 5+26 = 31
=====================
TOTAL 138 studenti</t>
  </si>
  <si>
    <t>138 / 3 *2 = 92</t>
  </si>
  <si>
    <t>Evaluare disertatie
ES febr+iulie = 1 + 3 = 4</t>
  </si>
  <si>
    <t>4 / 3 * 3 = 4</t>
  </si>
  <si>
    <t>FiNG2</t>
  </si>
  <si>
    <t>Examen semestru SD Calculatoare 1C 73 studenți</t>
  </si>
  <si>
    <t>Evaluare finala laborator SD 4 semigrupe 50 studenți</t>
  </si>
  <si>
    <t>Evaluare finala laborator LP 5 semigrupe 63 studenți</t>
  </si>
  <si>
    <t>Evaluare SD pe parcurs Calculatoare 1C 73 studenți</t>
  </si>
  <si>
    <r>
      <rPr>
        <sz val="10"/>
        <color rgb="FF000000"/>
        <rFont val="Arial Narrow"/>
      </rPr>
      <t xml:space="preserve">Evaluare laborator SD </t>
    </r>
    <r>
      <rPr>
        <sz val="10"/>
        <color rgb="FF000000"/>
        <rFont val="Arial Narrow"/>
      </rPr>
      <t>pe parcurs</t>
    </r>
    <r>
      <rPr>
        <sz val="10"/>
        <color rgb="FF000000"/>
        <rFont val="Arial Narrow"/>
      </rPr>
      <t xml:space="preserve"> 4 semigrupe 50 studenți</t>
    </r>
  </si>
  <si>
    <t>Evaluare laborator LP pe parcurs 5 semigrupe 63 studenți</t>
  </si>
  <si>
    <t>examen semestru, I EA/EM Programare (40 studenti)</t>
  </si>
  <si>
    <t>evaluare curs semestru, I EA/EM Programare (40 studenti)</t>
  </si>
  <si>
    <t>evaluare laborator POO II C (3 sgrt-37 stud)</t>
  </si>
  <si>
    <t>evaluare laborator POO IIEA (2 sgrt -25 stud)</t>
  </si>
  <si>
    <t>evaluare laborator SD I C (2 sgr -25 stud)</t>
  </si>
  <si>
    <t>examen sem I Structuri date (C+TI) 73+30</t>
  </si>
  <si>
    <t>examen sem IIPOO (C) 74 stud</t>
  </si>
  <si>
    <t>Evaluare an 1 EM - curs IA - 19 studenti
Evaluare an 1 EA - curs IA  - 21 studenti
Evaluare an 2 EM - curs TCE - 31 studenti
Evaluare an 2 EA - curs BE_II - 37 studenti
Evaluare an 3 EA - curs MAE - 24 studenti
TOTAL 132 STUDENTI</t>
  </si>
  <si>
    <t>132/3*1,35=59,4</t>
  </si>
  <si>
    <t>Evaluare pe parcurs
an 2 EA - curs BE_II - 37 studenti
an 2 EM - curs TCE - 31 studenti
Total 68 studenti</t>
  </si>
  <si>
    <t>68/3=22,66</t>
  </si>
  <si>
    <t>Evaluare pe parcurs an 3 EA - curs MAE - 24 studenti</t>
  </si>
  <si>
    <t>24/3=8</t>
  </si>
  <si>
    <t>Evaluare licenta
EM iulie+febr = 19+6=25</t>
  </si>
  <si>
    <t>25/3*2=16,66</t>
  </si>
  <si>
    <t>Evaluare disertatie
AAIE iulie = 14 studenti</t>
  </si>
  <si>
    <t>14/3*3=14</t>
  </si>
  <si>
    <t xml:space="preserve">Asistenta examene sem. II, la prof.dr.ing.Vintan Maria:
an I EM - TCE - 19 studenti
an I EA - BE_I - 21 studenti
Total 40 studenti
</t>
  </si>
  <si>
    <t>40/3*1,35*0,5=9</t>
  </si>
  <si>
    <t>Evaluare an 4 C - lab EIM - 92 studenti
Evaluare an 4 TI - lab IDP - 37 studenti
Evaluare an 4 ISM - lab AMDM - 36 studenti
Evaluare an 3 ISM - 2 sgr lab LC - 26 studenti
=====================================
TOTAL 191 studenti</t>
  </si>
  <si>
    <t>191 / 3 = 64</t>
  </si>
  <si>
    <t>Evaluare licenta
TI febr+iulie = 8 + 22 = 30</t>
  </si>
  <si>
    <t>30 / 3 * 2 = 20</t>
  </si>
  <si>
    <t>Evaluare disertatie
ACS febr+iulie = 15</t>
  </si>
  <si>
    <t>15 / 3 * 3 = 15</t>
  </si>
  <si>
    <t>Evaluare an 2 C - curs WEB - 74 studenti
Evaluare an 3 ISM - curs Web avansat - 39 stdenti
Evaluare an 4 ISM - curs SDED - 36 studenti
Evaluare an 3 C - curs IA - 87 studenti
======================================
TOTAL 236 studenti</t>
  </si>
  <si>
    <t>236 * 1.35 / 3 = 122,4</t>
  </si>
  <si>
    <t>Evaluare an 4 ISM - lab SDED - 24 studenti</t>
  </si>
  <si>
    <t>Evaluare licenta 
ISM febr+iulie = 3+26 = 29
=====================
TOTAL 29 studenti</t>
  </si>
  <si>
    <t>29 / 3 *2 = 19.33</t>
  </si>
  <si>
    <t>Evaluare disertatie
ICAI febr+iulie = 2 + 23 = 25</t>
  </si>
  <si>
    <t>25 / 3 * 3 = 25</t>
  </si>
  <si>
    <t>Evaluare an 1 Informatica Aplicată Laborator - 25 studenti
Evaluare an 3 Ingineria sistemelor de programe II + Inginerie Software Laborator - 89 studenti
===================
Total 114 studenti</t>
  </si>
  <si>
    <t>114 / 3</t>
  </si>
  <si>
    <t>Evaluare licenta 
C iulie 71</t>
  </si>
  <si>
    <t>71 / 3 * 2</t>
  </si>
  <si>
    <t>4 / 3 * 3</t>
  </si>
  <si>
    <t>1.EXAMENE_SEM-I_ian 2022</t>
  </si>
  <si>
    <t>LICENȚĂ ȘI MASTER_semestrul II, an univ. 2021-2022</t>
  </si>
  <si>
    <t>Examen de disertație specializarea Advanced Computing Systems 11 iulie 2022</t>
  </si>
  <si>
    <t>Membru comisie ACS iulie 2022</t>
  </si>
  <si>
    <t>Examen de diploma proba 1. Evaluarea cunostintelor fundamentale si de specialitate 25 febr. 2022</t>
  </si>
  <si>
    <t xml:space="preserve">Membru Comisie </t>
  </si>
  <si>
    <t>Examen de diploma proba 2. Prezentarea si sustinerea proiectului de diploma 25 febr. 2022</t>
  </si>
  <si>
    <t>Examen de diploma proba 1. Evaluarea cunostintelor fund. Si de specialitate 04-08 iulie 2022</t>
  </si>
  <si>
    <t>Examen de diploma proba 2. Prezentarea si sustinerea proiectului de diploma 04-08 iulie 2022</t>
  </si>
  <si>
    <t>Examen de disertație, 18 febr. 2022</t>
  </si>
  <si>
    <t>Membru Comisie ICAI febr. 2022</t>
  </si>
  <si>
    <t>Examen de disertație, 13 iulie. 2022</t>
  </si>
  <si>
    <t>Membru Comisie ICAI iulie 2022</t>
  </si>
  <si>
    <t>Examen de diploma proba 1. Evaluarea cunostintelor fund. si de specialitate 25 febr. 2022</t>
  </si>
  <si>
    <t>Presedinte comisie</t>
  </si>
  <si>
    <t>Examen de diploma proba 1. Evaluarea cunostintelor fundamentale si de specialitate 8 iulie 2022</t>
  </si>
  <si>
    <t>Examen de diploma proba 2. Prezentarea si sustinerea proiectului de diploma 8 iulie. 2022</t>
  </si>
  <si>
    <t>RESTANȚE_LICENȚĂ_anul IV _sem. II, an univ. 2021-2022</t>
  </si>
  <si>
    <t>RESTANȚE LICENȚĂ ȘI MASTER_semestrul II, an univ. 2021-2022</t>
  </si>
  <si>
    <t>REEXAMINARI LICENȚĂ ȘI MASTER_AN UNIV_2021-2022</t>
  </si>
  <si>
    <t>PLANIFICAREA SESIUNII DE EXAMENE-anii terminali, sem. II, an univ. 2021-2022</t>
  </si>
  <si>
    <t>RESTANȚE_ LICENȚĂ ȘI MASTER_semestrul I_2021-2022</t>
  </si>
  <si>
    <t>Concurs admitere sesiunea Iulie 2022 - master Calculatoare si tehnologia informatiei</t>
  </si>
  <si>
    <t>Concurs admitere sesiunea Septembrie 2022 - master Calculatoare si tehnologia informatiei</t>
  </si>
  <si>
    <t>Examen de diploma proba 1 - Evaluarea cunostintelor fundamentale si de specialitate 25.02.2022</t>
  </si>
  <si>
    <t>Examen admitere doctorat 14.09.2022</t>
  </si>
  <si>
    <t>Examen teza de doctorat 22.07.2022</t>
  </si>
  <si>
    <t>Examen la "Analiza algoritmilor", gr. 221 (37 studenti)</t>
  </si>
  <si>
    <t>Examen la "Analiza algoritmilor", gr. 222 (37 studenti)</t>
  </si>
  <si>
    <t>Examen la "Proiectarea algoritmilor", gr. 223 (36 stud.)</t>
  </si>
  <si>
    <t>Examen la "Proiectarea algoritmilor", gr. 224 (30 stud.)</t>
  </si>
  <si>
    <t>Examen la "Alg. paraleli și distribuiți", sgr. 241 (46 st.)</t>
  </si>
  <si>
    <t>Examen la "Prelucrarea imaginilor", sgr. 241 (46 st.)</t>
  </si>
  <si>
    <t>Ev. parc. la "Analiza algoritmilor", gr. 221 (37 studenti)</t>
  </si>
  <si>
    <t>Ev. parc. la "Analiza algoritmilor", gr. 222 (37 studenti)</t>
  </si>
  <si>
    <t>Ev. parc. la "Proiectarea algoritmilor", gr. 223 (36 stud.)</t>
  </si>
  <si>
    <t>Ev. parc. la "Proiectarea algoritmilor", gr. 224 (30 stud.)</t>
  </si>
  <si>
    <t>Ev. p. la "Alg. paraleli și distribuiți", sgr. 241/1 (15 st.)</t>
  </si>
  <si>
    <t>Ev. parc. la "Prelucrarea imaginilor", sgr. 241/1 (15 st.)</t>
  </si>
  <si>
    <t>Ev. parc. la "Prelucrarea imaginilor", sgr. 241/2 (15 st.)</t>
  </si>
  <si>
    <t>Ev. parc. la "Prelucrarea imaginilor", gr. 241/3 (16 st.)</t>
  </si>
  <si>
    <t>Rest. la "Analiza algoritmilor", gr. 221 (9 studenti)</t>
  </si>
  <si>
    <t>Rest. la "Analiza algoritmilor", gr. 222 (9 studenti)</t>
  </si>
  <si>
    <t>Rest. la "Proiectarea algoritmilor", gr. 223 (9 stud.)</t>
  </si>
  <si>
    <t>Rest. la "Proiectarea algoritmilor", gr. 224 (7 stud.)</t>
  </si>
  <si>
    <t>Rest. la "Alg. paraleli și distribuiți", gr. 241 (11 st.)</t>
  </si>
  <si>
    <t>Rest. la "Prelucrarea imaginilor", gr. 241 (11 st.)</t>
  </si>
  <si>
    <t>Reex. la "Analiza algoritmilor", gr. 221 (3 studenti)</t>
  </si>
  <si>
    <t>Reex. la "Analiza algoritmilor", gr. 222 (3 studenti)</t>
  </si>
  <si>
    <t>Reex. la "Proiectarea algoritmilor", gr. 223 (3 stud.)</t>
  </si>
  <si>
    <t>Reex. la "Proiectarea algoritmilor", gr. 224 (3 stud.)</t>
  </si>
  <si>
    <t>Reex. la "Alg. paraleli și distribuiți", sgr. 241 (4 st.)</t>
  </si>
  <si>
    <t>Reex. la "Prelucrarea imaginilor", gr. 241 (4 st.)</t>
  </si>
  <si>
    <t>Admitere master iul. - proba de verif. a cunost. (62 st.)</t>
  </si>
  <si>
    <t>Admitere master sept. - proba de verif. a cunost. (39 s.)</t>
  </si>
  <si>
    <t>Licență, TI, iulie 2022 (22 stud.)</t>
  </si>
  <si>
    <t>Membru comisie</t>
  </si>
  <si>
    <t>Licență, ISM, februarie 2023 (3 stud.)</t>
  </si>
  <si>
    <t>Licență, ISM, iulie 2023 (26 stud.)</t>
  </si>
  <si>
    <t>Licență, Calculatoare, iulie 2023 (71 stud.)</t>
  </si>
  <si>
    <t xml:space="preserve">Examen semestru Teoria Transmisiunii Informatiei, an 2 EA </t>
  </si>
  <si>
    <t xml:space="preserve">Evaluare pe parcurs Teoria Transmisiunii Informatiei, an 2 EA </t>
  </si>
  <si>
    <t xml:space="preserve">Evaluare laborator Teoria Transmisiunii Informatiei, an 2 EA </t>
  </si>
  <si>
    <t xml:space="preserve">Examen restanta Teoria Transmisiunii Informatiei, an 2 EA </t>
  </si>
  <si>
    <t xml:space="preserve">Reexaminare Teoria Transmisiunii Informatiei, an 2 EA </t>
  </si>
  <si>
    <t xml:space="preserve">Examen semestru Microcontrollere, an 3 EA </t>
  </si>
  <si>
    <t xml:space="preserve">Evaluare proiect Microcontrollere, an 3 EA </t>
  </si>
  <si>
    <t xml:space="preserve">Examen restanta Microcontrollere, an 3 EA </t>
  </si>
  <si>
    <t xml:space="preserve">Reexaminare Microcontrollere, an 3 EA  </t>
  </si>
  <si>
    <t xml:space="preserve">Examen semestru Semnale si Sisteme, an 2 EA </t>
  </si>
  <si>
    <t xml:space="preserve">Evaluare pe parcurs Semnale si Sisteme, an 2 EA </t>
  </si>
  <si>
    <t xml:space="preserve">Evaluare seminar Semnale si Sisteme, an 2 EA </t>
  </si>
  <si>
    <t xml:space="preserve">Examen restanta Semnale si Sisteme, an 2 EA </t>
  </si>
  <si>
    <t xml:space="preserve">Reexaminare Semnale si Sisteme, an 2 EA </t>
  </si>
  <si>
    <t xml:space="preserve">Examen semestru Interfete si Comunicatii de Date, an 3 EA </t>
  </si>
  <si>
    <t xml:space="preserve">Evaluare proiect Interfete si Comunicatii de Date, an 3 EA </t>
  </si>
  <si>
    <t xml:space="preserve">Examen restanta Interfete si Comunicatii de Date, an 3 EA </t>
  </si>
  <si>
    <t xml:space="preserve">Reexaminare Interfete si Comunicatii de Date, an 3 EA </t>
  </si>
  <si>
    <t>Examen Licenta Electronica Aplicata, 08.07.2022</t>
  </si>
  <si>
    <t>Examen Licenta Electronica Aplicata, 08.07.2023</t>
  </si>
  <si>
    <t>Evaluare an 2 C - curs SIO-EP - 74 studenti
Evaluare an 4 ISM - curs DM - 36 studenti
Evaluare an 3 C+TI  - curs RI(MRF)  - 68 studenti 
======================================
TOTAL 178 studenti</t>
  </si>
  <si>
    <t>Evaluare an 2 C - 2sgr laborator SIO - 22 studenti
Evaluare an 2 C - 2 sgr proiect POO - 26 studenti
Evaluare an 4 C - 2sgr laborator IA - 29 studenti
======================================
TOTAL 77 studenti</t>
  </si>
  <si>
    <r>
      <rPr>
        <sz val="10"/>
        <color theme="1"/>
        <rFont val="Arial Narrow"/>
      </rPr>
      <t xml:space="preserve">Curs an 2 EM: Inginerie software pentru conducerea proceselor industriale, </t>
    </r>
    <r>
      <rPr>
        <b/>
        <sz val="10"/>
        <color theme="1"/>
        <rFont val="Arial Narrow"/>
      </rPr>
      <t>31 studenți</t>
    </r>
    <r>
      <rPr>
        <sz val="10"/>
        <color theme="1"/>
        <rFont val="Arial Narrow"/>
      </rPr>
      <t xml:space="preserve">
Curs an 2 EA: Programare în Matlab, </t>
    </r>
    <r>
      <rPr>
        <b/>
        <sz val="10"/>
        <color theme="1"/>
        <rFont val="Arial Narrow"/>
      </rPr>
      <t>37 studenți</t>
    </r>
    <r>
      <rPr>
        <sz val="10"/>
        <color theme="1"/>
        <rFont val="Arial Narrow"/>
      </rPr>
      <t xml:space="preserve">
Lab. an 4 C  : PNS, 6sgr, </t>
    </r>
    <r>
      <rPr>
        <b/>
        <sz val="10"/>
        <color theme="1"/>
        <rFont val="Arial Narrow"/>
      </rPr>
      <t>46 studenți</t>
    </r>
    <r>
      <rPr>
        <sz val="10"/>
        <color theme="1"/>
        <rFont val="Arial Narrow"/>
      </rPr>
      <t xml:space="preserve">
Lab. an 2 EM: Programare în Matlab, </t>
    </r>
    <r>
      <rPr>
        <b/>
        <sz val="10"/>
        <color theme="1"/>
        <rFont val="Arial Narrow"/>
      </rPr>
      <t xml:space="preserve">31 studenți
</t>
    </r>
    <r>
      <rPr>
        <sz val="10"/>
        <color theme="1"/>
        <rFont val="Arial Narrow"/>
      </rPr>
      <t xml:space="preserve">Lab. an 4 EA:Rețele Neurale, </t>
    </r>
    <r>
      <rPr>
        <b/>
        <sz val="10"/>
        <color theme="1"/>
        <rFont val="Arial Narrow"/>
      </rPr>
      <t>28 studenți</t>
    </r>
    <r>
      <rPr>
        <sz val="10"/>
        <color theme="1"/>
        <rFont val="Arial Narrow"/>
      </rPr>
      <t xml:space="preserve">
</t>
    </r>
    <r>
      <rPr>
        <b/>
        <sz val="10"/>
        <color theme="1"/>
        <rFont val="Arial Narrow"/>
      </rPr>
      <t>Total studenți: 173</t>
    </r>
  </si>
  <si>
    <t>Admitere master sept. - doctorat (3s)</t>
  </si>
  <si>
    <t xml:space="preserve">Evaluare licenta 
ISM febr+iulie = 3+26 = 29
</t>
  </si>
  <si>
    <t>29 *2 / 3 = 19,3</t>
  </si>
  <si>
    <t>Evaluare disertatie
ACS iulie = 15</t>
  </si>
  <si>
    <t>Examen mACS ASOSE an 2 (34 s)</t>
  </si>
  <si>
    <t>34*1,35 / 3 = 15,3</t>
  </si>
  <si>
    <t>Examen AII C an 4 (60 s)</t>
  </si>
  <si>
    <t>60*1,35 / 3 = 27</t>
  </si>
  <si>
    <t>Examen ISI TI an 4 (30 s)</t>
  </si>
  <si>
    <t>30*1,35 / 3 = 13,5</t>
  </si>
  <si>
    <t>Examen licenta EA (27 stud.)</t>
  </si>
  <si>
    <t>Comisie Licenta</t>
  </si>
  <si>
    <t xml:space="preserve"> ISM IV  (36)	Modelare identficare simulare
  EA IV	 (28)	Modelarea si simularea sistemelor
  EA III (24)	Prelucrarea digitala a semnalelor
  EA III (24)	Metode numerice
  EM III (17)	Metode numerice
==================================================
Evaluare parcus (100%) + Examen (100%) + Restanta (25%) + Reexaminare (5%)</t>
  </si>
  <si>
    <t xml:space="preserve">Examen licență </t>
  </si>
  <si>
    <t>57 /3=19x2=38</t>
  </si>
  <si>
    <t>Examen dizertație</t>
  </si>
  <si>
    <t>17i3=5.66x3=17</t>
  </si>
  <si>
    <t>Examene de semestru 4EM EEA 20 studenti</t>
  </si>
  <si>
    <t>20*1.35/3=9</t>
  </si>
  <si>
    <t>Exaamen 3 EM MEII 17 studenti</t>
  </si>
  <si>
    <t>17*1.35/3= 7.65</t>
  </si>
  <si>
    <t>Evaluări examen 2 EM 31 studenti</t>
  </si>
  <si>
    <t>31*1.35/3=13.95</t>
  </si>
  <si>
    <t>Admitere Master AAIE (iulie +sept.) 47 studenti</t>
  </si>
  <si>
    <t>membru comisie</t>
  </si>
  <si>
    <t>47*2/3=</t>
  </si>
  <si>
    <t>Evaluări pe parcurs 68 studenti</t>
  </si>
  <si>
    <t>68 studenti/3=104</t>
  </si>
  <si>
    <t xml:space="preserve">Evaluare an 1 C - curs Limbaje de programare - 74 studenti
Evaluare an 1 ICAI - curs SDA - 30 studenti
Evaluare an 3 C - curs IS - 87 studenti
======================================
TOTAL 190 studenti
Evaluare an 1 ICAI - proiect+laborator SDA - 30 studenti
======================================
TOTAL 30 studenti
</t>
  </si>
  <si>
    <t>190 * 1.35 / 3 + 30/3 = 95.5</t>
  </si>
  <si>
    <t xml:space="preserve">Evaluare licenta 
C febr+iulie = 6+71 = 77
</t>
  </si>
  <si>
    <t>77 / 3 *2 = 51.33</t>
  </si>
  <si>
    <t>Evaluare disertatie
ICAI febr+iulie = 2 + 23 = 28</t>
  </si>
  <si>
    <t>25 / 3 * 3 = 28</t>
  </si>
  <si>
    <t>Examen, restențe, reexaminare - Introducere in inginerie electrica - 1EM (19) si 1 EA (21)  Curs - 40 stud</t>
  </si>
  <si>
    <t>40/3 * 1,35</t>
  </si>
  <si>
    <t>Evaluare pe parcurs - Introducere in inginerie electrica - 1EM (19) si 1 EA (21) -  Curs si seminar  - 40 stud</t>
  </si>
  <si>
    <t>40/3 *2</t>
  </si>
  <si>
    <t>Examen, restențe, reexaminare - Teoria circuitelor electrice - 1EM (19) si 1 EA (21)  Curs - 40 stud</t>
  </si>
  <si>
    <t>Evaluare pe parcurs - Teoria circuitelor electrice - 1EM (19) si 1 EA (21)  Curs - 40 stud</t>
  </si>
  <si>
    <t>40 /3</t>
  </si>
  <si>
    <t>Examen, restențe, reexaminare - Electrotehnică - 1C - 73 stud</t>
  </si>
  <si>
    <t>73/3 * 1,35</t>
  </si>
  <si>
    <t>Evaluare pe parcurs - Electrotehnică - 1C - 73 stud</t>
  </si>
  <si>
    <t>73 /3</t>
  </si>
  <si>
    <t>Examen, restențe, reexaminare - Producearea, transp.si distrib. en.el. - 4 EM - 20 stud</t>
  </si>
  <si>
    <t>20/3 * 1,35</t>
  </si>
  <si>
    <t>Evaluare pe parcurs - Producearea, transp.si distrib. en.el. - 4 EM - 20 stud</t>
  </si>
  <si>
    <t>20 /3</t>
  </si>
  <si>
    <t>Licenta Electromecanica( 6 febr + 19 iulie) - 25 stud</t>
  </si>
  <si>
    <t>25/3*2</t>
  </si>
  <si>
    <t>Disertație AAIE (3 febr + 14 iulie ) - 17 stud</t>
  </si>
  <si>
    <t>17/3*3</t>
  </si>
  <si>
    <t>Evaluare an 4 EM - curs MES - 20 studenti
Evaluare an 3 EM - curs AE I - 17 studenti
    Evaluare an 3 EM - curs AE II - 17 studenti
Evaluare an 2 IMPI+TDDH - curs ELECTRO - 17+24 studenti =41 studenti          
======================================
TOTAL 95 studenti</t>
  </si>
  <si>
    <t>95 * 1.35 / 3 = 42.75</t>
  </si>
  <si>
    <t>Evaluare pe parcurs
Evaluare an 2 TTC - 1 sgr. laborator Electro - 8 studenti
Evaluare an 2 TI - 2 sgr. laborator MASURARI, 24 studentiI Evaluare an 4 EM - 2 sgr proiect MES - 20 studenti
Evaluare an 4 EM - 2 sgr laborator MES - 20 studenti      Evaluare an 3 EM - 1 sgr laborator AE I - 17 studenti      Evaluare an 3 EM - 1 sgr laborator AE II - 17 studenti     Evaluare an 2 IMPI -1sgr laborator Electro  - 17 studenti
Evaluare an 2 TDDH - 2sgr laborator Electro - 24 studenti
TOTAL 139 studenti</t>
  </si>
  <si>
    <t>147/3= 49</t>
  </si>
  <si>
    <t>Evaluare an 2 C - curs Teoria probabilităților și statistică matematică - 74 studenti
Evaluare an 4 C - curs Fiabilitate sofware - 92 studenti
Evaluare an 4 TI curs Sisteme tolerante la defecte - 37 studenti
Evaluare an 4 C+TI - curs Învățare automată  - 92+37 studenti
Evaluare an 3 C - proiect Inteligenţă Artificială 6 semigrupe - 87 studenti
============================TOTAL 419 studenti</t>
  </si>
  <si>
    <t>419 * 1.35 / 3 = 148.95</t>
  </si>
  <si>
    <t>Evaluare licenta 
C febr+iulie = 6+71 = 77
TI febr+iulie = 8+22 = 30
=====================
TOTAL 107 studenti</t>
  </si>
  <si>
    <t>107 / 3 *2 = 71.33</t>
  </si>
  <si>
    <t>Evaluare disertatie
ACS febr+iulie = 0 + 15 = 15 Evaluare disertatie ICAI febr+iulie = 2 + 23 = 25 =====================
TOTAL 40 studenti</t>
  </si>
  <si>
    <t>40 / 3 * 3 = 40</t>
  </si>
  <si>
    <t>Examen de licenta - Iul 2022 ISM An4</t>
  </si>
  <si>
    <t xml:space="preserve">26 / 3 X 2 </t>
  </si>
  <si>
    <t>Examen de licenta - Feb 2022 ISM An4</t>
  </si>
  <si>
    <t xml:space="preserve">3 / 3 X 2 </t>
  </si>
  <si>
    <t>Examen + restanta + reexaminare Interactiune om Calculator - Feb 2022 (Calc, TI) An4</t>
  </si>
  <si>
    <t>(129*1,35)/3</t>
  </si>
  <si>
    <t>Colocviu Baze de date + restanta + reexaminare - Ian 2022 (Calc ) An 3</t>
  </si>
  <si>
    <t>(87*1,35)/3</t>
  </si>
  <si>
    <t>Laborator Proiectarea BD III TI 1sgrt 12 p</t>
  </si>
  <si>
    <t xml:space="preserve">12 studenti /3 </t>
  </si>
  <si>
    <t>Laborator Baze de date lab (III ISM 1 sgrt)=13 pers</t>
  </si>
  <si>
    <t xml:space="preserve">13 studenti / 3 </t>
  </si>
  <si>
    <t>Examene de semestru, restanță, reexaminare, 2EM-SD, 2EA-CID, 2 EM-TR, 2EA-BS,2C-ED,2MEC-ED, 2MEC-ENGL-DE, 2ROB-ED,3MEC-SAD,3ROB-SAD,3MEC-ENGL_DAS</t>
  </si>
  <si>
    <t>333x1,35 studenti/3=149.85</t>
  </si>
  <si>
    <t>Evaluări pe parcurs ,III MEC+ROB - 2 sgr</t>
  </si>
  <si>
    <t>27 studenti/3=9</t>
  </si>
  <si>
    <t>Rezistenta materialelor (C - II IEDM - 39 stud) examen semestru</t>
  </si>
  <si>
    <t>Rezistenta materialelor (C - II IEDM - 39 stud) restanta</t>
  </si>
  <si>
    <t>Rezistenta materialelor (C - II IEDM - 39 stud) reexaminare</t>
  </si>
  <si>
    <t>Rezistenta materialelor (C - II Mec - 30 stud) examen semestru</t>
  </si>
  <si>
    <t>Rezistenta materialelor (C - II Mec - 30 stud) restanta</t>
  </si>
  <si>
    <t>Rezistenta materialelor (C - II Mec - 30 stud) reexaminare</t>
  </si>
  <si>
    <t>Rezistenta materialelor (C - II Rob - 21 stud) examen semestru</t>
  </si>
  <si>
    <t>Rezistenta materialelor (C - II Rob - 21 stud) restanta</t>
  </si>
  <si>
    <t>Rezistenta materialelor (C - II Rob - 21 stud) reexaminare</t>
  </si>
  <si>
    <t>Rezistenta materialelor (C - II Elm - 31 stud) examen semestru</t>
  </si>
  <si>
    <t>Rezistenta materialelor (C - II Elm - 31 stud) restanta</t>
  </si>
  <si>
    <t>Rezistenta materialelor (C - II Elm - 31 stud) reexaminare</t>
  </si>
  <si>
    <t>Rezistenta materialelor (C - II IPMI - 17 stud) examen semestru</t>
  </si>
  <si>
    <t>Rezistenta materialelor (C - II IPMI - 17 stud) restanta</t>
  </si>
  <si>
    <t>Rezistenta materialelor (C - II IPMI - 17 stud) reexaminare</t>
  </si>
  <si>
    <t>Rezistenta materialelor (C - III TDDH - 24 stud) examen semestru</t>
  </si>
  <si>
    <t>Rezistenta materialelor (C - III TDDH - 24 stud) restanta</t>
  </si>
  <si>
    <t>Rezistenta materialelor (C - III TDDH - 24 stud) reexaminare</t>
  </si>
  <si>
    <t>Examen de licență - martie 2022, membru comisie, MEC, 3 studenți</t>
  </si>
  <si>
    <t>Examen de licență - iulie 2022, membru comisie, MEC, 41 studenți</t>
  </si>
  <si>
    <t>Examen de licență - iulie 2022, membru comisie, MEC-EN, 4 studenți</t>
  </si>
  <si>
    <t>Proba orala admitere master - iulie 2022, SMA, 34 studenți</t>
  </si>
  <si>
    <t>Rezistența Materialelor (C - anul II, Elm, 31 stud), evaluare finală</t>
  </si>
  <si>
    <t>Rezistența Materialelor (C - anul II, R, 21 stud), evaluare finală</t>
  </si>
  <si>
    <t xml:space="preserve"> Rezistența Materialelor (C - anul II, TTC, 8 stud), evaluare finală</t>
  </si>
  <si>
    <t xml:space="preserve"> Rezistența Materialelor (C - anul II, ITT, 23 stud), evaluare finală</t>
  </si>
  <si>
    <t xml:space="preserve"> Rezistența Materialelor (C - anul II, IEDM, 39 stud), evaluare finală</t>
  </si>
  <si>
    <t xml:space="preserve"> Rezistența Materialelor (C - anul II, SPD, 27 stud), evaluare finală</t>
  </si>
  <si>
    <t>Rezistența Materialelor (C - anul II, IPMI, 17 stud), evaluare finală</t>
  </si>
  <si>
    <t>Rezistența Materialelor (C - anul II, MEC, 30 stud), evaluare finală</t>
  </si>
  <si>
    <t>Rezistența Materialelor (S - anul II, Elm, 31 stud), evaluare pe parcurs</t>
  </si>
  <si>
    <t>Rezistența Materialelor (S - anul II, R, 21 stud), evaluare pe parcurs</t>
  </si>
  <si>
    <t xml:space="preserve"> Rezistența Materialelor (S - anul II, TTC, 8 stud), evaluare pe parcurs</t>
  </si>
  <si>
    <t xml:space="preserve"> Rezistența Materialelor (S - anul II, ITT, 23 stud), evaluare pe parcurs</t>
  </si>
  <si>
    <t xml:space="preserve"> Rezistența Materialelor (S - anul II, IEDM, 39 stud), evaluare pe parcurs</t>
  </si>
  <si>
    <t xml:space="preserve"> Rezistența Materialelor (S - anul II, SPD, 27 stud), evaluare pe parcurs</t>
  </si>
  <si>
    <t>Rezistența Materialelor (S - anul II, IPMI, 17 stud), evaluare pe parcurs</t>
  </si>
  <si>
    <t>Rezistența Materialelor (S - anul II, MEC, 30 stud), evaluare pe parcurs</t>
  </si>
  <si>
    <t>Rezistența Materialelor (C - anul II, Elm, 31 stud), restanță</t>
  </si>
  <si>
    <t>Rezistența Materialelor (C - anul II, R, 21 stud), restanță</t>
  </si>
  <si>
    <t xml:space="preserve"> Rezistența Materialelor (C - anul II, TTC, 8 stud), restanță</t>
  </si>
  <si>
    <t xml:space="preserve"> Rezistența Materialelor (C - anul II, ITT, 23 stud), restanță</t>
  </si>
  <si>
    <t xml:space="preserve"> Rezistența Materialelor (C - anul II, IEDM, 39 stud), restanță</t>
  </si>
  <si>
    <t xml:space="preserve"> Rezistența Materialelor (C - anul II, SPD, 27 stud), restanță</t>
  </si>
  <si>
    <t>Rezistența Materialelor (C - anul II, IPMI, 17 stud), restanță</t>
  </si>
  <si>
    <t>Rezistența Materialelor (C - anul II, MEC, 30 stud), restanță</t>
  </si>
  <si>
    <t>1,25</t>
  </si>
  <si>
    <t>Grafica asistata de calculator 2 (L - I Mec - 12 stud) evaluare de parcurs</t>
  </si>
  <si>
    <t>Grafica asistata de calculator 2 (C - I Mec - 35 stud) examen semestru</t>
  </si>
  <si>
    <t>Grafica asistata de calculator 2 (C - I Mec - 35 stud) restanta</t>
  </si>
  <si>
    <t>Tehnologia fabricatiei echipamentelor electromecanice (L - IV Elm - 20) evaluare de parcurs</t>
  </si>
  <si>
    <t>Tehnologia fabricatiei echipamentelor electromecanice (P - IV Elm - 20) evaluare de parcurs</t>
  </si>
  <si>
    <t>Tehnologia fabricatiei echipamentelor electromecanice (C - IV Elm - 20) examen semestru</t>
  </si>
  <si>
    <t>Tehnologia fabricatiei echipamentelor electromecanice (C - IV Elm - 20) restanta</t>
  </si>
  <si>
    <t>Sisteme auxiliare in robotica (L - IV Rob - 9) evaluare de parcurs</t>
  </si>
  <si>
    <t>Sisteme auxiliare in robotica (L - IV Rob - 9) examen semestru</t>
  </si>
  <si>
    <t>Grafica asistata de calculator 2 (L - I Rob - 12 stud) evaluare de parcurs</t>
  </si>
  <si>
    <t>Grafica asistata de calculator 2 (C - I Rob - 24 stud) examen semestru</t>
  </si>
  <si>
    <t>Grafica asistata de calculator 2 (C - I Rob - 24 stud) restanta</t>
  </si>
  <si>
    <t>Roboti industriali (L - III SPD - 12 stud) evaluare de parcurs</t>
  </si>
  <si>
    <t>Roboti industriali (C- III SPD - 12) examen semestru</t>
  </si>
  <si>
    <t>Roboti industriali (C - III SPD - 12) restanta</t>
  </si>
  <si>
    <t>Dinamica robotilor (L - III Rob - 18) evaluare de parcurs</t>
  </si>
  <si>
    <t>Dinamica robotilor (C - III Rob - 18) examen semestru</t>
  </si>
  <si>
    <t>Dinamica robotilor (C - III Rob - 18) restanta</t>
  </si>
  <si>
    <t>Proiectarea asistata a masinilor si utilajelor (L - IV SPD - 14) evaluare de parcurs</t>
  </si>
  <si>
    <t>Proiectarea asistata a masinilor si utilajelor (C - IV SPD - 14) examen semestru</t>
  </si>
  <si>
    <t>Proiectarea asistata a masinilor si utilajelor (C - IV SPD - 14) restanta</t>
  </si>
  <si>
    <t>Proiectarea asistata de calculator pentru SFF (L - IV Rob - 9) evaluare de parcurs</t>
  </si>
  <si>
    <t>Proiectarea asistata de calculator pentru SFF (C - IV Rob - 9) examen semestru</t>
  </si>
  <si>
    <t>Proiectarea asistata de calculator pentru SFF (C - IV Rob - 9) restanta</t>
  </si>
  <si>
    <t>Sisteme flexibile de fabricatie (L - IV SPD - 14) evaluare de parcurs</t>
  </si>
  <si>
    <t>Sisteme flexibile de fabricatie (C - IV SPD - 14) examen semestru</t>
  </si>
  <si>
    <t>Sisteme flexibile de fabricatie (C - IV SPD - 14) restanta</t>
  </si>
  <si>
    <t>Proiectarea masinilor si sistemelor de productie 2 (P - IV SPD - 14) evaluare de parcurs</t>
  </si>
  <si>
    <t>Proiectarea masinilor si sistemelor de productie 2 C - IV SPD - 14) examen semestru</t>
  </si>
  <si>
    <t>Proiectarea masinilor si sistemelor de productie 2 C - IV SPD - 14) restanta</t>
  </si>
  <si>
    <t>Senzori si sisteme senzoriale (L - III Rob - 18) evaluare de parcurs</t>
  </si>
  <si>
    <t>Senzori si sisteme senzoriale (C - III Rob - 18) examen semestru</t>
  </si>
  <si>
    <t>Senzori si sisteme senzoriale (C - III Rob - 18) restanta</t>
  </si>
  <si>
    <t>Controlul produselor prin masurare asistata  (L - III Rob - 18) evaluare de parcurs</t>
  </si>
  <si>
    <t>Controlul produselor prin masurare asistata  (C - III Rob - 18) examen semestru</t>
  </si>
  <si>
    <t>Controlul produselor prin masurare asistata (C - III Rob - 18) restanta</t>
  </si>
  <si>
    <t>Examen de licență, secretar comisie, Rob, 3 studenți</t>
  </si>
  <si>
    <t>Proba orala admitere master - septembrie 2022, SMA, 22 studenți</t>
  </si>
  <si>
    <t xml:space="preserve">FING4 </t>
  </si>
  <si>
    <t xml:space="preserve">MU pt prelucrari prin def plastica 2 - 4 SPD  - 14 stud 
Evaluare finala - </t>
  </si>
  <si>
    <t>MU pt prelucrari prin def plastica 2 - 4 SPD  - 14 stud Restanta  25%</t>
  </si>
  <si>
    <t>MU pt prelucrari prin def plastica 2 - 4 SPD  - 14 stud Reexaminare 10%</t>
  </si>
  <si>
    <t xml:space="preserve">MU pt prelucrari prin def plastica 2 - 4 SPD  - 14 stud  
Evaluare pe parcurs </t>
  </si>
  <si>
    <t>MU pt prelucrari prin def plastica 2 - 3 SPD - 12 stud 
Evaluare finala</t>
  </si>
  <si>
    <t>MU pt prelucrari prin def plastica 2 - 3 SPD - 12 stud Restanta  25%</t>
  </si>
  <si>
    <t>MU pt prelucrari prin def plastica 2 - 3 SPD - 12 stud Reexaminare 10%</t>
  </si>
  <si>
    <t>MU pt prelucrari prin def plastica 2 - 3 SPD - 12 stud 
Evaluare pe parcurs</t>
  </si>
  <si>
    <t>Proiectarea masinilor unelte si sist. de productie - 3 SPD - 12 stud -  Evaluare finala</t>
  </si>
  <si>
    <t>Proiectarea MUSP - 3 SPD - 12 stud 
Restanta  25%</t>
  </si>
  <si>
    <t>Proiectarea MUSP - 3 SPD - 12 stud  
Reexaminare 10%</t>
  </si>
  <si>
    <t xml:space="preserve">Proiectarea masinilor unelte si sist. de productie - 3 SPD - 12 stud - Evaluare pe parcurs </t>
  </si>
  <si>
    <t>Sist pt prelucrarea mat. nemetalice - 4 SPD - 14 stud
Evaluare finala</t>
  </si>
  <si>
    <t>Sist pt prelucrarea mat. nemetalice - 4 SPD - 14 stud Restanta  25%</t>
  </si>
  <si>
    <t>Sist pt prelucrarea mat. nemetalice - 4 SPD - 14 stud Reexaminare 10%</t>
  </si>
  <si>
    <t>Sist pt prelucrarea mat. nemetalice -4 SPD - 14 stud - Evaluare pe parcurs</t>
  </si>
  <si>
    <t xml:space="preserve">Tehnologii de proc.a mat.polim.- 3TCM 1 sgL - 12 stud - Evaluare periodica </t>
  </si>
  <si>
    <t>Tehnologii de proc.a mat.polim.- 3TCM 1 sgL - 48 stud - Evaluare finala</t>
  </si>
  <si>
    <t>Tehnologii de proc.a mat.polim.- 3TCM 1 sgL - 48 stud - Restanta 25%</t>
  </si>
  <si>
    <t>Tehnologii de proc.a mat.polim.- 3TCM 1 sgL - 48 stud - Reexaminare 10%</t>
  </si>
  <si>
    <t>Examen de admitere master SMA (34 iulie + 22 sept = 56 stud)</t>
  </si>
  <si>
    <t>Examen licenta SPD (15+5 febr =20 stud)</t>
  </si>
  <si>
    <t>Examen licenta Robotica (3 stud)</t>
  </si>
  <si>
    <t>Examen disertatie SPMSCNC - (1 stud febr)</t>
  </si>
  <si>
    <t>Examen disertatie SCCC (24 + 1 = 25 stud)</t>
  </si>
  <si>
    <t>Examen licenta Mecatronica (41 stud)</t>
  </si>
  <si>
    <t>Supleant</t>
  </si>
  <si>
    <t>Examen licenta Mecatronica Engleza (4 stud)</t>
  </si>
  <si>
    <t>Structuri textile-tricoturi (C - III TTC - 11 stud.) evaluare finala</t>
  </si>
  <si>
    <t>Structuri textile-tricoturi (C - III IEI - 19 stud.) evaluare finala</t>
  </si>
  <si>
    <t>Structuri textile-tricoturi (L - III TTC - 11 stud.) evaluare de parcurs</t>
  </si>
  <si>
    <t>Structuri textile-tricoturi (L - III TTC - 11 stud.) evaluare finala</t>
  </si>
  <si>
    <t>Controlul si asigurarea calitatii in tex (C - III TTC - 11 stud.)  evaluare finala</t>
  </si>
  <si>
    <t>Controlul si asigurarea calitatii in tex  (L - III TTC - 11 stud.)  evaluare de parcurs</t>
  </si>
  <si>
    <t>Controlul si asigurarea calitatii in tex  (L - III TTC - 11 stud.)  evaluare finala</t>
  </si>
  <si>
    <t>Structura si proiectarea tricoturilor  (C - III TTC -11 stud.)  evaluare finala</t>
  </si>
  <si>
    <t>Structura si proiectarea tricoturilor  (L - III TTC - 11 stud.)  evaluare de parcurs</t>
  </si>
  <si>
    <t>Structura si proiectarea tricoturilor  (L - III TTC - 11 stud.)  evaluare finala</t>
  </si>
  <si>
    <t>Structura si proiectarea tricoturilor  (P - III TTC - 11 stud.)  evaluare finala</t>
  </si>
  <si>
    <t>Proiectare asist de calc în tricotaje  (C - IV IEI - 19 stud.)  evaluare finala</t>
  </si>
  <si>
    <t>Proiectare asist de calc în tricotaje (L - IV IEI - 19 stud.)  evaluare finala</t>
  </si>
  <si>
    <t>Structuri textile-tricoturi (L - III IEI - 19 stud.)  evaluare de parcurs</t>
  </si>
  <si>
    <t>Structuri textile-tricoturi (L - III IEI - 19 stud.)  evaluare finala</t>
  </si>
  <si>
    <t>Dezvoltarea tehnologiilor de tricotare (C - IV TTC - 17 stud.) evaluare finala</t>
  </si>
  <si>
    <t>Structuri textile-tricoturi (C - III TTC - 7 stud.) restanta</t>
  </si>
  <si>
    <t>Structura si proiectarea tricoturilor  (C - III TTC -7 stud.) restanta</t>
  </si>
  <si>
    <t>Controlul si asigurarea calitatii in tex (C - III TTC - 1 stud.) restanta</t>
  </si>
  <si>
    <t>Dezvoltarea tehnologiilor de tricotare (C - IV TTC - 4 stud.) restanta</t>
  </si>
  <si>
    <t>Structuri textile-tricoturi (C - III IEI - 8 stud.) restanta</t>
  </si>
  <si>
    <t>Examen de licență, TTC, 17 studenți</t>
  </si>
  <si>
    <t>Examen de licență, IEI, 19 studenți</t>
  </si>
  <si>
    <t>Automate programabile IV MEC-E, 7 studenți, evaluare pe parcurs</t>
  </si>
  <si>
    <t>Automate programabile IV MEC-E, 7 studenți, evaluare finală</t>
  </si>
  <si>
    <t>Programarea microcontrollerelor III MEC-E, 8 studenți, evaluare pe parcurs</t>
  </si>
  <si>
    <t>Programarea microcontrollerelor III MEC-E, 8 studenți, evaluare finală</t>
  </si>
  <si>
    <t>Teoria sistemelor automate IIISPD, 15 studenți, evaluare pe parcurs</t>
  </si>
  <si>
    <t>Examen de licență, SPD, 20 studenți</t>
  </si>
  <si>
    <t>Exemen de licență, MEC + MEC-E, 48 studenți</t>
  </si>
  <si>
    <t>Exemen de disertație SCCCDP, 24 studenți</t>
  </si>
  <si>
    <t>Exemen de disertație SMA, 14 studenți</t>
  </si>
  <si>
    <t>Examen de admitere la doctorat, 9 candidați</t>
  </si>
  <si>
    <t>Actionari electrice pentru masini unelte (C- IIISPD - 12 stud ) evaluare finala</t>
  </si>
  <si>
    <t>Actionari electrice pentru masini unelte (L- IIISPD - 12 stud ) evaluare parcurs</t>
  </si>
  <si>
    <t>Actionari electrice pentru masini unelte (P- IIISPD - 12 stud ) evaluare parcurs</t>
  </si>
  <si>
    <t>Comanda si programarea masinilor unelte cu comanda numerica (C- IIISPD - 12 stud) evaluare finala</t>
  </si>
  <si>
    <t>Comanda si programarea masinilor unelte cu comanda numerica (L- IIISPD - 12 stud) evaluare partiala</t>
  </si>
  <si>
    <t>Comanda si programarea masinilor unelte cu comanda numerica (P- IIISPD - 12 stud) evaluare partiala</t>
  </si>
  <si>
    <t>Automatizarea sistemelor de fabricatie 2 (C- IVSPD - 14 stud ) evaluare finala</t>
  </si>
  <si>
    <t>Automatizarea sistemelor de fabricatie 2 (L- IVSPD - 14 stud ) evaluare partiala</t>
  </si>
  <si>
    <t>Comanda si programarea MUCN (L- IV R - 16 stud ) evaluare finala</t>
  </si>
  <si>
    <t>Comanda si programarea MUCN (L- IV R - 16 stud ) evaluare partiala</t>
  </si>
  <si>
    <t>Programarea echip de comanda numerica (L- IV MEC - 47 stud ) evaluare finala</t>
  </si>
  <si>
    <t>Programarea echip de comanda numerica (L- IV MEC - 47 stud ) evaluare partiala</t>
  </si>
  <si>
    <t>Examen proba orala de verificare cunostinte  MASTER  inginerie Industriala sesiunea iulie (74 studenti)</t>
  </si>
  <si>
    <t>Evaluare pe parcurs - Istoria tehnicii - curs - I Mec -35 studenți + I Rob - 24 studenți</t>
  </si>
  <si>
    <t>Colocviu -  Istoria tehnicii - curs - I Mec -35 studenți + I Rob - 24 studenți</t>
  </si>
  <si>
    <t>Evaluare pe parcurs - Bazele sistemelor mecatronice - curs - II Mec -30 studenți + II Rob - 21 studenți</t>
  </si>
  <si>
    <t>Colocviu - Bazele sistemelor mecatronice - curs - II Mec -30 studenți + II Rob - 21 studenți</t>
  </si>
  <si>
    <t>Evaluare pe parcurs - Tehnici si sisteme de masurare - curs - III Mec -27 studenți</t>
  </si>
  <si>
    <t>Colocviu- Tehnici si sisteme de masurare - curs - III Mec -27 studenți</t>
  </si>
  <si>
    <t>Evaluare pe parcurs - Controlul produselor prin măsuare asistată - curs - III Rob -18 studenți</t>
  </si>
  <si>
    <t>Colocviu- Controlul produselor prin măsuare asistată - curs - III Rob -18 studenți</t>
  </si>
  <si>
    <t>Evaluare pe parcurs - Etică și integritate academică - curs -IV SPD -14 studenți</t>
  </si>
  <si>
    <t>Colocviu-  Etică și integritate academică - curs -IV SPD -14 studenți</t>
  </si>
  <si>
    <t>Evaluare pe parcurs -Tehnici și echipamente de depoluarea solului I  - curs - IV IPMI -14 studenți</t>
  </si>
  <si>
    <t>Examen-Tehnici și echipamente de depoluarea solului I  - curs - IV IPMI -14 studenți</t>
  </si>
  <si>
    <t>Restante -  Istoria tehnicii - I Mec -35 studenți + I Rob - 24 studenți</t>
  </si>
  <si>
    <t>3 studenți/punct x 0,25</t>
  </si>
  <si>
    <t>Restanțe - Bazele sistemelor mecatronice  - II Mec -30 studenți + II Rob - 21 studenți</t>
  </si>
  <si>
    <t>Restanțe - Tehnici si sisteme de masurare - III Mec -27 studenți</t>
  </si>
  <si>
    <t>Restanțe - Controlul produselor prin măsuare asistată - III Rob -18 studenți</t>
  </si>
  <si>
    <t>3 studenți/punct x 2</t>
  </si>
  <si>
    <t>Desen Tehnic si Infografica (C - I - TCM+SPD 60+23 stud) examen semestru</t>
  </si>
  <si>
    <t>Desen Tehnic si Infografica 1 (C - I - IEDM 32 stud) examen semestru</t>
  </si>
  <si>
    <t>Desen Tehnic si Infografica 1 (L - I - IEDM 32 stud) evaluare parcurs</t>
  </si>
  <si>
    <t>Desen Tehnic si Infografica 2 (C - II - IEDM+IEI 32+21 stud) examen semestru</t>
  </si>
  <si>
    <t>Desen Tehnic si Infografica 1 (C - I - TDDH+IPMI 28+16 stud) examen semestru</t>
  </si>
  <si>
    <t>Geometrie Descriptiva (C - I - TCM+SPD 60+23 stud) examen semestru</t>
  </si>
  <si>
    <t>Grafica Asistata de Calculator (C - I - EA+EM 21+19 stud) examen semestru</t>
  </si>
  <si>
    <t>Desen Tehnic si Infografica (C - I - TCM+SPD 60+23 stud) evaluare parcurs</t>
  </si>
  <si>
    <t>Desen Tehnic si Infografica 1 (C - I - IEDM 32 stud) evaluare parcurs</t>
  </si>
  <si>
    <t>Desen Tehnic si Infografica 2 (C - II - IEDM+IEI 32+21 stud) evaluare parcurs</t>
  </si>
  <si>
    <t>Desen Tehnic si Infografica 1 (C - I - TDDH+IPMI 28+16 stud) evaluare parcurs</t>
  </si>
  <si>
    <t>Geometrie Descriptiva (C - I - TCM+SPD 60+23 stud) evaluare parcurs</t>
  </si>
  <si>
    <t>Grafica Asistata de Calculator (C - I - EA+EM 21+19 stud) evaluare parcurs</t>
  </si>
  <si>
    <t>Desen Tehnic si Infografica (C - I - TCM+SPD 60+23 stud) restanta</t>
  </si>
  <si>
    <t>Desen Tehnic si Infografica 1 (C - I - IEDM 32 stud) restanta</t>
  </si>
  <si>
    <t>Desen Tehnic si Infografica 2 (C - II - IEDM+IEI 32+21 stud) restante</t>
  </si>
  <si>
    <t>Desen Tehnic si Infografica 1 (C - I - TDDH+IPMI 28+16 stud) restante</t>
  </si>
  <si>
    <t>Geometrie Descriptiva (C - I - TCM+SPD 60+23 stud) restanta</t>
  </si>
  <si>
    <t>Grafica Asistata de Calculator (C - I - EA+EM 21+19 stud) restante</t>
  </si>
  <si>
    <t>Desen Tehnic si Infografica (C - I - TCM+SPD 60+23 stud) reexaminare</t>
  </si>
  <si>
    <t>Desen Tehnic si Infografica 1 (C - I - IEDM 32 stud) reexaminare</t>
  </si>
  <si>
    <t>Desen Tehnic si Infografica 2 (C - II - IEDM+IEI 32+21 stud) reexaminare</t>
  </si>
  <si>
    <t>Desen Tehnic si Infografica 1 (C - I - TDDH+IPMI 28+16 stud) reexaminare</t>
  </si>
  <si>
    <t>Geometrie Descriptiva (C - I - TCM+SPD 60+23 stud) reexaminare</t>
  </si>
  <si>
    <t>Grafica Asistata de Calculator (C - I - EA+EM 21+19 stud) reexaminare</t>
  </si>
  <si>
    <t>Bazele proceselor in tricotaje 1 (C- III TTC-11 stud)- evaluare pe parcurs</t>
  </si>
  <si>
    <t>Bazele proceselor in tricotaje 1 (C- III TTC-11 stud)- evaluare finala</t>
  </si>
  <si>
    <t>Bazele proceselor in tricotaje 1 (C- III TTC-11 stud)- restanta</t>
  </si>
  <si>
    <t>Tehnologia tricoturilor1 (C- III IEI-19 stud)- evaluare pe parcurs</t>
  </si>
  <si>
    <t>Tehnologia tricoturilor1 (C- III IEI-19 stud)- evaluare finala</t>
  </si>
  <si>
    <t>Bazele proceselor in tricotaje 2 (C- III TTC-11 stud)- evaluare pe parcurs</t>
  </si>
  <si>
    <t>Bazele proceselor in tricotaje 2 (C- III TTC-11 stud)- evaluare finala</t>
  </si>
  <si>
    <t>Bazele proceselor in tricotaje 2 (C- III TTC-11 stud)- restanta</t>
  </si>
  <si>
    <t>Tehnologia tricoturilor 2 (C- III IEI-19 stud)- evaluare pe parcurs</t>
  </si>
  <si>
    <t>Tehnologia tricoturilor2 (C- III IEI-19 stud)- evaluare finala</t>
  </si>
  <si>
    <t>Tehnologia tricoturilor2 (C- III IEI-19 stud)- restanta</t>
  </si>
  <si>
    <t>Procese si masini pentru tricotaje 1 (C- IV TTC-17 stud)- evaluare pe parcurs</t>
  </si>
  <si>
    <t>Procese si masini pentru tricotaje 1 (C- IV TTC-17 stud)- evaluare finala</t>
  </si>
  <si>
    <t>Procese si masini pentru tricotaje 1 (C- IV TTC-17 stud)- restanta</t>
  </si>
  <si>
    <t>Procese si masini pentru tricotaje 1 (C IV TTC-17 stud)- reexaminare</t>
  </si>
  <si>
    <t>Procese si masini pentru tricotaje 1 (L IV TTC - 17 stud)-evaluare pe parcurs</t>
  </si>
  <si>
    <t>Tehnologii pentru tricoturi functionale (C- IV TTC-17 stud)- evaluare pe parcurs</t>
  </si>
  <si>
    <t>Tehnologii pentru tricoturi functionale (C- IV TTC-17 stud)- evaluare finala</t>
  </si>
  <si>
    <t>Procese si masini pentru tricotaje 2 (C- IV TTC-17 stud)- evaluare pe parcurs</t>
  </si>
  <si>
    <t>Procese si masini pentru tricotaje 2 (C- IV TTC-17 stud)- evaluare finala</t>
  </si>
  <si>
    <t>Procese si masini pentru confectii 1 (C- IV TTC-17 stud)- evaluare pe parcurs</t>
  </si>
  <si>
    <t>Procese si masini pentru confectii 1 (C- IV TTC-17 stud)- evaluare finala</t>
  </si>
  <si>
    <t>Procese si masini pentru confectii 1 (C- IV TTC-4.25 stud)-restanta</t>
  </si>
  <si>
    <t>Procese si masini pentru confectii 2 (C- IV TTC-17 stud)- evaluare pe parcurs</t>
  </si>
  <si>
    <t>Procese si masini pentru confectii 2 (C- IV TTC-17 stud)- evaluare finala</t>
  </si>
  <si>
    <t>Procese si masini pentru confectii 1 (C- IV TTC-3 stud)-restanta</t>
  </si>
  <si>
    <t>Examen de licenta TTC- 17stud</t>
  </si>
  <si>
    <t>Fibre textile 1 (C-II TTC - 8 stud) evaluare pe parcurs</t>
  </si>
  <si>
    <t>Fibre textile 1 (C-II TTC- 8 stud) evaluare finală</t>
  </si>
  <si>
    <t>2,66</t>
  </si>
  <si>
    <t>Fibre textile 1 (C-II TTC- 8 stud) restanța</t>
  </si>
  <si>
    <t>Fibre textile 1 (C-II TTC- 8 stud) reexaminări</t>
  </si>
  <si>
    <t>Finisarea produselor textile1 (C-IV TTC - 17 stud) evaluare pe parcurs</t>
  </si>
  <si>
    <t>Ttular</t>
  </si>
  <si>
    <t>Finisarea produselor textile 1 (C- IV TTC -17 stud) evaluare finală</t>
  </si>
  <si>
    <t>Finisarea produselor textile 1 (C- IV TTC -17 stud) restanța</t>
  </si>
  <si>
    <t>Finisarea produselor textile 1 (C- IV TTC -17 stud) reexaminări</t>
  </si>
  <si>
    <t>Materii prime ptentru textile-pielărie 1 (C-II IEI -23 stud) evaluare pe parcurs</t>
  </si>
  <si>
    <t>Materii prime pentru textile-pielărie 1 (C-II IEI - 23 stud) evaluare finală</t>
  </si>
  <si>
    <t>Materii prime pentru textile-pielărie 1 (C-II IEI - 23 stud) restanța</t>
  </si>
  <si>
    <t>Materii prime pentru textile-pielărie 1 (C-II IEI - 23 stud) reexaminări</t>
  </si>
  <si>
    <t>Finisarea produselor textile 2 (C-IV TTC -17 stud) evaluare pe parcurs</t>
  </si>
  <si>
    <t>Finisarea produselor textile 2 (C-IV TTC -17 stud) evaluare finală</t>
  </si>
  <si>
    <t>Finisarea produselor textile 2 (C-IV TTC -17 stud) restanța</t>
  </si>
  <si>
    <t>Finisarea produselor textile 2 (C-IV TTC -17 stud) reexaminări</t>
  </si>
  <si>
    <t>Materii prime pentru textile-pielărie 2 (C-II IEI -23 stud) evaluare pe parcurs</t>
  </si>
  <si>
    <t>Materii prime pentru textile-pielărie 2 (C-II IEI - 23 stud) evaluare finală</t>
  </si>
  <si>
    <t>Materii prime pentru textile-pielărie 2 (C-II IEI - 23 stud) restanța</t>
  </si>
  <si>
    <t>Materii prime pentru textile-pielărie 2 (C-II IEI - 23 stud) reexaminări</t>
  </si>
  <si>
    <t>Examen de liicență TTC - 17 studenți</t>
  </si>
  <si>
    <t>Examen de licență IEI - 19 studenți</t>
  </si>
  <si>
    <t>Tiitular</t>
  </si>
  <si>
    <t xml:space="preserve">Evaluare finala / SFF - 4 SPD  - 14 stud </t>
  </si>
  <si>
    <t>Restanta  25%</t>
  </si>
  <si>
    <t>Reexaminare 10%</t>
  </si>
  <si>
    <t xml:space="preserve">Evaluare pe parcurs /SFF - 4 SPD  - 14 stud </t>
  </si>
  <si>
    <t xml:space="preserve">Evaluare periodica / SFF 1 - 4 Mec - 47 stud </t>
  </si>
  <si>
    <t xml:space="preserve">Evaluare pe parcurs / SFF 1 - 4 Mec - 47 stud </t>
  </si>
  <si>
    <t>Evaluare periodica / SFF - 4Rob - 9 stud</t>
  </si>
  <si>
    <t>Evaluare pe parcurs / SFF - 4Rob -  9 stud</t>
  </si>
  <si>
    <t>Evaluare periodica / SFF2 - 4 Mec - 47 stud</t>
  </si>
  <si>
    <t>Evaluare pe parcurs /SFF2 - 4 Mec - 47 stud</t>
  </si>
  <si>
    <t>Evaluare periodica / Roboți industriali - 3SPD - 12 stud</t>
  </si>
  <si>
    <t>Evaluare pe parcurs /Roboți industriali - 3SPD - 12 stud</t>
  </si>
  <si>
    <t>Examen licenta Mecatronica (41+3 febr =44 stud)</t>
  </si>
  <si>
    <t>Examen licenta Robotica (3+1 febr = 4 stud)</t>
  </si>
  <si>
    <t>Examen licenta Mecatronica Engleza - (4 stud )</t>
  </si>
  <si>
    <t>Examen disertatie SMA (14 stud)</t>
  </si>
  <si>
    <t>Dunitrascu Oana</t>
  </si>
  <si>
    <t>evaluare pe parcurs, curs Bazele ec.1, an 1 IEDM</t>
  </si>
  <si>
    <t>32 x 0,33 = 10,666</t>
  </si>
  <si>
    <t>examen de semestru, curs Bazele ec.1, an 1 IEDM</t>
  </si>
  <si>
    <t>restanta, curs Bazele ec.1, an 1 IEDM</t>
  </si>
  <si>
    <t>32 x 0,33 x 0,25 = 2,64</t>
  </si>
  <si>
    <t>reexaminare, curs Bazele ec 1, an 1 IEDM</t>
  </si>
  <si>
    <t>32 x 0,33  x 0,1 = 1,056</t>
  </si>
  <si>
    <t>evaluare pe parcurs, curs Bazele ec.1, an 1 IEI</t>
  </si>
  <si>
    <t>21 x 0,33 = 6,93</t>
  </si>
  <si>
    <t>examen de semestru, curs Bazele ec.1, an 1 IEI</t>
  </si>
  <si>
    <t>restanta, curs Bazele ec.1, an 1 IEI</t>
  </si>
  <si>
    <t>21 x 0,33 x 0,25 = 1,73</t>
  </si>
  <si>
    <t>reexaminare, curs Bazele ec 1, an 1 IEI</t>
  </si>
  <si>
    <t>21 x 0,33  x 0,1 = 0,693</t>
  </si>
  <si>
    <t>evaluare pe parcurs, curs Manag.Proiectelor, an 4 IMAPA</t>
  </si>
  <si>
    <t>20 x 0,33 = 6,66</t>
  </si>
  <si>
    <t>examen de semestru, curs Manag.Proi, an 4 IMAPA</t>
  </si>
  <si>
    <t>restanta, curs Manag.Proiectelor, an 4 IMAPA</t>
  </si>
  <si>
    <t>20 x 0,33 x 0,25 = 1,65</t>
  </si>
  <si>
    <t>reexaminare, curs Manag.Proiectelor, an 4 IMAPA</t>
  </si>
  <si>
    <t>20 x 0,33  x 0,1 = 0,66</t>
  </si>
  <si>
    <t>evaluare pe parcurs, curs Manag., an 3 TTC</t>
  </si>
  <si>
    <t>8 x 0,33 = 2,64</t>
  </si>
  <si>
    <t>examen de semestru, curs Manag., an 3 TTC</t>
  </si>
  <si>
    <t>restanta, curs Manag., an 3 TTC</t>
  </si>
  <si>
    <t>8 x 0,33 x 0,25 = 0,66</t>
  </si>
  <si>
    <t>reexaminare, curs Manag., an 3 TTC</t>
  </si>
  <si>
    <t>8 x 0,33  x 0,1 = 0,264</t>
  </si>
  <si>
    <t>evaluare pe parcurs, curs Manag.pr.inv., an 4 IEDM</t>
  </si>
  <si>
    <t>53 x 0,33 = 17,49</t>
  </si>
  <si>
    <t>examen de sem., curs Manag.pr.inv., an 4 IEDM</t>
  </si>
  <si>
    <t>53 x 0,33x 0,25 = 4,37</t>
  </si>
  <si>
    <t>reexaminare, curs Manag.pr.inv., an 4 IEDM</t>
  </si>
  <si>
    <t>53 x 0,33  x 0,1 = 1,75</t>
  </si>
  <si>
    <t>evaluare pe parcurs, curs Analiza pr.inv., an 4 IEI</t>
  </si>
  <si>
    <t>19 x 0,33 = 6,27</t>
  </si>
  <si>
    <t>examen de semestru, curs Analiza pr.inv., an 4 IEI</t>
  </si>
  <si>
    <t>restanta, curs analiza pr.inv., an 4 IEI</t>
  </si>
  <si>
    <t>19 x 0,33 x 0,25 = 1,57</t>
  </si>
  <si>
    <t>reexaminare, curs Analiza pr.inv., an 4 IEI</t>
  </si>
  <si>
    <t>19 x 0,33  x 0,1 = 0,63</t>
  </si>
  <si>
    <t>evaluare pe parcurs, proiect Manag.pr.inv., an 4 IEDM</t>
  </si>
  <si>
    <t>evaluare pe parcurs, seminar Bazele ec.1, an 1 IEDM</t>
  </si>
  <si>
    <t>evaluare pe parcurs, seminar Bazele ec.1, an 1 IEI</t>
  </si>
  <si>
    <t>Mecanisme si Organe de masini 1+2-C-II Mec+R+II IPMI+III Mec+R-113 studenti -evaluare finala</t>
  </si>
  <si>
    <t>Mecanisme si Organe de masini 1+2-C-II Mec+R+II IPMI+III Mec+R-113 studenti -evaluare pe parcurs</t>
  </si>
  <si>
    <t>Mecanisme si Organe de masini 1+2-II Mec+R+II IPMI+III Mec+R - 28.25-restante</t>
  </si>
  <si>
    <t>Mecanisme si Organe de masini 1+2-C-II Mec+R+II IPMI+III Mec+R-11.33 studenti -reexaminare</t>
  </si>
  <si>
    <t>Mecanisme si Organe de masini -L+P-Grupele (136,133,123/1,123/2,124/1,124/2,125/1,125/2,132/1-164 studenti -evaluare pe parcurs</t>
  </si>
  <si>
    <t>Design 1 (C-II TTC - 8 stud) evaluare pe parcurs</t>
  </si>
  <si>
    <t>Design 1 (C-II TTC - 8 stud) evaluare finală</t>
  </si>
  <si>
    <t>Design 1 (L-II TTC - 8 stud) evaluare pe parcurs</t>
  </si>
  <si>
    <t>Design 1 (L-II TTC - 8 stud) evaluare finală</t>
  </si>
  <si>
    <t>Creație artistică (C-II TTC - 8 stud) evaluare pe parcurs</t>
  </si>
  <si>
    <t>Creație artistică (C-II TTC - 8 stud) evaluare finală</t>
  </si>
  <si>
    <t>Creație artistică (L- II TTC - 8 stud) evaluare pe parcurs</t>
  </si>
  <si>
    <t>Design 2 (C-II TTC - 8 stud) evaluare pe parcurs</t>
  </si>
  <si>
    <t>Design 2 (C-II TTC - 8 stud) evaluare finală</t>
  </si>
  <si>
    <t>Design 2 (L-II TTC - 8 stud) evaluare pe parcurs</t>
  </si>
  <si>
    <t>Creație artistică în textile pielărie  (C-IV IEI -19 stud) evaluare pe parcurs</t>
  </si>
  <si>
    <t>Creație artistică în textile pielărie  (C-IV IEI -19 stud) evaluare finală</t>
  </si>
  <si>
    <t>Creație artistică în textile pielărie  (L-IV IEI -19 stud) evaluare  pe parcurs</t>
  </si>
  <si>
    <t>Design în textile-pielărie (C-III IEI -19 stud) evaluare  pe parcurs</t>
  </si>
  <si>
    <t>Design în textile-pielărie (C-III IEI -19 stud) evaluare finală</t>
  </si>
  <si>
    <t>Design în textile-pielărie (L- III IEI -19 stud) evaluare  pe parcurs</t>
  </si>
  <si>
    <t>Geometrie descriptivă (L - I TCM - 60 stud) evaluare  pe parcurs</t>
  </si>
  <si>
    <t>Tiular</t>
  </si>
  <si>
    <t>Geometrie descriptivă (L- I TCM - 60 stud) examen semestru</t>
  </si>
  <si>
    <t>Mecanisme, Organe de masini-C-II Tcm+Spd+II TTC+ II TDDH+III TTC -116 studenti-evaluare finala</t>
  </si>
  <si>
    <t>Mecanisme, Organe de masini-C-II Tcm+Spd+II TTC+ II TDDH+III TTC -116 studenti-evaluare pe parcurs</t>
  </si>
  <si>
    <t>Mecanisme, Organe de masini-II Tcm+II Spd+II TTC+ II TDDH+III TTC -29 studenti-restante</t>
  </si>
  <si>
    <t>Mecanisme, Organe de masini-II Tcm+II Spd+II TTC+ II TDDH+III TTC -12 studenti-reexaminari</t>
  </si>
  <si>
    <t>Mecanisme, Organe de masini -L+P-Grupele (423/1,423/2,123/1,123/2,522/1,522/2,621/1,422/1,422/2)-128 studenti-evaluare pe parcurs</t>
  </si>
  <si>
    <t>Gîrjob Claudia-Emilia</t>
  </si>
  <si>
    <t>Sisteme de conducere în robotica (C- IV Mec - 47 stud ) evaluare finala</t>
  </si>
  <si>
    <t>Sisteme de conducere în robotica (C- IV R - 9 stud )  evaluare finala</t>
  </si>
  <si>
    <t>Actionari hidraulice si pneumatice (C- IV Elm - 17 stud)  evaluare finala</t>
  </si>
  <si>
    <t>Sisteme mecatronice (C- IV Mec - 47 stud )  evaluare finala</t>
  </si>
  <si>
    <t>Sisteme mecatronice (C- IV R - 9 stud ) evaluare finala</t>
  </si>
  <si>
    <t>Programarea robotilor industriali (C- III R - 18 stud) evaluare finala</t>
  </si>
  <si>
    <t>Sisteme de conducere în robotica (C- IV Mec - 26 stud ) evaluare pe parcurs</t>
  </si>
  <si>
    <t>Sisteme de conducere în robotica (C- IV R - 16 stud )  evaluare pe parcurs</t>
  </si>
  <si>
    <t>Actionari hidraulice si pneumatice (C- IV Elm - 16 stud)  evaluare pe parcurs</t>
  </si>
  <si>
    <t>Sisteme mecatronice (C- IV Mec - 26 stud )  evaluare pe parcurs</t>
  </si>
  <si>
    <t>Sisteme mecatronice (C- IV R - 16 stud ) evaluare pe parcurs</t>
  </si>
  <si>
    <t>Programarea robotilor industriali (C-III R - 18 stud) evaluare pe parcurs</t>
  </si>
  <si>
    <t>Examen licenta Robotica 3 studenti</t>
  </si>
  <si>
    <t>Examen de admitere master SMA 56 stud</t>
  </si>
  <si>
    <t>Tehnologia confectiilor textile 1 (C - III IEI - 19 stud) - colocviu</t>
  </si>
  <si>
    <t>Structura și proiectarea confectiilor textile (C - III IEI - 19 stud) - colocviu</t>
  </si>
  <si>
    <t>Structura și proiectarea confectiilor textile (L - III IEI - 19 stud) - evaluare de parcurs</t>
  </si>
  <si>
    <t>Structura și proiectarea confectiilor textile (P - III IEI - 19 stud) - evaluare de parcurs</t>
  </si>
  <si>
    <t>Bazele proceselor în confecții textile 1 (C - III TTC - 11 stud) - examen</t>
  </si>
  <si>
    <t>Structura și proiectarea confecțiilor 1 (C - III TTC - 11 stud) - examen</t>
  </si>
  <si>
    <t>Structura și proiectarea confecțiilor 1 (L - III TTC - 11 stud) - evaluare de parcurs</t>
  </si>
  <si>
    <t>Proiectare asistată de calculator în confecții (C - IV TTC - 17 stud) - examen</t>
  </si>
  <si>
    <t>Proiectare asistată de calculator în confecții (L - IV TTC - 17 stud) - evaluare de parcurs</t>
  </si>
  <si>
    <t>Tehnologia confectiilor textile 1 (C - III IEI - 4.75 stud) - restanță</t>
  </si>
  <si>
    <t>Structura și proiectarea confectiilor textile (C - III IEI - 4.75 stud) - restanță</t>
  </si>
  <si>
    <t>Bazele proceselor în confecții textile 1 (C - III TTC - 2.75 stud) - restanță</t>
  </si>
  <si>
    <t>Structura și proiectarea confecțiilor 1 (C - III TTC - 2.75 stud) - restanță</t>
  </si>
  <si>
    <t>Proiectare asistată de calculator în confecții (C - IV TTC - 4.25 stud) - restanță</t>
  </si>
  <si>
    <t>Construcția și modelarea îmbrăcămintei (C - III TTC - 11 stud) - colocviu</t>
  </si>
  <si>
    <t>Construcția și modelarea îmbrăcămintei (L - III TTC - 11 stud) - evaluare de parcurs</t>
  </si>
  <si>
    <t>Bazele proceselor în confecții textile 2 (C - III TTC - 11 stud) - examen</t>
  </si>
  <si>
    <t>Structura și proiectarea confecțiilor 2 (C - III TTC - 11 stud) - examen</t>
  </si>
  <si>
    <t>Structura și proiectarea confecțiilor 2 (L - III TTC - 11 stud) - evaluare de parcurs</t>
  </si>
  <si>
    <t>Structura și proiectarea confecțiilor 2 (P- III TTC - 11 stud) - evaluare de parcurs</t>
  </si>
  <si>
    <t>Tehnologia confectiilor textile 2 (C - III IEI - 19 stud) - examen</t>
  </si>
  <si>
    <t>Construcția și modelarea îmbrăcămintei (C - III TTC - 3.75 stud) - restanță</t>
  </si>
  <si>
    <t>Bazele proceselor în confecții textile 2 (C - III TTC - 3.75 stud) - restanță</t>
  </si>
  <si>
    <t>Structura și proiectarea confecțiilor 2 (C - III TTC - 3.75 stud) - restanță</t>
  </si>
  <si>
    <t>Tehnologia confectiilor textile 2 (C - III IEI - 4.75 stud) - restanță</t>
  </si>
  <si>
    <t>Structura și proiectarea confecțiilor 2 (C - III TTC - 1.1 stud) - reexaminare</t>
  </si>
  <si>
    <t>Exemen de licență, TTC, 17 studenți</t>
  </si>
  <si>
    <t>Exemen de licență, IEI, 19 studenți</t>
  </si>
  <si>
    <t>evaluare pe parcurs Grafica asistata de calculator - ITT</t>
  </si>
  <si>
    <t>evaluare pe parcurs Proiectarea asistata de calculator a produselor - TCM</t>
  </si>
  <si>
    <t>evaluare pe parcurs Proiectarea asistata de calculator a produselor-SPD</t>
  </si>
  <si>
    <t>evaluare pe parcurs Strategii si tehnici CAD de proiectare avansata a produselor</t>
  </si>
  <si>
    <t>Examen Grafica asistata de calculator - ITT</t>
  </si>
  <si>
    <t>Examen Proiectarea asistata de calculator a produselor - TCM</t>
  </si>
  <si>
    <t>Examen Proiectarea asistata de calculator a produselor-SPD</t>
  </si>
  <si>
    <t>Examen Strategii si tehnici CAD de proiectare avansata a produselor</t>
  </si>
  <si>
    <t>restanta Grafica asistata de calculator - ITT</t>
  </si>
  <si>
    <t>restanta Proiectarea asistata de calculator a produselor - TCM</t>
  </si>
  <si>
    <t>restanta Proiectarea asistata de calculator a produselor-SPD</t>
  </si>
  <si>
    <t>restanta Strategii si tehnici CAD de proiectare avansata a produselor</t>
  </si>
  <si>
    <t>reexaminare Grafica asistata de calculator - ITT</t>
  </si>
  <si>
    <t>reexaminare Proiectarea asistata de calculator a produselor - TCM</t>
  </si>
  <si>
    <t>reexaminare Proiectarea asistata de calculator a produselor-SPD</t>
  </si>
  <si>
    <t>reexaminare Strategii si tehnici CAD de proiectare avansata a produselor</t>
  </si>
  <si>
    <t>Examen de finalizare a studiilor de licenta SPD</t>
  </si>
  <si>
    <t>Examen de finalizare a studiilor de licenta MUSP</t>
  </si>
  <si>
    <t>Bazele sistemelor automate in transporturi (L- II ITT - 23 stud ) evaluare parcus</t>
  </si>
  <si>
    <t>Bazele sistemelor automate in transporturi (C- II ITT - 23 stud ) evaluare finală</t>
  </si>
  <si>
    <t xml:space="preserve">Asistent </t>
  </si>
  <si>
    <t>Sisteme mecatronice (L- IV MEC- 47 stud )  evaluare parcus</t>
  </si>
  <si>
    <t>Sisteme mecatronice (C- IV MEC - 47 stud )  evaluare finală</t>
  </si>
  <si>
    <t>Sisteme mecatronice (L- IV ROB - 9 stud )  evaluare parcus</t>
  </si>
  <si>
    <t>Sisteme mecatronice (P- IV ROB - 9 stud )  evaluare parcus</t>
  </si>
  <si>
    <t>Sisteme mecatronice (C- IV ROB - 9 stud )  evaluare finală</t>
  </si>
  <si>
    <t>Actionarea robotilor (L- III ROB - 18 stud )  evaluare parcus</t>
  </si>
  <si>
    <t>Actionarea robotilor (P- III ROB - 18 stud )  evaluare parcus</t>
  </si>
  <si>
    <t>Actionarea robotilor (C- III ROB -18 stud )  evaluare finală</t>
  </si>
  <si>
    <t xml:space="preserve">Automatizarea proc. tehn. si bioteh. (L- III IPMI - 17 stud )  evaluare parcus </t>
  </si>
  <si>
    <t>Automatizarea proc. tehn. si bioteh. (C- III IPMI - 17 stud )  evaluare finală</t>
  </si>
  <si>
    <t>Actionari electrice (L- III MEC- 27 stud )  evaluare parcus</t>
  </si>
  <si>
    <t>Actionari electrice (P- III MEC- 27 stud )  evaluare parcus</t>
  </si>
  <si>
    <t>Actionari electrice (C- III MEC- 27 stud )  evaluare finală</t>
  </si>
  <si>
    <t>Electronica de putere (L- II ROB- 21 stud )  evaluare parcus</t>
  </si>
  <si>
    <t>Electronica de putere (C- II ROB- 21 stud )  evaluare finală</t>
  </si>
  <si>
    <t>Electrotehnica (L- II ROB- 21 stud )  evaluare parcus</t>
  </si>
  <si>
    <t>Electrotehnica (C- II ROB- 21 stud )  evaluare evaluare finală</t>
  </si>
  <si>
    <t>Electrotehnica (L- II MEC- 30 stud )  evaluare parcus</t>
  </si>
  <si>
    <t>Electrotehnica (C- II MEC- 30 stud )  evaluare finală</t>
  </si>
  <si>
    <t>Finalizare studii - licență</t>
  </si>
  <si>
    <t>17*2/3</t>
  </si>
  <si>
    <t>Examen de semestru II MEC (30 stud)</t>
  </si>
  <si>
    <t>30/3</t>
  </si>
  <si>
    <t>Examen de semestru II RO (21 stud)</t>
  </si>
  <si>
    <t>21/3</t>
  </si>
  <si>
    <t>Evaluare pe parcurs II MEC (30 stud)</t>
  </si>
  <si>
    <t>Evaluare pe parcurs II Ro (21 stud)</t>
  </si>
  <si>
    <t>Evaluare pe parcurs II TCM (46 stud)</t>
  </si>
  <si>
    <t>46/3</t>
  </si>
  <si>
    <t>Evaluare pe parcurs II SPD (27 stud)</t>
  </si>
  <si>
    <t>27/3</t>
  </si>
  <si>
    <t>Examen de semestru I EM (19 stud)</t>
  </si>
  <si>
    <t>19/3</t>
  </si>
  <si>
    <t>Evaluare pe parcurs I EM (19 stud)</t>
  </si>
  <si>
    <t>Examen de semestru I TCM 60 stud)</t>
  </si>
  <si>
    <t>60/3</t>
  </si>
  <si>
    <t>Examen de semestru I SPD (23 stud)</t>
  </si>
  <si>
    <t>23/3</t>
  </si>
  <si>
    <t>Examen de semestru II MEC (30 stud- restanta)</t>
  </si>
  <si>
    <t>30/3*25/100</t>
  </si>
  <si>
    <t>Examen de semestru II RO (21 stud - restanta)</t>
  </si>
  <si>
    <t>21/3*25/100</t>
  </si>
  <si>
    <t>Examen de semestru I EM (19 stud- restanta)</t>
  </si>
  <si>
    <t>19/3*25/100</t>
  </si>
  <si>
    <t>Examen de semestru I TCM (60 stud - restanta)</t>
  </si>
  <si>
    <t>60/3*25/100</t>
  </si>
  <si>
    <t>Examen de semestru I SPD (23 stud - restanta)</t>
  </si>
  <si>
    <t>23/3*25/100</t>
  </si>
  <si>
    <t>Examen de semestru II MEC (30 stud- reexaminare)</t>
  </si>
  <si>
    <t>30/3*10/100</t>
  </si>
  <si>
    <t>Examen de semestru II RO (21 stud - reexaminare)</t>
  </si>
  <si>
    <t>21/3*10/100</t>
  </si>
  <si>
    <t>Examen de semestru I EM (19 stud- reexaminare)</t>
  </si>
  <si>
    <t>19/3*10/100</t>
  </si>
  <si>
    <t>Examen de semestru I TCM (60 stud - reexaminare</t>
  </si>
  <si>
    <t>60/3*10/100</t>
  </si>
  <si>
    <t>Examen de semestru I SPD (23 stud - reexaminare</t>
  </si>
  <si>
    <t>23/3*10/100</t>
  </si>
  <si>
    <t>Modelarea si simularea sistemelor mecatronice (L - IV Mec En - 7 stud)  evaluare pe parcurs</t>
  </si>
  <si>
    <t>Modelarea si simularea sistemelor mecatronice (L - IV Mec En - 7 stud)  examen semestru</t>
  </si>
  <si>
    <t>Modelarea si simularea sistemelor mecatronice (L - IV Mec En - 7 stud)  restanta</t>
  </si>
  <si>
    <t>Modelarea si simularea sistemelor mecatronice (L - IV Mec - 47 stud)  evaluare pe parcurs</t>
  </si>
  <si>
    <t>Modelarea si simularea sistemelor mecatronice (L - IV Mec - 47 stud)  examen semestru</t>
  </si>
  <si>
    <t>Modelarea si simularea sistemelor mecatronice (L - IV Mec - 47 stud)  restanta</t>
  </si>
  <si>
    <t>Actionari hidraulice si pneumatice (L - IV Elm - 20 stud)  evaluare pe parcurs</t>
  </si>
  <si>
    <t>Actionari hidraulice si pneumatice (C - IV Elm - 20 stud)  examen semestru</t>
  </si>
  <si>
    <t>Actionari hidraulice si pneumatice (C - IV Elm - 20 stud)  restanta</t>
  </si>
  <si>
    <t>Proiectarea parametrizata asistata de calculator a stantelor (L - IV TCM - 37 stud) evaluare pe parcurs</t>
  </si>
  <si>
    <t>Proiectarea parametrizata asistata de calculator a stantelor (C - IV TCM - 37 stud) evaluare pe parcurs</t>
  </si>
  <si>
    <t>Actionari hidraulice si pneumatice 1 (L - III SPD - 12 stud) evaluare pe parcurs</t>
  </si>
  <si>
    <t>Actionari hidraulice si pneumatice 1 (C - III SPD - 12 stud) examen semestru</t>
  </si>
  <si>
    <t>Actionari hidraulice si pneumatice 1 (C - III SPD - 12 stud) restanta</t>
  </si>
  <si>
    <t>Actionari hidraulice si pneumatice 2 (P - III SPD - 12 stud) evaluare pe parcurs</t>
  </si>
  <si>
    <t>Actionari hidraulice si pneumatice 2 (C - III SPD - 12 stud) examen semestru</t>
  </si>
  <si>
    <t>Actionari hidraulice si pneumatice 2 (C - III SPD - 12 stud) restanta</t>
  </si>
  <si>
    <t>Actionarea hidraulica a robotilor industriali 1 (L - III R - 18 stud) evaluare pe parcurs</t>
  </si>
  <si>
    <t>Actionarea hidraulica a robotilor industriali 1 (C - III R - 18 stud) examen semestru</t>
  </si>
  <si>
    <t>Actionarea hidraulica a robotilor industriali 1 (C - III R - 18 stud) restanta</t>
  </si>
  <si>
    <t>Actionarea hidraulica a robotilor industriali 2 (P - III R - 18 stud) evaluare pe parcurs</t>
  </si>
  <si>
    <t>Actionarea hidraulica a robotilor industriali 2 (C - III R - 18 stud) examen semestru</t>
  </si>
  <si>
    <t>Actionarea hidraulica a robotilor industriali 2 (C - III R - 18 stud) restanta</t>
  </si>
  <si>
    <t>Hidronica si pneutronica (L - III Mec - 27 stud) evaluare pe parcurs</t>
  </si>
  <si>
    <t>Hidronica si pneutronica (C - III Mec - 27 stud) examen semestru</t>
  </si>
  <si>
    <t>Hidronica si pneutronica (C - III Mec - 27 stud) restanta</t>
  </si>
  <si>
    <t>Hidronica si pneutronica 2 (P - III Mec - 27 stud) evaluare pe parcurs</t>
  </si>
  <si>
    <t>Hidronica si pneutronica 2 (C - III Mec - 27 stud) examen semestru</t>
  </si>
  <si>
    <t>Hidronica si pneutronica 2 (C - III Mec - 27 stud) restanta</t>
  </si>
  <si>
    <t>Analiza cu elemente finite (Curs - IV Mec - 47 stud ) - Evaluare periodică</t>
  </si>
  <si>
    <t>Analiza cu elemente finite (Curs - IV Mec - 47 stud ) - Examen</t>
  </si>
  <si>
    <t>Analiza cu elemente finite (Curs - IV Mec - 11 stud ) - Restanță</t>
  </si>
  <si>
    <t>Analiza cu elemente finite (Curs - IV Mec - 4 stud ) - Reexaminare</t>
  </si>
  <si>
    <t>Analiza cu elemente finite în robotică (Curs - IV Rob - 9 stud ) - Evaluare periodică</t>
  </si>
  <si>
    <t>Analiza cu elemente finite în robotică (Curs - IV Rob - 9 stud ) - Examen</t>
  </si>
  <si>
    <t>Analiza cu elemente finite în robotică (Curs - IV Rob - 2 stud ) - Restanță</t>
  </si>
  <si>
    <t>Analiza cu elemente finite în robotică (Curs - IV Rob - 0.9 stud ) - Reexaminare</t>
  </si>
  <si>
    <t>Proiectarea cu ajutorul elementului finit (Curs - IV IEDM - 53 stud ) - Evaluare periodică</t>
  </si>
  <si>
    <t>Proiectarea cu ajutorul elementului finit (Curs - IV IEDM - 53 stud ) - Colocviu</t>
  </si>
  <si>
    <t>Proiectarea cu ajutorul elementului finit (Curs - IV IEDM - 13 stud ) - Restanță</t>
  </si>
  <si>
    <t>Proiectarea cu ajutorul elementului finit (Curs - IV IEDM - 5 stud ) - Reexaminare</t>
  </si>
  <si>
    <t>Proiectarea cu ajutorul elementului finit (Laborator - IV IEDM, 1 sgr. - 13 stud ) - Evaluare periodică</t>
  </si>
  <si>
    <t>Proiectarea cu ajutorul elementului finit (Curs - III TCM - 48 stud ) - Evaluare periodică</t>
  </si>
  <si>
    <t>Proiectarea cu ajutorul elementului finit (Curs - III TCM - 48 stud ) - Examen</t>
  </si>
  <si>
    <t>Proiectarea cu ajutorul elementului finit (Curs - III TCM - 12 stud ) - Restanță</t>
  </si>
  <si>
    <t>Proiectarea cu ajutorul elementului finit (Curs - III TCM - 4 stud ) - Reexaminare</t>
  </si>
  <si>
    <t>Comisia de licență - Mecatronică - lb. română, 41 studenți - iulie 2022</t>
  </si>
  <si>
    <t>Comisia de licență - Mecatronică - lb. română, 3 studenți - februarie 2022</t>
  </si>
  <si>
    <t>Comisia de disertație - STIF, 17 studenți - iulie 2022</t>
  </si>
  <si>
    <t>Comisia de disertație - STIF, 2 studenți - februarie 2022</t>
  </si>
  <si>
    <t>Comisia de disertație - SCCCDP, 1 student - februarie 2022</t>
  </si>
  <si>
    <t>Examen admitere master - domeniul Inginerie Industrială - 79 studenți - iulie 2022</t>
  </si>
  <si>
    <t>Examen de semestrul 1 (an II TCM gr 121)</t>
  </si>
  <si>
    <t>Examen de semestrul 1 (an II TCM gr 122)</t>
  </si>
  <si>
    <t>Examen de semestrul 1 (an II SPD gr 123)</t>
  </si>
  <si>
    <t>Examen de semestrul 1 (an I mIMGN)</t>
  </si>
  <si>
    <t>Examen de semestrul 2 (an II TCM gr 121)</t>
  </si>
  <si>
    <t>Examen de semestrul 2 (an II TCM gr 122)</t>
  </si>
  <si>
    <t>Examen de semestrul 2 (an II SPD gr 123)</t>
  </si>
  <si>
    <t>Examen de restanta semestrul 1 (an II TCM + SPD)</t>
  </si>
  <si>
    <t>Examen de restanta semestrul 1 (an I mIMGN)</t>
  </si>
  <si>
    <t>Examen de restanta semestrul 2 (an II TCM + SPD)</t>
  </si>
  <si>
    <t>Reexaminare semestrul 1 (an II TCM + SPD)</t>
  </si>
  <si>
    <t>Reexaminare semestrul 1 (an I mIMGN)</t>
  </si>
  <si>
    <t>Reexaminare semestrul 2 (an II TCM + SPD)</t>
  </si>
  <si>
    <t>Examen de admiere la doctorat (domeniile Inginerie Industrială + Inginerie Mecanică)</t>
  </si>
  <si>
    <t>Examen de licență MUSP + SPD (5+15)</t>
  </si>
  <si>
    <t>Examen de licență Robotică (4)</t>
  </si>
  <si>
    <t>MUPM an III MEC (27 stud.) - examen semestru</t>
  </si>
  <si>
    <t>(27) / 3</t>
  </si>
  <si>
    <t>SSS an III MEC  (27 stud.) - examen semestru</t>
  </si>
  <si>
    <t>SIV an III MEC  (27 stud.) - examen semestru</t>
  </si>
  <si>
    <t>MU 1 an III TCM (48 stud.)- examen semestru</t>
  </si>
  <si>
    <t>(48) / 3</t>
  </si>
  <si>
    <t>MSM an IV MEC (47 stud.)-examen semestru</t>
  </si>
  <si>
    <t>(47) / 3</t>
  </si>
  <si>
    <t>PMSP2 an IV SPD (14 stud.) - examen semestru</t>
  </si>
  <si>
    <t>(14) / 3</t>
  </si>
  <si>
    <t>FM an IV SPD  (14 stud.) - examen semestru</t>
  </si>
  <si>
    <t xml:space="preserve">MUPM an III MEC (27 stud.) - restanta </t>
  </si>
  <si>
    <t>6/3</t>
  </si>
  <si>
    <t xml:space="preserve">SSS an III MEC (27 stud.) - restanta </t>
  </si>
  <si>
    <t xml:space="preserve">SIV an III MEC (27 stud.) - restanta </t>
  </si>
  <si>
    <t xml:space="preserve">MU 1 an III TCM (48 stud.)- restanta </t>
  </si>
  <si>
    <t>12/3</t>
  </si>
  <si>
    <t xml:space="preserve">MSM an IV MEC (47 stud.)-restanta </t>
  </si>
  <si>
    <t xml:space="preserve">PMSP2 an IV SPD (14 stud.) - restanta </t>
  </si>
  <si>
    <t>3,5/3</t>
  </si>
  <si>
    <t xml:space="preserve">FM an IV SPD (14 stud.) - restanta </t>
  </si>
  <si>
    <t>Examen de licenta - SPD iulie</t>
  </si>
  <si>
    <t>titular - membru in comisie</t>
  </si>
  <si>
    <t>(15) /3 x 2</t>
  </si>
  <si>
    <t>Examen de licenta - MUSP martie</t>
  </si>
  <si>
    <t>(5)/3*2</t>
  </si>
  <si>
    <t xml:space="preserve">Examen de licenta - MEC ENG. </t>
  </si>
  <si>
    <t>(4)/3*2</t>
  </si>
  <si>
    <t>Examen de admitere master I.I. - proba orala</t>
  </si>
  <si>
    <t>(75) / 3 X 2</t>
  </si>
  <si>
    <t>Proiectarea asis a masinilor si utilajel (C - IV SPD- 14 stud )
 evaluare finala</t>
  </si>
  <si>
    <t>Metode si tehnici avansate de proiectare (P - I mSMA- 26 stud ) evaluare finala</t>
  </si>
  <si>
    <t>Proiectarea asistata de calculator (C - III Mec + III R- 27+18 stud ) evaluare finala</t>
  </si>
  <si>
    <t>Analiza si sinteza sistemelor hidronice (L -  I mSMA- 26 stud ) evaluare finala</t>
  </si>
  <si>
    <t>Proiectarea asis a masinilor si utilajel (C - IV SPD- 14 stud )  evaluare pe parcurs</t>
  </si>
  <si>
    <t>Metode si tehnici avansate de proiectare (P - I mSMA- 26 stud ) evaluare pe parcurs</t>
  </si>
  <si>
    <t>Proiectarea asistata de calculator (C - III Mec + III R- 27+18 stud ) evaluare pe parcurs</t>
  </si>
  <si>
    <t>Analiza si sinteza sistemelor hidronice (L -  I mSMA- 26 stud ) evaluare pe parcurs</t>
  </si>
  <si>
    <t>Proiectarea asis a masinilor si utilajel (C - IV SPD- 14 stud )
 restanta</t>
  </si>
  <si>
    <t>Metode si tehnici avansate de proiectare (P - I mSMA- 26 stud ) restanta</t>
  </si>
  <si>
    <t>Proiectarea asistata de calculator (C - III Mec + III R- 27+18 stud ) restanta</t>
  </si>
  <si>
    <t>Analiza si sinteza sistemelor hidronice (L -  I mSMA- 26 stud ) restanta</t>
  </si>
  <si>
    <t>Examen licenta TCM 39 studenti</t>
  </si>
  <si>
    <t>Exemen de disertație SCCCDP, 25 studenți</t>
  </si>
  <si>
    <t>Exemen de disertație SPMSCNC, 1 stud</t>
  </si>
  <si>
    <t>Examen de admitere doctorat Inginerie Industriala 9 stud</t>
  </si>
  <si>
    <t>Examen licenta SPD 24 stud</t>
  </si>
  <si>
    <t>Grafica Asistata de Calculator (C  I MEC+I R - 35+24 stud) - evaluare pe parcurs</t>
  </si>
  <si>
    <t>Grafica Asistata de Calculator (C  I MEC+I R - 35+24 stud) - evaluare finala</t>
  </si>
  <si>
    <t>Grafica Asistata de Calculator (C  I MEC+I R - 35+24 stud) - restanta</t>
  </si>
  <si>
    <t>Grafica Asistata de Calculator (C  I MEC+I R - 35+24 stud) - reexaminari</t>
  </si>
  <si>
    <t>Grafica Asistata de Calculator (L I MEC - 35 stud) - evaluare pe parcurs</t>
  </si>
  <si>
    <t>Grafica Asistata de Calculator (L I MEC - 35 stud)) - evaluare finala</t>
  </si>
  <si>
    <t>Grafica Asistata de Calculator ((L I MEC - 35 stud)) - restanta</t>
  </si>
  <si>
    <t>Grafica Asistata de Calculator ((L I MEC - 35 stud)) - reexaminari</t>
  </si>
  <si>
    <t>Structuri Textile-Fire_II,TTC+IEI -31 studenti-eval curs</t>
  </si>
  <si>
    <t xml:space="preserve">Structuri Textile-Fire_II,TTC+IEI -31-eval finala </t>
  </si>
  <si>
    <t xml:space="preserve">Structuri Textile-Fire_II,TTC+IEI -31-eval. lab </t>
  </si>
  <si>
    <t>Structuri Textile-Țesături_II,TTC+IEI - 31-eval curs</t>
  </si>
  <si>
    <t>Structuri Textile-Țesături_II,TTC+IEI - 31 - eval finala</t>
  </si>
  <si>
    <t>Structuri Textile-Țesături_II,TTC+IEI - 31 - eval. Lab.</t>
  </si>
  <si>
    <t>Metrologie 1_II, TTC + IEI - 31-eval. Curs</t>
  </si>
  <si>
    <t>Metrologie 1_II, TTC + IEI - 31 -eval. Finala</t>
  </si>
  <si>
    <t>Metrologie 2_II, TTC - 8 - eval. curs</t>
  </si>
  <si>
    <t>Metrologie 2_II, TTC - 8 - eval. Finală</t>
  </si>
  <si>
    <t>Tehnologii si Utilaje in Tricotaje_IV, IEI - 19 - eval. Curs</t>
  </si>
  <si>
    <t>Tehnologii si Utilaje in Tricotaje_IV, IEI - 19 - eval. Finală</t>
  </si>
  <si>
    <t>Tehnologii si Utilaje in Tricotaje_IV, IEI - 19 - eval. Lab.</t>
  </si>
  <si>
    <t>Tehnologii si Utilaje in Tricotaje_IV, IEI - 19 - Eval. Proiect</t>
  </si>
  <si>
    <t>Licenta, anul IV, TTC - 17 stud</t>
  </si>
  <si>
    <t>Finisare chimica textila (C- IV IEI - 19 stud ) evaluare finala</t>
  </si>
  <si>
    <t>Finisare chimica textila (C- IV IEI - 19 stud ) evaluare pe parcurs</t>
  </si>
  <si>
    <t>Confort vestimentar (C- II IEI - 23 stud )  evaluare finala</t>
  </si>
  <si>
    <t>Confort vestimentar (C- II IEI - 23 stud )  evaluare pe parcurs</t>
  </si>
  <si>
    <t>Fibre textile I (L- II TTC - 8 stud)  evaluare finala</t>
  </si>
  <si>
    <t>Fibre textile I (L- II TTC - 8 stud)  evaluare pe parcurs</t>
  </si>
  <si>
    <t>Fibre textile II (L- II TTC - 8 stud ) evaluare pe parcurs</t>
  </si>
  <si>
    <t>Fibre textile II (L- II TTC - 8 stud ) evaluare finala</t>
  </si>
  <si>
    <t>Finisare chimica textila (L- IV TTC - 17 stud) evaluare pe parcurs</t>
  </si>
  <si>
    <t>ID11-Coordonarea de lucrări de finalizare a studiilor</t>
  </si>
  <si>
    <t>Licență/ disertație/ modul psihopedagogic</t>
  </si>
  <si>
    <t xml:space="preserve">Se punctează doar coordonarea lucrărilor care au fost aduse în stadiul de susținere.
</t>
  </si>
  <si>
    <r>
      <rPr>
        <b/>
        <sz val="10"/>
        <color rgb="FF000000"/>
        <rFont val="Arial Narrow"/>
      </rPr>
      <t>*Punctaje de referință:</t>
    </r>
    <r>
      <rPr>
        <sz val="10"/>
        <color rgb="FF000000"/>
        <rFont val="Arial Narrow"/>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</si>
  <si>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</si>
  <si>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Rebega Remus, Analiza transportului monoposturilor de formula 1 în perioada de Covid - 19, master LI</t>
  </si>
  <si>
    <t>Ruiu Ionel Răzvan, Proiectarea unui transport multimodal de panouri solare pe ruta Moscova - Cluj Napoca, Licență ITT</t>
  </si>
  <si>
    <t>Pătrașcu constantin, Influența elementelor constructive ale tăișului asupra performanțelor sculelor așchietoare. Proiectarea tehnologiei de realizare a reperului Placă intermediară TCM 141/1. 2021-2022, Licență TCM</t>
  </si>
  <si>
    <t>Stănică Mihai Sorin, Studii asupra suprafețelor superfinisate. Tehnologia de realizare a reperului Centrator bilă F 084151913, Licență TCM.</t>
  </si>
  <si>
    <t>Diaconu Larisa, Dezvoltarea strategiei de orientare spre clienti la firma Opti, mLI</t>
  </si>
  <si>
    <t>Buduleci Doina, Contributii privind proiectarea sculelor aschietore obtinute prin metode aditive. Proiectarea tehnologiei de execurie si a unor SDV-uri pentru reperul "Corp scula", licenta TCM</t>
  </si>
  <si>
    <t>IORGULESCU George, Studii privind prelucrarea prin așchiere a materialelor compozite.
Proiectarea tehnologiei necesare realizării unei bucșe elastice. Licenta TCM</t>
  </si>
  <si>
    <t>Szanto Paul,Utilizarea metodologiilor „Managementul proiectelor” si „Managementul ciclului de viață al produsului” pentru proiectarea unui aparat de ventilat mecanic , disertatie STIF</t>
  </si>
  <si>
    <t>Pop Grogore Daniel,Analiza si îmbunătățirea unei linii automate destinată fabricației de conectori în scopul producerii unui nou reper din aceiași familie de produse, disertatie STIF</t>
  </si>
  <si>
    <t>Nemesi George Daniel, Analiza si îmbunătățirea fluxurilor de activități realizate pe un echipament de deformare plastica la rece, disertatie STIF</t>
  </si>
  <si>
    <t>Tudosescu Adelina, Analiza si imbunatatirea unei linii de fabricatie a unor componente destinate produselor de lux, disertatie STIF</t>
  </si>
  <si>
    <t>Podina Marian Nicolae, Analiza si îmbunătățirea fluxurilor logistice din cadrul unei firme de vânzări si service autoturisme, disertatie LI</t>
  </si>
  <si>
    <t>Tincoi Constantin Bogdan, Analiza si imbunatatirea fluxurilor de activitati dintr-un service auto, disertatie  LI</t>
  </si>
  <si>
    <t>Dusa Cristian, Elemente de îmbunătățire a tehnologiilor de călire și revenire a materialelor metalice. Proiectarea tehnologiei de fabricatie si a unor SDV-uri pentru reperul "Placa suport", licenta</t>
  </si>
  <si>
    <t>Plesea Ionel Madalin, Contribuții privind îmbunătățirea tehnologiilor de prelucrare prin injecție a pieselor din materiale plastice. Proiectarea tehnologiei de fabricatie si a unor SDV-uri pentru reperul “Placă intermediară matriță”, licenta</t>
  </si>
  <si>
    <t>Frincu Cosmin Adrian, Proiectarea tehnologiei de prelucrare și a unor SDV-uri necesare executiei reperului Placă mobilă. Studiu privind înființarea unei firme care se ocupă cu producerea și comercializarea de mobilă din lemn, licenta</t>
  </si>
  <si>
    <t>Morariu Claudia, Studiul tehnico-economic privind modernizarea stațiilor de reglare-măsurare utilizate în sistemul de distribuție a gazelor naturale, master</t>
  </si>
  <si>
    <t>Muresan Gheorghe Alexandru,Efecte asociate referitoare la mentenanța materialelor utilizate în transportul și distribuția gazelor naturale, master</t>
  </si>
  <si>
    <t>Rebegel Bogdan, Studiul tehnologiilor de sudare semiautomată a conductelor de oțel destinate transportului și distribuției gazelor naturale, master</t>
  </si>
  <si>
    <t>Tara Claudiu, UTILIZAREA SCANERULUI 3D ÎN RECUNOAŞTEREA suprafețelor pieselor complexe, licență</t>
  </si>
  <si>
    <t>Vereș Ioan, Prоieсtarea, simularea și оptimizarea unui prосes de fabriсație pentru
reperul ”piesă de aсțiоnare gripper”, сuajutоrul preluсrărilоr pe
сentrele de preluсrare СNС utilizând limbajul Heidenhain, licență</t>
  </si>
  <si>
    <t>Cornea Diana-Mihaela, Proiectarea tehnologiei de execuție și a S.D.V.-urilor necesare realizării reperului ”Furcă Specială”, desen nr. 3021.01.12, Licență</t>
  </si>
  <si>
    <t>Jenea Sebastian Gheorghe, Proiectarea procesului tehnologic de fabricație și a S.D.V.-urilor necesare obținerii reperului ”Placă de uzură”, Licență</t>
  </si>
  <si>
    <t>Năstase Constantin-Ionuț, Proiectarea tehnologiei de fabricație și a S.D.V.-urilor aferente reperului Placă, Licență</t>
  </si>
  <si>
    <t>Ana Gheorghe Marian, PROIECTAREA TEHNOLOGIEI DE
EXECUŢIE ŞI A UNOR SDV-URI
NECESARE REALIZĂRII REPERULUI
BALAMA DE PRECIZIE, DESEN NR. 02-
20-22, Licență</t>
  </si>
  <si>
    <t>Doca Daniela Teodora, Tema proiectului: Partea I: Să se proiecteze o secție de tricotat, utilată cu mașini rectilinii de tricotat R50, care să realizeze 150 buc. /8ore, bluze pentru femei. Partea a II-a: Sănătatea optimală în sistemele organizaționale. Nivel licență</t>
  </si>
  <si>
    <t>FRÎNCU Cosmin-Adrian, IEDM. Studiu privind înființarea unei firme care se ocupă cu producerea și comercializarea de mobilă din lemn. Licență - cotutelă</t>
  </si>
  <si>
    <t>FUMUREANU Laura-Maria, IEDM. Reducerea costurilor aferente proceselor de asigurare a securității și sănătății ocupaționale într-o organizație din domeniul auto.. Licență - cotutelă</t>
  </si>
  <si>
    <t>HOGNOGI Patricia Alexandra, IEDM. Studiu privind extinderea activitatii la S.C. Auto Sector S.R.L. Cisnadie. Licență - cotutelă</t>
  </si>
  <si>
    <t>PĂSAT Gheorghe, IEDM. Studiu privind identificarea posibilităților de dezvoltare a firmei InstalSib GazProiect S.R.L., Sibiu. Licență - cotutelă</t>
  </si>
  <si>
    <t>DUMINICEL Ş. COSTINEL- BOGDAN, IEDM-ID. Studiu de caz privind înființarea unei firme in domeniul consultanței de afaceri  în Râmnicu Vâlcea. Licență - cotutelă</t>
  </si>
  <si>
    <t>GOLĂŞILĂ A. ALIN-POMPILIU, IEDM-ID. Analiza economică a firmei SC RASITAL SRL din Sibiu. Licență - cotutelă</t>
  </si>
  <si>
    <t>MICULETE G. MIHAI - ADRIAN, IEDM-ID. Analiza strategică a SC THYSSENGRUPP BILSTEIN SA  în vederea îmbunătățirii performanțelor firmei.. Licență - cotutelă</t>
  </si>
  <si>
    <t>Licență. Proiectarea procesului tehnologic de fabricație a reperului ”Placa" pentru o producție anuală de 1600 buc/an. Studiu privind infiintarea unei societati comerciale în domeniul producţiei de usi. BRATU Gabriela-Andreea.</t>
  </si>
  <si>
    <t>Licență. Proiectarea procesului tehnologic de fabricație a reperului ”Arbore" pentru o producție anuală de 4500 buc/an. "Studiu privind infiintarea unei firme ce se ocupa cu confectionarea de produse din metal". BUNEA Iulia-Valentina</t>
  </si>
  <si>
    <t>Licență. Proiectarea procesului tehnologic de fabricație a reperului ”bucșă" pentru o producție anuală de ”30 000” buc/an. Studiu privind oportunitatea de dezvoltare a societății comerciale SC FLARO PROD. CORNIA Elena-Denisa</t>
  </si>
  <si>
    <t>Master. Evaluarea riscurilor de accidentare si imbolnavire profesionala in cadrul centrelor de colectare a deseurilor. CORLACIU Rareș</t>
  </si>
  <si>
    <t>Master. Impactul pandemiei asupra vieții profesionale. CRISTEA Monica Raluca</t>
  </si>
  <si>
    <t>Licență. GALAȚĂ ADELINA. Titlul lucrării: Tema. 1 Proiectarea unui ansamblu vestimentar de lucru utilizat într-o firmă de producție. Tema. 2 Studiu privind oportunitatea dezvoltării SC Star Transmission SRL Cugir si SC Star. Assembly Sebeș prin diversificarea domeniului de activitate.</t>
  </si>
  <si>
    <t xml:space="preserve">Licență. ANA G. ALIN - EMILIAN. Proiectarea procesului tehnologic de fabricatie a reperului "ARBORE CU FLANSA" Desen nr IEDM 942-001. Înființare IMM si tehnologizare cu utilaje moderne. </t>
  </si>
  <si>
    <t>Licență. TOADER V. MIREL- ANDREI. Proiectarea tehnologiei de execuție și a unor SDV-uri pentru realizarea reperului "DISPOZITIV MONTARE BOBINA - IK-R20022984-A". Influența metodelor de îmbunătățire continuă asupra managementului logistic al proceselor.</t>
  </si>
  <si>
    <t>Ilisan Ariana, Gestionarea emisiilor și deșeurilor la CONTINENTAL AUTOMOTIVE SRL - Departamentul Logostica - Ambalare/Livrare, Licenta</t>
  </si>
  <si>
    <t>PIRNECI Andreea-Bianca, Proiectarea tehnologiei de fabricatie si a SDV-urilor aferente executiei reperului “Ax pinion”.Analiza strategică la S.C.Faurecia Romania SRL in vederea identificării posibilităților de reducere a costurilor., LICENTA</t>
  </si>
  <si>
    <t>BOTTA Andrei-Ioan, Optimizarea sistemelor de evacuare a gazelor la autoturisme. Proiectarea tehnologiei de execuție și a SDV-urilor necesare reperului "Suport Coloana", LICENTA</t>
  </si>
  <si>
    <t>FLOREA Adrian, Proiectarea constructivă a unui dispozitiv de îndoire pini de contact. Proiectarea tehnologiei de execuție și a SDV-urilor necesare reperului Placa_ghidare, LICENTA</t>
  </si>
  <si>
    <t>HORHAT Andrei Cristian, Proiectarea unui dispozitiv pentru lipit canturi pentru placi din material lemnos. Proiectarea tehnologiei de executie si a SDV-urilor necesare reperului „Corp” nr. Desen 82.11.11.10.101., LICENTA</t>
  </si>
  <si>
    <t>AVRAM Mihaela Cosmina, Cercetari privind dispozitivele medicale utilizate in patologia Halux_valgus. Proiectarea tehnologiei de executie si a SDV-urilor necesare reperului „Placa de baza”., LICENTA</t>
  </si>
  <si>
    <t>OLARIU Constantin Alexandru, Proiectarea unor echipamente tehnologice utilizate la prelucrarile pe MUCN. Proiectarea tehnologiei de executie si a SDV-urilor necesare reperului „Corp” nr. Desen 726000020190., LICENTA</t>
  </si>
  <si>
    <t>IGNAT Cosmina Teodora, Analiza si imbunatatirea liniei de pregatire a componentelor din industria marochinariei in vederea optimizarii montajului, MASTER</t>
  </si>
  <si>
    <t>SERBAN Mariana, Contribuții privind îmbunătățirea proceselor tehnologice pentru echipamentele de asamblare a caroseriilor auto, MASTER</t>
  </si>
  <si>
    <t>STOICA Vasile-Bogdan, Cercetare aprofundata privind aparitia fortelor mari de frecare intr-o unitate amortizor, MASTER</t>
  </si>
  <si>
    <t>CRIŞAN Florin, Proiectarea unui sistem mecanic de optimizare a incarcarii-descarcari semiremorcilor, MASTER</t>
  </si>
  <si>
    <t>NEAMŢU Mădălina-Maria-Studiu privind oportunitatea dezvoltarii și implementarii unui sistem paperless pe linia de producție în cadrul "Harting Romania Manufacturing S.C.S-Licentă-cotutelă</t>
  </si>
  <si>
    <t>PĂRĂU Rareș-Aurelian-Dezvoltarea și marketarea unei cryptomonede-Licență-Cotutelă</t>
  </si>
  <si>
    <t>PIRNECI Andreea-Bianca-Analiza strategică la S.C.Faurecia Romania SRL in vederea identificării posibilităților de reducere a costurilor. .</t>
  </si>
  <si>
    <t>RUSU Ruxandra-Elena-Studiu privind identificarea posibilităților de reducere a costurilor  la S.C. ANTARES S.R.L.</t>
  </si>
  <si>
    <t>Cojocaru M. Elena-Alina, Proiectarea unei stații de sortare secundară a deșeurilor de plastic și metal din partea de nord a județului Mureș, licență</t>
  </si>
  <si>
    <t>Grebenea G. Maria-Ioana, Proiectarea unei stații de transfer a deșeurilor municipale în localitatea Făgăraș, județul Brașov, licență</t>
  </si>
  <si>
    <t>Grebenea G. Mihaela-Gabriela, Proiectarea unui depozit de deșeuri periculoase în județul Călărași, licență</t>
  </si>
  <si>
    <t>Popa M.-N. Cristian-Nicolae, Proiectarea unui sistem de încălzire geotermală pentru o locuință din județul Dolj, licență</t>
  </si>
  <si>
    <t>Radu C. Cosmina, Proiectarea unei gospodării autonome energetic în județul Alba, licență</t>
  </si>
  <si>
    <t>Stanciu D. Ionuț-Alexandru, Proiectarea unui depozit de deșeuri ecologic în partea de sud a județului Cluj, licență</t>
  </si>
  <si>
    <t>Șomlea G. Codrin-Gavriil, Proiectarea unei stații de compostare a deșeurilor organice în județul Timiș, licență</t>
  </si>
  <si>
    <t>Ștefan-Mihai I. Andreea, Proiectarea unei stații de producere a biogazului aferente unei ferme zootehnice din județul Sibiu, licență</t>
  </si>
  <si>
    <t>ANGHEL Răzvan-Nicolae, Proiectarea tehnologiei și a unor SDV – uri necesare execuției reperului ROLĂ PRESIUNE. Studiu privind activitățile actuale de mentenanță industrială și evidențierea tendințelor de dezvoltare</t>
  </si>
  <si>
    <t>BRATU Mihaela-Iulia, Proiectarea tehnologiei și a unor SDV – uri necesare execuției reperului PLACĂ GHIDARE. Studiu privind implementarea TPM (Total Productive Maintenance) în domeniul fabricației</t>
  </si>
  <si>
    <t>MUNTEAN Alexandra-Nicoleta, Proiectarea tehnologiei și a unor SDV – uri necesare execuției reperului FLANȘĂ DEBITARE. Studiu privind utilizarea activităților moderne de mentenanță în domeniul automotive</t>
  </si>
  <si>
    <t>ȚILI Gabriela-Maria, Proiectarea tehnologiei și a unor SDV – uri necesare execuției reperului PLĂCUȚĂ INFERIOARĂ. Analiza și îmbunătățirea activităților de mentenanță specifice injecției maselor plastice la SC FLARO SA</t>
  </si>
  <si>
    <t>ROTĂRIȚA Carmen-Nicoleta, Proiectarea tehnologiei și a unor SDV – uri necesare execuției reperului ARBORE. Analiza și îmbunătățirea managementului mentenanței pentru o firmă producătoare</t>
  </si>
  <si>
    <t>MUREȘAN Rareș Ioan, Îmbunătățirea OEE (Overall Equipment Efficiency) prin practici specifice TPM (Total Productive Maintenance)</t>
  </si>
  <si>
    <t>LUPEAN Vasile-Bogdan, Aspecte logistice ale implementării fabricației unui produs la SC COMPA SA</t>
  </si>
  <si>
    <t>Contribuții privind îmbunătățirea tehnologiilor de fabricație a roților dințate. Proiectarea tehnologiei de fabricatie si a unor SDV-uri pentru reperul “Roată dințată”</t>
  </si>
  <si>
    <t>Contribuții privind îmbunătățirea tehnologiilor de fabricație a pieselor din mase plastice prin injecție. Proiectarea tehnologiei de fabricatie si a unor SDV-uri pentru reperul “Coloană Ghidare”</t>
  </si>
  <si>
    <t>Contribuții privind îmbunătățirea tehnologiilor de placare a pieselor din materiale metalice. Proiectarea tehnologiei de fabricatie si a unor SDV-uri pentru reperul “Placă activă”</t>
  </si>
  <si>
    <t>Contributii privind sudarea cu ultrasunete a materialelor metalice si nemetalice. Poiectarea tehnologiei si a SDV-urilor pentru obtinerea reperului arbore pinion cilindric.</t>
  </si>
  <si>
    <t>Finanțarea, implementarea și sustenabilitatea start-up-urilor din domeniul auto</t>
  </si>
  <si>
    <t>Finanțarea, implementarea și sustenabilitatea start-up-urilor din domeniul prelucrării lemnului</t>
  </si>
  <si>
    <t>Danut Dumitrascu, Gabriela Dobrota</t>
  </si>
  <si>
    <t>Popescu Adina, Metode și instumente utilizate în managementul proiectelor informatice, master MAI</t>
  </si>
  <si>
    <t>Danut Dumitrascu</t>
  </si>
  <si>
    <t>Purece Ana-Maria, Managementul proiectului de dezvoltare a unei platforme care va utiliza tehnologia blockchain, Master MAI</t>
  </si>
  <si>
    <t>Pogor Simona-Elena, Managementul proiectului de dezvoltare a unei aplicatii Web Design, Master MAI</t>
  </si>
  <si>
    <t>Danut Dumitrascu, Mihaela-Adriana Tita</t>
  </si>
  <si>
    <t>Rad Catalin -  Dezvoltarea și promovarea produsului „iaurt grecesc cu scorțișoară și rom”  Master MPMA</t>
  </si>
  <si>
    <t>Bara(Barna) Maria, Industria 4.0, Eră a transformării organizațiilor și a adaptării proceselor specifice departamentului de Resurse Umane, Master MPE</t>
  </si>
  <si>
    <t>Barabas Irina Tatiana, Studiu privind diverse aspecte ale relațiilor de de muncă în proiecte globale, Master MPE</t>
  </si>
  <si>
    <t>Marius Eugen Gherghel, Managementul proiectului de restaurare a unor edificii culturale, ca și componentă a strategiei în domeniul cultural în orașul Sibiu</t>
  </si>
  <si>
    <t>Lupuletu Antonia Maria, Contribuțiile proiectelor la creșterea accesului la resurse pentru comunități. Studiu de caz: Resurse pentru comunsa Calnic. Master MPE</t>
  </si>
  <si>
    <t>Natea Ionut Dragos, Impactul managementului educațional asupra mediului, a mobilității urbane și a sănătății tinerilor, Master MPE</t>
  </si>
  <si>
    <t>Statescu Andrada, Managementul proiectelor de dezvoltare a infrastructurii de apa si apa uzata. Master MPE</t>
  </si>
  <si>
    <t>Ionel Burdulea, Îmbunătățirea toleranței poziției pinilor în asamblarea finală a unui produs, Master MC</t>
  </si>
  <si>
    <t>Milea (Daina) Anca-Ioana, Managementul proiectelor aplicat in perfecționarea resursei umane din învățământ, Master Manafgement Educațional, DPPD</t>
  </si>
  <si>
    <t>Pop Octavian Lucian, Managementul proiectelor de dezvoltare a rețelelor de distribuție gaze naturale. Aspecte specifice ale proiectului din localitatea Fântânele, Master IMGN</t>
  </si>
  <si>
    <t>Bleahu Maria-Diana, Proiectarea tehnologiei și a unor SDV-uri necesare execuției reperului „Suport inferior”, desen nr. 2231-253. Înființarea unei întreprinderi mici specializată în execuția de confecții metalice, Licență IEDM zi</t>
  </si>
  <si>
    <t>Nicoară Diana, Proiectarea tehnologiei de prelucrare si a unor SDV-uri necesare executiei reperului ”4422-128”, Plan de afaceri privind înființarea unei microîntreprinderi de servicii online în județul Sibiu, Licență IEDM zi</t>
  </si>
  <si>
    <t>Bratu Lavinia, Proiectarea tehnologiei de prelucrare și a unor SDV-uri necesare execuției reperului bucșă elastică, desenul cu numărul BLM-441-00. Studiu comparativ referitor la opiniile studenților români și croați privind învățământul ingineresc. Licenta IEDM zi</t>
  </si>
  <si>
    <t>Danut Dumitrascu, Anca Iridon</t>
  </si>
  <si>
    <t>Nanu Armina, Dezvoltarea unei afaceri în comerțul online, dedicată vânzării vestimentației populare din zona Marginimea Sibiului, Licență IEI</t>
  </si>
  <si>
    <t>Mandrean Vasile, Proiectarea tehnologiei  reperului “Arbore reductor cilindric ”desen nr. A-R-C 0001/2022 și a unor  SDV-uri aferente acesteia. Managementul proiectului de dezvoltare a sectorului logistic în cadrul firmei SC. Simea Sykatec SRL., Licență IEDM ID</t>
  </si>
  <si>
    <t>Tănăsoiu, Alexandru Marin, Proiectаreа tehnologiei și а unor SDV-uri necesаre execuției reperului „FRONT BАSEPLАTE”.  Studiu referitor lа piаțа de scule аșchietoаre și softwаre de proiectаre și аscuțire а аcestorа.</t>
  </si>
  <si>
    <t>Fălădău (Gligor) Alina</t>
  </si>
  <si>
    <r>
      <rPr>
        <sz val="10"/>
        <color theme="1"/>
        <rFont val="Arial Narrow"/>
      </rPr>
      <t xml:space="preserve">BÎRSAN V. M. IOAN-ADRIAN, Proiectarea unei conducte magistrale de transport gaze naturale, lucrare Licenta, </t>
    </r>
    <r>
      <rPr>
        <b/>
        <sz val="10"/>
        <color theme="1"/>
        <rFont val="Arial Narrow"/>
      </rPr>
      <t>anul IV TDDH</t>
    </r>
  </si>
  <si>
    <t>BOBIȚ Ioana-Cristina, Proiectarea procesului tehnologic și a unor SDV-uri aferente reperului ARBORE. Plan de afaceri privind înființarea unei afaceri sustenabile în domeniul produselor pentru sectorul automotive, licenta</t>
  </si>
  <si>
    <t>CONȚIU Diana-Maria, Proiectarea procesului tehnologic și a unor SDV-uri aferente reperului BUCȘĂ DE LEGĂTURĂ. Plan de afaceri pentru înființarea unei afaceri sustenabile în domeniul închirierii de ATV-uri și motociclete în Păltiniș, licenta</t>
  </si>
  <si>
    <t>STAICU Georgiana Adela, Elaborarea documentației tehnologice pentru realizarea unei producții de 320 de bucăți pe zi, a unui model de halat medical în cadrul unui atelier de confecții. Plan de afaceri pentru dezvoltarea unei afaceri sustenabile în domeniul confecției de halate medicale, licenta</t>
  </si>
  <si>
    <t>CRISTEA Cristian Raul,  Analiză comparativă privind procedeele de măsurare a gazelor naturale utilizate în industria de gaze, Disertatie IMGN</t>
  </si>
  <si>
    <t xml:space="preserve">LUCA Ioan Alin,  Analiză comparativă a tehnologiilor de uscare a gazelor naturale, Disertatie IMGN </t>
  </si>
  <si>
    <t>STROIA Camelia, Studiu de fezabilitate privind realizarea
infrastructurii pentru exploatarea unui zăcământ de gaze naturale, Disertatie IMGN</t>
  </si>
  <si>
    <t>TĂMĂȘEL Oana-Andrada, Analiza exploatării unui zăcământ de gaze naturale, Disertatie IMGN</t>
  </si>
  <si>
    <t>MĂRGINEAN Marius Ciprian, Proiectarea instalațiilor tehnologice pentru   punerea in exploatare a unui zăcământ de gaze naturale, Licenta TDDH</t>
  </si>
  <si>
    <t>GLIGA V. RAUL-VASILE, Analiza statie de comprimare a gazelor naturale Ernei, licenta TDDH FR</t>
  </si>
  <si>
    <t xml:space="preserve">BĂLAN Georgiana Floreantina - Utilizarea instrumentului de calitate in tranzitia catre economia circulara - master	</t>
  </si>
  <si>
    <t>BLÎNDU Andreea Cristina - Aplicarea instrumentelor calitatii intr-o firma de software development - master</t>
  </si>
  <si>
    <t>CĂZAN Vlad-Eduard - Proiectarea tehnologiei de execuție și a unor SDV-uri necesare pentru realizarea reperului “Bucșă-CVE22”. Plan de afaceri pentru înființarea unui service de motociclete.	- licenta</t>
  </si>
  <si>
    <t>FOFICAŞ Ionela-Alexandra - Proiectarea tehnologiei de execuție și a unor SDV-uri necesare pentru realizarea reperului “Bucșă-FIA22”. Studiu privind conceptul de „well-being” în industria automotive.	- licenta</t>
  </si>
  <si>
    <t>IUGA Raluca-Onoria - Proiectarea tehnologiei de execuție și a unor SDV-uri necesare pentru realizarea reperului “Bucșă”. Promovarea specializării Inginerie Economică în Domeniul Mecanic în rândul absolvenților de liceu.	- licenta</t>
  </si>
  <si>
    <t>PAŞTIU Teodora-Elena - Proiectarea tehnologiei de execuție și a unor SDV-uri necesare pentru realizarea reperului “Dorn”. Dezvoltarea și comercializarea unui dispozitiv pentru măsurarea abaterilor.	- licenta</t>
  </si>
  <si>
    <t>VERGU Nicolae-Adrian - Proiectarea tehnologiei de execuție și a unor SDV-uri necesare pentru realizarea reperului “Corp pompă ulei”. Plan de afaceri pentru înființarea unui atelier de prelucrări mecanice.	 - licenta</t>
  </si>
  <si>
    <t>Analiza și îmbunătățirea traficului rutier în municipiul Brașov., MANOLE Leonard, licenta</t>
  </si>
  <si>
    <t>Proiectarea circulației rutiere în zona de intrare în municipiul Rm Valcea. Analiza nivelului de serviciu al intersecțiilor, LUNGAN Daniel, licenta</t>
  </si>
  <si>
    <t xml:space="preserve">Analiza traficului fantomă pe artera Calea Dumbrăvii, Sibiu. Ancuta Elena Raluca, licenta </t>
  </si>
  <si>
    <t>Optimizarea transportului multimodal de mărfuri industriale pe ruta: Craiova (România) - Roma (Italia), Popescu Mihai Codrut, licenta</t>
  </si>
  <si>
    <t>Imbunătățirea infrastructurii rutiere pe drumul județean DJ 658 Gura Văii - Muereasca, Visan Antonio, licenta</t>
  </si>
  <si>
    <t>Proiectarea tehnologiei și a unor SDV – uri necesare execuției reperului  "placa suport pentru un impingator cu lant". Imbunătățirea procesului de producție. Borza Eduard, licenta</t>
  </si>
  <si>
    <t>Proiectarea tehnologiei și a unor SDV – uri necesare execuției reperului Bucșă. Reducerea stocurilor prin aplicarea logisticii inverse.Hurubean Doriana, licenta</t>
  </si>
  <si>
    <t>Analiza si imbunatatirea activitatii laboratorului de calibrari din cadrul companiei Bosch Blaj. Catalina Cosmina, master</t>
  </si>
  <si>
    <t>Optimizarea fluxului logistic pentru linia de asamblare a rulmentilor din cadrul companiei NTN-SNR Sibiu prin marirea capacitatii de transfer/transport. Ghita Daniel, master</t>
  </si>
  <si>
    <t>Analiza și îmbunătățirea activității de aprovizionare și distribuție din cadrul companiei Moran Logistics. Automatizarea procesului.Greab Adina, master</t>
  </si>
  <si>
    <t>Analiza și îmbunătățirea unor aspecte ale fluxului logistic în cadrul companiei S.C. ELIS PAVAJE S.R.L.Stanus Emil, master</t>
  </si>
  <si>
    <t>Analiza si automatizarea unei prese cu excentric de 200 tf. Cretu Alexandru, master</t>
  </si>
  <si>
    <t>Proiectarea unui scaun ergonomic. Simularea functionarii acestuia.Jiga Roxana, master</t>
  </si>
  <si>
    <t>ȘOMLEA Codrin-Gavrii, Proiectarea unei stații de compostare a deșeurilor organice în județul Timiș, Licență</t>
  </si>
  <si>
    <t>RESTEA Claudiu Ilie, Evaluarea impactului asupra mediului pentru amenajare hidroenergetică pe râul Sadu, județul Sibiu, Licență</t>
  </si>
  <si>
    <t>DOGARU Ionuț Gabriel, Stație pentru desalinizarea apei cu ajutorul energiei solare, Licență</t>
  </si>
  <si>
    <t>BERBECEL Andreea Mădălina, Studiu experimental cu privire la calitatea suprafețelor tăiate cu electrod filiform la prelucrarea materialelor metalice prin eroziune electrică cu electrod filiform. Proiectarea tehnologiei de fabricație și a unor SDV-uri necesare execuției reperului placă de formare superioară Pinchklemme, Licență</t>
  </si>
  <si>
    <t>ONIȚĂ Augustin, Monitorizarea parametrilor de funcționare ai unui sistem de transport prin determinarea
 volumului și energiei gazelor naturale existente în conductele sistemului de transport, Lucrare de disertație</t>
  </si>
  <si>
    <t>Ilea Maria / Îmbunătățirea procesului de proiectare a unui produs din cadrul unei firme din domeniul textil / Disertatie</t>
  </si>
  <si>
    <t>Sassu Ana Maria / Imbunătățirea calității prin aplicarea metodei 6 sigma pe o linie de asamblare componente electronice / Disertatie</t>
  </si>
  <si>
    <t>Vanta Andreea / Îmbunătățire șase sigma în companiile din domeniul automotive / Disertatie</t>
  </si>
  <si>
    <t>Ciucă Gheorghe Adelin, Proiectarea unui transport multimodal pentru marfă perisabilă, licență</t>
  </si>
  <si>
    <t>Neamțu Ștefan, Transportul multimodal al combustibilului pentru Centrala Nuclearoelectrică Cernavodă, licență</t>
  </si>
  <si>
    <t>Aniculesei Ioana Angelica, Aplicarea metodei șase sigma în cadrul unei companii automotive pentru soluționarea și rezolvarea unor probleme existente, disertație</t>
  </si>
  <si>
    <t>Olaru Andreea Maria, Îmbunătățirea activităților în cadrul unei organizații prin implementarea unor concepte specifice managementului vizual, disertație</t>
  </si>
  <si>
    <t>BĂDILĂ Teodora-Bianca - Proiectarea tehnologiei de fabricatie si a unor SDV-uri aferente reperului "Placă 19-03". Studiu privind relaţia student - cadru didactic in contextul predarii on-line, din perspectiva studenţilor Facultăţii de Inginerie. - licenţă IEDM</t>
  </si>
  <si>
    <t>FULGER Andreea - Proiectarea tehnologiei de fabricatie si a unor SDV-uri aferente reperului "Corp colector". Analiză privind traiectoria absolvenţilor Facultăţii de Inginerie pe piaţa muncii şi privind înscrierea la studiile de master.  - licenţă IEDM</t>
  </si>
  <si>
    <t>LUPEAN Anca-Teodora - Proiectarea tehnologiei de fabricatie si a unor SDV-uri aferente reperului "Flanşă cuplare". Studiu privind comportamentul de cumpărarea al consumatorilor în mediul on-line şi a tendinţelor de pe acest tip de piaţă. - licenţă IEDM</t>
  </si>
  <si>
    <t>TUREAN Elena-Anca - Proiectarea tehnologiei de fabricatie si a unor SDV-uri aferente reperului "Niplu N28-01". Studiu privind infiinţarea unei afaceri cu activităţi extracurriculare având ca piaţă ţintă studenţii ULBS - licenţă IEDM</t>
  </si>
  <si>
    <t>CIORAN Radu - Studiu privind oportunitatea dezvoltării unui centru de formare profesională în municipiul Sibiu - master MPE</t>
  </si>
  <si>
    <t>Miricescu Dan, Moldovan Iosif</t>
  </si>
  <si>
    <t>BĂRA-BRÂNCOVEAN Denisa - Analiză privind oportunitatea şi fezabilitatea realizării unei firme de reciclare utilizând metode de management de proiect - master MAI</t>
  </si>
  <si>
    <t>FOGOROŞ Paul-Viorel - Studiu privind impactul marketignului online şi a promovării pe reţele de social media în vânzări - master MAI</t>
  </si>
  <si>
    <t>GIURCĂ Marius - Analiză privind creşterea vânzării de sisteme de energie regenerabilă în firmele de instalaţii - master MAI</t>
  </si>
  <si>
    <t>GLOGOVEŢAN Cosmina - Studiu privind îmbunătăţirea proceselor de alimentare cu materiale la o firmă de producţie din domeniul automotive - master MAI</t>
  </si>
  <si>
    <t>LUPESCU Andreea-Elena - Studiu privind implicarea leadershipului în stimularea performanţei susţinătorilor în activitatea desfăşurată online - master MAI</t>
  </si>
  <si>
    <t>TÎRZIU Ionel-Răzvan - Analiză privind climatul organizațional și relația lider susținător în firmele din Sibiu- master MAI</t>
  </si>
  <si>
    <t>CRISTEA Roxana - Studiu privind îmbunătăţirea unor elemente de logistică internă la NTN SNR Rulmenţi Sibiu - master LI</t>
  </si>
  <si>
    <t>RÎPEANU Cosmina - Studiu privind îmbunătăţirea unor fluxuri interne la o companie din domeniul automotive - master LI</t>
  </si>
  <si>
    <t>BUDUSAN D. VALENTIN - DOREL - Proiectarea tehnologiei de execuție și a SDV-urilor aferente reperului B-08-V-08-1979.Analiza privind organizarea fluxului logistic într-o hala de producție. - licenţă IEDM ID</t>
  </si>
  <si>
    <t>Miricescu Dan, Oleksik Valentin</t>
  </si>
  <si>
    <t>CROITORU M. ANTONIA - Proiectarea tehnologiei de execuție prin deformare plastică la rece necesară realizării reperului ”LAMELĂ”. Proiectarea procesului tehnologic de prelucrare prin așchiere pentru un reper din construcția matriței.Studiu privind oportunitatea înființării unei firme de producție pentru stații de epurare.</t>
  </si>
  <si>
    <t>HĂMBĂŞAN N. ELENA - ADELINA - Proiectarea tehnologiei de executie si a SDV-urilor aferente reperului „BUCȘĂ''  0805ah. Analiza fluxului logistic în vederea îmbunătăţirii la o firma producătoare de componente de lux pentru marochinărie. - licenţă IEDM ID</t>
  </si>
  <si>
    <t>MALENE V. M. DORIN - CORIOLAN -  Proiectarea tehnologiei de execuție prin deformare plastică la rece necesară realizării reperului ”COLȚAR MOBILIER”.  Proiectarea procesului tehnologic de prelucrare prin așchiere pentru un reper din construcția matriței.Studiu privind oportunitatea înființării unei firme în domeniul vânzării și închirierii de utilaje - licenţă IEDM ID</t>
  </si>
  <si>
    <t>MOCIOFAN G. COSMIN - Proiectarea tehnologiei de execuție și a SDV-urilor aferente reperului "PLACĂ DE BAZA SPRINT 32". Studiu privind înființarea unui depozit de materiale la COMPA S.A. - licenţă IEDM ID</t>
  </si>
  <si>
    <t>NEACŞU G. GHEORGHE - BOGDAN - Proiectarea tehnologică de execuție și a SDV-urilor aferente reperului: “PLACA PORT POANSON”. Analiza oportunității deschiderii unui depozit zonal de materie primă care să deservească celor trei locații ale unei companii de producție din județul Sibiu.- licenţă IEDM ID</t>
  </si>
  <si>
    <t>OANA L. ALEXANDRA - Proiectarea tehnologiei de executie si a SDV- urilor aferente reperului„ CUPLAJ SERVO AXA LONGITUDINALĂ”.  Analiză privind una din dimensiunile lui Hofstedee din firmele romanesti.- licenţă IEDM ID</t>
  </si>
  <si>
    <t>STANCU I. DANIEL  - Proiectarea procesului tehnologic de execuție și a SDV-urilor aferente reperului "CILINDRU HIDRAULIC", desen nr. IEDM-ID-65-34.  Analiză strategică în vederea  reorganizării  firmei S.C TEHNICA DE AUTOMATIZARE SIBIU.- licenţă IEDM ID</t>
  </si>
  <si>
    <t>FOFELZAN D. BOGDAN - ALEXANDRU -  Proiectarea tehnologiei de fabricație a „Pinului de susținere” a plăcii PCB  Analiza privind îmbunătățirea unor procese de producție într-o companie de componente auto.- licenţă IEDM ID</t>
  </si>
  <si>
    <t>CIUFUDEAN Denisa Ana-Maria, Proiectarea procesului tehnologic de fabricație și a SDV-urilor aferente reperului arbore. Percepția studenților Facultății de Inginerie asupra predării online și instrumente de management al calității folosite pentru îmbunătățirea acesteia, licență Inginerie Economică în Domeniul Mecanic</t>
  </si>
  <si>
    <t>CONSTANTINESCU Maria-Olimpia, Proiectarea procesului tehnologic de fabricație și a SDV-urilor aferente reperului pinion conic. Înființarea unei firme de prestări servicii la nivel național, licență Inginerie Economică în Domeniul Mecanic</t>
  </si>
  <si>
    <t>DEAC Elena-Denisa, Proiectarea procesului tehnologic de fabricație și a SDV-urilor aferente reperului ax excentric. Conștientizarea viitorilor ingineri asupra importanței implementării marketingului social în România, licență Inginerie Economică în Domeniul Mecanic</t>
  </si>
  <si>
    <t>MOLDOVAN Viorica-Valentina, Proiectarea procesului tehnologic de fabricație și a SDV-urilor aferente reperului placă. Mentenanța într-o firmă din industria automatizărilor, licență Inginerie Economică în Domeniul Mecanic</t>
  </si>
  <si>
    <t>VĂRZARU Marian-Radu, Proiectarea procesului tehnologic de fabricație și a SDV-urilor aferente reperului placă activă. Escaladarea angajamentului în managementul românesc, licență Inginerie Economică în Domeniul Mecanic</t>
  </si>
  <si>
    <t>Dinu Milena și Iridon Anca-Mădălina , Tema 1 (parte tehnică)
Moraru Gina-Maria, Tema 2 (parte economică)</t>
  </si>
  <si>
    <t>FING4
FING3</t>
  </si>
  <si>
    <t>ARSENE ALINA - ELENA, Tema 2-Studiu privind înființarea unei firme de producție a bluzelor pentru femei (partea economică), licență Inginerie Economică Industrială</t>
  </si>
  <si>
    <t>Dorin Vlad, Tema 1 (parte tehnică)
Moraru Gina-Maria, Tema 2 (parte economică)</t>
  </si>
  <si>
    <t>COVRIG CĂTĂLINA, Tema 2-Asigurarea managementul calității în cadrul firmei Joyson Safety Systems (partea economică), licență Inginerie Economică Industrială</t>
  </si>
  <si>
    <t>Coldea Alina-Mihaela, Tema 1 (parte tehnică)
Moraru Gina-Maria, Tema 2 (parte economică)</t>
  </si>
  <si>
    <t>RADU MARINA IZABELA, Tema 2-Metode și tehnici de marketing online (partea economică), licență Inginerie Economică Industrială</t>
  </si>
  <si>
    <t>Dinu Milena, Tema 1 (parte tehnică)
Moraru Gina-Maria, Tema 2 (parte economică)</t>
  </si>
  <si>
    <t>TRĂISTARU OANA-GABRIELA, Tema 2-Îmbunătățirea metodelor de școlarizare în cadrul companiei IFM (partea economică), licență Inginerie Economică Industrială</t>
  </si>
  <si>
    <t>ȚEVELEI LIVIA-GEORGIANA, Tema 2-Plan de afaceri privind oportunitatea înființării unui atelier de croitorie pentru produse cu imprimeu (partea economică), licență Inginerie Economică Industrială</t>
  </si>
  <si>
    <t>GÎRJU Răzvan-Gabriel, Studii privind dezvoltarea unui produs IT pentru accesul în locuințe, master Mng. Afacerilor Industriale</t>
  </si>
  <si>
    <t>PĂUN Andreea-Elena, Metode și strategii de marketing online aplicate într-o firmă din Sibiu, master Mng. Afacerilor Industriale</t>
  </si>
  <si>
    <t>ȘTEFAN-PAMFILOIU Iuliana, Studii privind realizarea unei platforme pentru integrarea serviciilor auto dintr-o zonă urbană, master Mng. Afacerilor Industriale</t>
  </si>
  <si>
    <t>TUFĂ Alina, Implementarea conceptului de îmbunătățire continuă la o firmă de cablaje, master Mng. Afacerilor Industriale</t>
  </si>
  <si>
    <t>DOVLEAC Ioana Cristina, Calitate și sustenabilitate în perioada pandemiei COVID-19, master Mng. Calității</t>
  </si>
  <si>
    <t>Moraru Gina-Maria - parte economică
Brănescu Andrei Horia - parte tehnică</t>
  </si>
  <si>
    <t>FING3
FING3</t>
  </si>
  <si>
    <t>ANA Gheorghe-Marian,  Înființarea unei firme de producție în orașul Sibiu (parte economică), licență IEDM-ID, martie 2022</t>
  </si>
  <si>
    <t>CEAUȘESCU Iuliana-Cătălina,  Proiectarea tehnologiei de execuție și a SDV-urilor aferente reperului „BUCȘĂ APĂSARE” B. A 2012-27. Procesul de îmbunătățire continuă cu ajutorul principiilor Lean în cadrul firmei SWOBODA, licență IEDM-ID</t>
  </si>
  <si>
    <t>NICOLAE Cătălin-Florin, Proiectarea tehnologică a reperului „BUSON BAIE ULEI CUTIE VITEZE” Desen nr. B-B-U 001-422 si a unor SDV-uri aferente acestuia. Studii privind dezvoltarea pieței aparatelor de aer condiționat, licență IEDM_ID</t>
  </si>
  <si>
    <t>STĂNCIOI Constantin-Alexandru, Proiectarea tehnologiei si a unor SDV-uri necesare executiei reperului „BUCȘĂ”, desen nr. 870579-0001. Studiu privind îmbunătățirea si mărirea capacităților de producție de pe linia de uzinare din cadrul companiei COMPA S.A Sibiu, licență IEDM-ID</t>
  </si>
  <si>
    <t>ISTRATIE Adrian Constantin, Studii privind ambutisabilitatea oțelului DC01. Proiectarea tehnologiei de fabricație prin deformare plastică la rece și a unei matrițe combinate perforare-ambutisare-decupare pentru reperul ”Capac perforat”, licență, TCM, sesiunea iulie 2022</t>
  </si>
  <si>
    <t>VLAD Silvana Maria, Analiza din punct de vedere ergonimic a unui proces de asamblare manual asistat de un robot colaborativ, Master STIF</t>
  </si>
  <si>
    <t>LANGA Mihai Ciprian, Studiu asupra proceselor de fabricație hibride, Master STIF</t>
  </si>
  <si>
    <t>DOBRE Marian Virgil, Simularea proceseselor de fabricație pe sisteme fizico-cibernetice, Master STIF</t>
  </si>
  <si>
    <t>LUȚOIU Nicolae Alexandru, Utilizarea tehnologiilor de fotogrammetrie impreuna cu software-uri CAx pentru digitalizarea produselor, Licenta TCM</t>
  </si>
  <si>
    <t>OANCEA Ciprian-Ioan, Optimizarea topologică a reperelor obținute prin tehnologii de fabricatie aditivă, Licenta TCM</t>
  </si>
  <si>
    <t>OPREA-ȘTEF Robert, Utilizarea tehnologiilor de realitate virtuală și augmentată pentru optimizarea proceselor de proiectare si fabricatie a produselor, Licenta TCM</t>
  </si>
  <si>
    <r>
      <rPr>
        <sz val="10"/>
        <color theme="1"/>
        <rFont val="Arial Narrow"/>
      </rPr>
      <t xml:space="preserve">ANUȘCĂ Larisa-Rodica, Proiectarea tehnologiei de fabricație și a SDV-urilor aferente reperului ”SUPORT”. Cercetare de marketing pe bază de chestionar privind opinia studenților asupra pieței muncii și a angajabilității post pandemice, </t>
    </r>
    <r>
      <rPr>
        <b/>
        <i/>
        <sz val="10"/>
        <color theme="1"/>
        <rFont val="Arial Narrow"/>
      </rPr>
      <t>licență, IV IEDM</t>
    </r>
  </si>
  <si>
    <r>
      <rPr>
        <sz val="10"/>
        <color theme="1"/>
        <rFont val="Arial Narrow"/>
      </rPr>
      <t>BLEZU Elena-Paraschiva, Proiectarea tehnologiei de fabricație și a SDV-urilor aferente reperului ”ARBORE”. Cercetare de marketing pe bază de chestionar privind influențele pandemiei asupra angajaților uneii societăți comerciale din industria automotive,</t>
    </r>
    <r>
      <rPr>
        <b/>
        <i/>
        <sz val="10"/>
        <color theme="1"/>
        <rFont val="Arial Narrow"/>
      </rPr>
      <t xml:space="preserve"> licență, IV IEDM</t>
    </r>
  </si>
  <si>
    <r>
      <rPr>
        <sz val="10"/>
        <color theme="1"/>
        <rFont val="Arial Narrow"/>
      </rPr>
      <t>KEMENDI Jesica, Proiectarea tehnologiei de fabricație și a SDV-urilor aferente reperului ”CAPAC”. Cercetare de marketing pe bază de chestionar privind stresul și gestionarea timpului în rândul studenților,</t>
    </r>
    <r>
      <rPr>
        <b/>
        <i/>
        <sz val="10"/>
        <color theme="1"/>
        <rFont val="Arial Narrow"/>
      </rPr>
      <t xml:space="preserve"> licență IV IEDM</t>
    </r>
  </si>
  <si>
    <r>
      <rPr>
        <sz val="10"/>
        <color theme="1"/>
        <rFont val="Arial Narrow"/>
      </rPr>
      <t xml:space="preserve">FRĂTICI Ana–Maria Andreea, Proiectarea tehnologiei de fabricație și a SDV-urilor aferente reperului ”CORP ANSAMBLU RENVOIR”. Cercetare de marketing pe bază de chestionar în rândul studenților privind identificarea diferitelor efecte post pandemice, </t>
    </r>
    <r>
      <rPr>
        <b/>
        <i/>
        <sz val="10"/>
        <color theme="1"/>
        <rFont val="Arial Narrow"/>
      </rPr>
      <t xml:space="preserve">licență, IV IEDM </t>
    </r>
  </si>
  <si>
    <r>
      <rPr>
        <sz val="10"/>
        <color theme="1"/>
        <rFont val="Arial Narrow"/>
      </rPr>
      <t xml:space="preserve">VEȘTEMEAN Cristiana-Andreea, Proiectarea tehnologiei de fabricație și a SDV-urilor aferente reperului ”BUCȘĂ SPECIALĂ”. Analiză privind asemănările și deosebirile dintre studiile universitare din România și Germania. Studiu de caz: Facultatea de Inginerie (ULBS) vs Technische Hochschule Deggendorf, </t>
    </r>
    <r>
      <rPr>
        <b/>
        <i/>
        <sz val="10"/>
        <color theme="1"/>
        <rFont val="Arial Narrow"/>
      </rPr>
      <t>licență, IV IEDM</t>
    </r>
  </si>
  <si>
    <r>
      <rPr>
        <sz val="10"/>
        <color theme="1"/>
        <rFont val="Arial Narrow"/>
      </rPr>
      <t xml:space="preserve">BITICĂ IOANA-MARIA, Studiu privind oportunitatea înființării unei afaceri în domeniul producție, din materiale reciclate, </t>
    </r>
    <r>
      <rPr>
        <b/>
        <i/>
        <sz val="10"/>
        <color theme="1"/>
        <rFont val="Arial Narrow"/>
      </rPr>
      <t>licență, IV IEI</t>
    </r>
  </si>
  <si>
    <r>
      <rPr>
        <sz val="10"/>
        <color theme="1"/>
        <rFont val="Arial Narrow"/>
      </rPr>
      <t xml:space="preserve">COCOS LARISA- ADELINA,  Studiu privind oportunitatea înfiinţării unei afaceri în domeniul marochinăriei, în judeţul sibiu, cu producerea, în special, a curelelor de piele în cantitate de 500buc/zi, </t>
    </r>
    <r>
      <rPr>
        <b/>
        <i/>
        <sz val="10"/>
        <color theme="1"/>
        <rFont val="Arial Narrow"/>
      </rPr>
      <t>licență, IV IEI</t>
    </r>
  </si>
  <si>
    <r>
      <rPr>
        <sz val="10"/>
        <color theme="1"/>
        <rFont val="Arial Narrow"/>
      </rPr>
      <t xml:space="preserve">GALAȚĂ ADELINA, Studiu privind oportunitatea dezvoltării SC Star Transmission SRL Cugir si SC Star
Assembly Sebeș prin diversificarea domeniului de activitate, </t>
    </r>
    <r>
      <rPr>
        <b/>
        <i/>
        <sz val="10"/>
        <color theme="1"/>
        <rFont val="Arial Narrow"/>
      </rPr>
      <t>licență, IV IEI</t>
    </r>
  </si>
  <si>
    <r>
      <rPr>
        <sz val="10"/>
        <color theme="1"/>
        <rFont val="Arial Narrow"/>
      </rPr>
      <t xml:space="preserve">HODÎRNĂU LIDIA-ANDREEA, Studiu privind oportunitatea înființării unei afaceri în domeniul producției, </t>
    </r>
    <r>
      <rPr>
        <b/>
        <i/>
        <sz val="10"/>
        <color theme="1"/>
        <rFont val="Arial Narrow"/>
      </rPr>
      <t>licență, IV IEI</t>
    </r>
  </si>
  <si>
    <r>
      <rPr>
        <sz val="10"/>
        <color theme="1"/>
        <rFont val="Arial Narrow"/>
      </rPr>
      <t xml:space="preserve">TRĂISTARU OANA-GABRIELA, Îmbunătățirea metodelor de școlarizare în cadrul companiei IFM EFECTOR/PROVER Sibiu, </t>
    </r>
    <r>
      <rPr>
        <b/>
        <i/>
        <sz val="10"/>
        <color theme="1"/>
        <rFont val="Arial Narrow"/>
      </rPr>
      <t>licență, IV IEI</t>
    </r>
  </si>
  <si>
    <t>MARINCA Andreea-Mădălina,
Analiza  transporturilor turistice cu autorulote, Licenţă ITT</t>
  </si>
  <si>
    <t>VELICEA Robert Vasile,
Studiu privind dezvoltarea unui proiect urbanistic sustenabil în domeniul transportului public de persoane in municipiului Sibiu, Licenţă ITT</t>
  </si>
  <si>
    <t>LAȚĂ Flavius Claudiu,
Analiza activităţii de transport la compania Dida &amp; Flavius Trans S.R.L.- Licenţă ITT</t>
  </si>
  <si>
    <t>HAȘU Diana Cristina - Analiză privind protecția catodică a conductelor de transport gaze naturale</t>
  </si>
  <si>
    <t>NEAG Paul Andrei - Analiza privind utilizarea echipamentelor de măsurare a gazelor naturale utilizate în societatea națională de transport gaze naturale din România</t>
  </si>
  <si>
    <t>GLOGOVEȚAN Dragoș Nicolae - Analiză privind protecția catodică utilizată pentru conductele de transport gaze naturale</t>
  </si>
  <si>
    <t>FLUTUR Fabian Gabriel - Proiectarea unei stații de comprimare gaze naturale utilizând compresoare centrifugare</t>
  </si>
  <si>
    <t>ALDEA Alexandru - Proiectare unei stații de comprimare gaze naturale în vederea creșterii capacității de transport.</t>
  </si>
  <si>
    <t>HALASZ Răzvan - Proiectarea unei stații de comprimare gaze naturale.</t>
  </si>
  <si>
    <t>Prundurel Claudiu-Mihai, Studii privind transportul public de persoane în timpul pandemiei de Covid în municipiul Sibiu, licenta ITT</t>
  </si>
  <si>
    <t>DORCA Bogdan Constantin, Tolerantele și inspecția arborilor canelați. Proiectarea tehnologiei de fabricație și a unor SDV-uri pentru reperul “Corp”, licenta TCM</t>
  </si>
  <si>
    <t>Bunea Persida, Analiza preciziei de execuție a sculelor așchietoare cu coada Capto. Proiectarea tehnologiei de execuție pentru reperul Suport 38.15.124, licenta TCM</t>
  </si>
  <si>
    <t>MICULETE G. MIHAI - ADRIAN, Studiul tehnologiei de fabricație și a SDV-urilor necesare realizării reperului " CAPAC", licenta IEDM_FR</t>
  </si>
  <si>
    <t>MERTOIU Darius-Andrei, Proiectarea procesului tehnologic și a unor SDV-uri aferente reperului Semibucsa. Plan de afaceri pentru infintarea unei firme care forjeaza jante pentru automobile, Licenta</t>
  </si>
  <si>
    <t>LUPU Andreea - Studiu privind atractivitatea jocurilor online și offline în procesul educațional - Master</t>
  </si>
  <si>
    <t>TILEA Paula-Annamaria - Studiu privind utilizarea instrumentelor software pentru managementul de proiect în companiile din România - Master</t>
  </si>
  <si>
    <t>Bugner Catalin, Contributii privind optimizarea formei constructive a unui reper specificindustriei automotive, licenta</t>
  </si>
  <si>
    <t>Fing3</t>
  </si>
  <si>
    <t>Drasovean Paula, Studii si cercetari privind tehnologiile de fabricare a pieselor metalice prin utilizarea tehnologiilor de prelucrare cu laser, licenta</t>
  </si>
  <si>
    <t>URIAN Cristiana-Diana/ Proiectarea tehnologiei de fabricație și a SDV-urilor aferente reperului bucșă. Analiza strategica privind oportunitatea dezvoltarii SC FSM CONSULT SRL/ LICENTA</t>
  </si>
  <si>
    <t>LUPEA Diana-Maria/ Proiectarea tehnologiei de fabricație și a SDV-urilor aferente reperului BUCȘĂ. Analiza strategică privind oportunitatea dezvoltării SC COMPA SA/ LICENTA</t>
  </si>
  <si>
    <t>TROIESCHI Raluca-Iuliana/ Proiectarea tehnologiei de fabricație și a SDV-urilor aferente reperului ARBORE. Studiu privind înființarea unei microintreprinderi./ LICENTA</t>
  </si>
  <si>
    <t>CIUCĂ Nicoleta-Mihaela/ Proiectarea tehnologiei de fabricație și a SDV-urilor aferente reperului ARBORE. Studiu privind oportunitățile de dezvoltare în cadrul SC NORDEXIM SRL/ LICENTA</t>
  </si>
  <si>
    <t>IONAŞ Adela-Ioana/ Proiectarea tehnologiei de fabricație și a SDV-urilor aferente reperului ARBORE Soluții educaționale în mediul online pentru studenți./ LICENTA</t>
  </si>
  <si>
    <t>BORŞOI Izabela/ Proiectarea tehnologiei de fabricație și a SDV-urilor aferente reperului BUCȘĂ. Studiu privind evaluarea stării de bine și a fericirii pentru angajații unei firme./ LICENTA</t>
  </si>
  <si>
    <t>CIUCĂ Mihaiela (FARAON)/ Ameliorarea riscurilor unui proiect de investiții într-o organizatie din domeniul auto/ DISERTATIE</t>
  </si>
  <si>
    <t>SCUTARU Marius/ Instrumente de managementul calității folosite pentru îmbunătățirea proceselor din cadrul unei firme/ LICENTA</t>
  </si>
  <si>
    <t>MARANCIUC D. DANIEL	/ Proiectarea tehnologiei de fabricație și a SDV-urilor aferente reperului „ARBORE MOARĂ CU CIOCĂNELE”.	Analiza strategică privind oportunitățile de dezvoltare în cadrul SC CONTINENTAL SRL./ LICENTA IEDM ID</t>
  </si>
  <si>
    <t>NĂSTASE G. CONSTANTIN - IONUŢ/ Proiectarea tehnologiei de fabricație și a SDV-urilor aferente reperului „PLACĂ”.	Indicatori de analiză și investiții pe piața criptomonedelor./ LICENTA</t>
  </si>
  <si>
    <t>ŢUGMEANU G. MARINELA/ Proiectarea tehnologiei de fabricație și a SDV-urilor aferente reperului capac de reductor.	Crearea de bune practici in selectia furnizorilor in SC CON-A SRL/ LICENTA</t>
  </si>
  <si>
    <t xml:space="preserve"> PRUNDEANU Petre Alexandru / Studiu privind înființarea unei întreprinderi mici în domeniul producției / LICENTA</t>
  </si>
  <si>
    <t>BÂRZĂ Mariana /  Mediul educațional online - provocări şi oportunităţi / LICENTA</t>
  </si>
  <si>
    <t>NEAMŢIU Cristina-Maria / Experiența de învățare în mediul online, din perspectiva studenților / LICENTA</t>
  </si>
  <si>
    <t>RITEA Bianca - Ioana / Învățamantul universitar în perioada pandemiei Covid-19 / LICENTA</t>
  </si>
  <si>
    <t>DENGHEL Teodora Maria / Învățamântul liceal în perioada pandemiei Covid-19 / LCIENTA</t>
  </si>
  <si>
    <t>LĂZĂROAIE Darius  / Antreprenoriatul ca opțiune de carieră la terminarea studiilor universitare / LICENTA</t>
  </si>
  <si>
    <t>TEȘCUȚ Nicoleta / Strategia de brand pentru o companie de logistică / DISERTATIE</t>
  </si>
  <si>
    <t>POPA Maria - Roxana / Managementul proiectelor în domeniul serviciilor / DISERTATIE</t>
  </si>
  <si>
    <t>STOIAN ALEXANDRU: Analiza capabilității procesului de asamblare al produsului “Antenă inteligentă” în cadrul firmei S.C. CONTINENTAL AUTOMOTIVE S.R.L C16</t>
  </si>
  <si>
    <t>BIŢĂ LAURENŢIU-ANDREI: Analiza capabilității sistemelor de măsurare utilizate în cadrul procesului de testare software pentru produsul ‘’Modul de control electronic’’ / master STIF</t>
  </si>
  <si>
    <t>BUSILA T. SORINA MIHAELA: Analiza repetabilitatii si reproductibilitatii sistemelor de masurare in cadrul unei organizatii din industria de incaltaminte C16</t>
  </si>
  <si>
    <t>POPESCU C. RALUCA-ELENA (PANTEA):Analiza comparativă a fidelității unor sisteme de măsurare din cadrul firmei 3D MEASUREMENT SOLUTIONS MARGINEAN SRL / master MC</t>
  </si>
  <si>
    <t>BELEIU ANDREI MIHAI: Cercetarea statistică a rezultatelor unui proces de măsurare în cadrul laboratorului de “Toleranțe și control dimensional”. Proiectarea tehnologiei de execuţie a unui reper aferent / licență TCM</t>
  </si>
  <si>
    <t>HOGNOGI Patricia Alexandra - Proiectarea procesului tehnologic si a SDV - urilor necesare executiei reperului "Placa DN 16" considerand o productie anuala de 30.000 bucati, in doua schimburi. Studiu privind extinderea activitatii la S.C. Auto Sector S.R.L. Cisnadie - Licenta</t>
  </si>
  <si>
    <t>STOICA Andra Nicoleta - Proiectarea unei SRM cu teletransmisie de date</t>
  </si>
  <si>
    <t>KATILA Erzebet Julianna - Proiectarea unei SRM automatizata avind un debit maxim de 6000mc/h</t>
  </si>
  <si>
    <t>Florea Adrian Savu, Proiectarea unui dispozitiv de maruntire a deseurilor provenite din diverse surse. Proiectarea tehnologiei de fabricatie si a unor SDV-uri necesare executiei reperului  Rola de ghidare nr. desen ZNG_76842101 de la S.C. SIMEA SRL Sibiu, LICENȚĂ</t>
  </si>
  <si>
    <t>GALTER Heinz Andreas, Cercetare experimentală cu privire la modelarea funcției de răspuns productivitatea prelucrării la prelucrarea dimensională a materialelor metalice prin eroziune electrică. Proiectarea tehnologiei de fabricație și a unor SDV-uri necesare execuției reperului placă de formare matriță de injecție mase platice CITRUS TOOL, LICENȚĂ</t>
  </si>
  <si>
    <t>RĂDUȚ Andreea Mihaela, Studiu experimental cu privire la uzura volumică a obiectului de transfer la prelucrarea dimensională a materialelor metalice prin eroziune electrică. Proiectarea tehnologiei de fabricație și a unor SDV-uri necesare execuției reperului placă de formare superioară Swingle, LICENȚĂ</t>
  </si>
  <si>
    <t>VERGU Constantin Alexandru, Proiectarea unui stand de laborator pentru studiul forțelor de fixare a pieselor în mecanisme de strângere cu pene și plunjere. Proiectarea tehnologiei de fabricatie si a unor SDV-uri necesare executiei unui reper din componența standului proiectat, LICENȚĂ</t>
  </si>
  <si>
    <t>ȚICĂ Constantin Tudor, Proiectarea și implementarea unui sistem de transport de mărfuri perisabile pe ruta Rm Vâlcea - Viena și retur, LICENȚĂ</t>
  </si>
  <si>
    <t>Ciucă Mihaiela - Ameliorarea riscurilor unui proiect de investiții într-o organizație din domeniul auto - disertatie mMC</t>
  </si>
  <si>
    <t>Mircea-Alexandru Năstăsescu - Strategii de remediere a relației cu clienții în domeniul automotive - disertatie mMAI</t>
  </si>
  <si>
    <t>CRISTEA (DRAGOȘ) ANDREEA - AMELIORAREA RISCURILOR
SSM SPECIFICE ANGAJAȚILOR
CARE ACTIVEAZĂ ÎN REGIM DE TELEMUNCĂ  - disertatie mMC</t>
  </si>
  <si>
    <t>Andreea Paraschiva GROZAV - IMPACTUL ÎMBUNĂTĂȚIRII CALITĂȚII PROCESELOR ASUPRA COSTURILOR ÎN CADRUL UNOR LINII DE FABRICAȚIE DIN DOMENIUL AUTOMOTIVE - licenta IEDM-ID</t>
  </si>
  <si>
    <t>Mihaela Alina MĂCĂU - DEZVOLTAREA UNEI METODOLOGII DE AMELIORARE A IMPACTULUI SEMNIFICATIV ASOCIAT ASPECTELOR DE MEDIU GENERATE DE O ORGANIZAȚIE DIN DOMENIUL AUTO - disertatie mMC</t>
  </si>
  <si>
    <t>Laura-Maria FUMUREANU - Proiectarea tehnologiei de execuție și a unor SDV-uri aferente reperului placă port membrană. Reducerea costurilor aferente proceselor de asigurare a securității și sănătății ocupaționale într-o organizație din domeniul auto - licenta IEDM</t>
  </si>
  <si>
    <t>MUTU-RIZOIU George-Cristian - Ameliorarea impactului asupra mediului generat de procesul de injecție de hidrogen în conductele de transport gaze naturale  - disertatie mMC</t>
  </si>
  <si>
    <t>Străulea Alexandru - ÎMBUNĂTĂȚIREA PROCESELOR ÎNTR-O COMPANIE DIN DOMENIUL AUTO -  - licenta TCM</t>
  </si>
  <si>
    <t>Modran Maria - Proiect de disertație: Îmbunătățirea procesului de fabricație dintr-o firmă de prelucrare a lemnului - disertatie mMC</t>
  </si>
  <si>
    <t>COCAN ALEXANDRU, Implementarea unui joc 3D în Godot, licenta Calculatoare, iulie 2022</t>
  </si>
  <si>
    <t>Neagu Denis-Bogdan, Aplicatie multimedia pentru instruire in domeniul ornitologiei, licență Calculatoare, iulie 2022</t>
  </si>
  <si>
    <t>NISTOR ANAMARIA, Aplicație de instruire asistată implementată în Godot, licență TI, iulie 2022</t>
  </si>
  <si>
    <t>CĂTĂNOIU GABRIELA-ANAMARIA, Implementarea unui joc 3D în Godot, licenta ISM, iulie 2022</t>
  </si>
  <si>
    <t>OPREA CIPRIAN, Joc 2D in Unity, disertație ICAI, iulie 2022</t>
  </si>
  <si>
    <t>VÎLCU CONSTANTIN-CĂTĂLIN, Joc 3D in Unity, disertație ICAI, iulie 2022</t>
  </si>
  <si>
    <t>SUSU RADU PETRU, Joc 2D in Unity, disertație ICAI, iulie 2022</t>
  </si>
  <si>
    <t>Almăsan Denis Adrian, DRONA COMANDATĂ PRIN GPS, Master</t>
  </si>
  <si>
    <t>Marciuc Andra-Daniela, Analiza parametrilor sistemului de comunicații TETRA, Master</t>
  </si>
  <si>
    <t>BICA Paul-Marian, Studiul sistemelor de acționare, utilizând platforma Arduino, Master</t>
  </si>
  <si>
    <t>DOICIN Mirela, Implementarea unui senzor pentru monitorizarea spectrului electromagnetic folosind tehnologia Software Defined Radio (SDR), Master</t>
  </si>
  <si>
    <t>Neacșu Maria-Mădălina, Sistem de recunoaștere a semnelor de circulație și a culorilor de la semafor, Master</t>
  </si>
  <si>
    <t>Udrescu Ionuț-Claudiu , Stație meteo IOT pentru monitorizarea culturilor agricole, Master</t>
  </si>
  <si>
    <t>MOTOI ION-OVIDIU, Stand de laborator pentru studiul interfațării dispozitivelor digitale cu platforma Arduino, Licență</t>
  </si>
  <si>
    <t>PRAPORGESCU RADU-IONUT, Stand de laborator pentru studiul interfațării dispozitivelor analogice cu platforma Arduino, Licență</t>
  </si>
  <si>
    <t>SERB RAZVAN-IOAN, Stand de laborator pentru studiul interfațării motoarelor și actoatoarelor cu platforma Arduino,Licență</t>
  </si>
  <si>
    <t>ISAIU I. A. ANDREI  Studiu privind acoperirea radio realizata de reteaua "ULBS Wireless", Licență EA, iulie 2022</t>
  </si>
  <si>
    <t>MAGDALENA C. S. ALEXANDRU-LOREN Sistem software defined radio pentru blocarea comunicațiilor în sala de examen, Licență EA, iulie 2022</t>
  </si>
  <si>
    <t>ŞANDRU D. M. ALEXANDRU-DANIEL  Sistem software defined radio pentru localizarea surselor de emisie radio, Licență EA, iulie 2022</t>
  </si>
  <si>
    <t xml:space="preserve">Florea CONSTANTIBN Senzor multiparametric cu transmisie WI-FI, Licență EA, Iulie 2022 </t>
  </si>
  <si>
    <t>Andrei Paul-Valer, Aplicatie pentru analiza imaginilor RMN si detectia tumorilor pe creier, licenta</t>
  </si>
  <si>
    <t>Lie Alexandru-Stefan, Computer-tomography Classifier, licenta</t>
  </si>
  <si>
    <t>Oancea Bogdana, Segmentarea si vizualizarea imaginilor angio-ct, licenta</t>
  </si>
  <si>
    <t>Onisie Robert, Sistem de monitorizare complexa a echipamentelor de retea, licenta</t>
  </si>
  <si>
    <t>Preda Maria-Gabriela, Tehnici si metode de imagistica satelitara, licenta</t>
  </si>
  <si>
    <t>Raicu Elena-Teodora, Studiu comparativ al metodelor de sehmentare in imagistica medicala, licenta</t>
  </si>
  <si>
    <t>Tichindelean Denisa-Ioana, Dispozitiv de monitorizare a parametrilor apei folosind conceptul Internet of Things, licenta</t>
  </si>
  <si>
    <t>Burnete Denisa - Corina, Offline Handwriting Recognition, licenta</t>
  </si>
  <si>
    <t>Bebeselea Ionela, Automatic Recognition of American Sign Language Alphabet using Machine Learning, dizertatie</t>
  </si>
  <si>
    <t>Baciu Nicolae - Darius, Medical Image Segmentation using Deep Learning Methods, dizertatie</t>
  </si>
  <si>
    <t>Frunza Dan, Measurement of the Tool-Chip Contact Length using Digital Image Processing, dizertatie</t>
  </si>
  <si>
    <t>Pop Vlad, Gateway Communication and Routing Tests with CANoe and CAN Communication Protocol, dizertatie</t>
  </si>
  <si>
    <t>PIETRARU G. ELENA-LOREDANA, Aplicație pentru gestiunea task-urilor din cadrul proiectelor, licenta Calculatoare, iulie 2022</t>
  </si>
  <si>
    <t>COMAN N. GABRIEL, Aplicație rezervări terenuri de sport, licenta</t>
  </si>
  <si>
    <t>DANCU I. SEBASTIAN-IONUȚ, NFT staking, licenta</t>
  </si>
  <si>
    <t>JUGAREAN D PAUL-BOGDAN, NFT Marketplace, licenta</t>
  </si>
  <si>
    <t>BĂLUȚĂ I. IONUȚ-ALEXANSRU, Aplicație monitorizare noduri într-o rețea Blockchain, licenta</t>
  </si>
  <si>
    <t>STĂNESCU D VLAD-CRISTIAN, Zero-Knowledge proof in blockchain, Zero-Knowledge proof in blockchain, master ACS</t>
  </si>
  <si>
    <t>Mihet Antonia Calculatoare , EatIn-the box</t>
  </si>
  <si>
    <t>Vlad Vasiu Calculatoare, Monitorizare preturi criptomonede</t>
  </si>
  <si>
    <t>Alexandra Iulia Manig Calculatoare , Suport Work and Travel</t>
  </si>
  <si>
    <t>Mitea Sabina Calculatoare , Ghid turistic</t>
  </si>
  <si>
    <t>Teodora Dejanu Calculatoare , APLICATIE WEB-CABINET VETERINAR.</t>
  </si>
  <si>
    <t>Damian Georgiana- Calculatoare, Magazin BIO</t>
  </si>
  <si>
    <t>Denisa Topircean Calculatoare, Comanda sanatos si gustos</t>
  </si>
  <si>
    <t>Gligor Cornel Calculatoare , Shopfloor Inventory Production</t>
  </si>
  <si>
    <t>Cristi Marginean Calculatoare, Proiectare robot masina</t>
  </si>
  <si>
    <t>Giubega Larisa Calculatoare, Aplicatie SUPORT ROBOT PROCESSING AUTOMATION- CLINICA MEDICALA</t>
  </si>
  <si>
    <t>Luca Iuliana, TI , Device pentru controlul unei porti prin mobil</t>
  </si>
  <si>
    <t>Diana Mujoiu TI , PLATFORMA PENTRU MANAGEMENT-UL PENSIUNILOR</t>
  </si>
  <si>
    <t>Dragomir Stefana,ISM , Platforma online pt studenti</t>
  </si>
  <si>
    <t>Stoian Alexandra, ISM , Promovare Pensiune</t>
  </si>
  <si>
    <t>Catalin sandu ISM , Aplicatie online pt artisti si designeri</t>
  </si>
  <si>
    <t>Ramona Bunea ISM , Platforma online pentru organizarea evenimentelor</t>
  </si>
  <si>
    <t>Bardasu Roxana, ICAI, PARCARE SMART</t>
  </si>
  <si>
    <t>Deac , Sistem de management al unei cafenele</t>
  </si>
  <si>
    <t xml:space="preserve">Lucrare licenta - febr 2023
IGNAT P. ADRIAN - Comanada unui sistem de acționare cu motor pas cu pas
</t>
  </si>
  <si>
    <t>ENEA C ELENA-DENISA, "Aplicatie MVC LARAVEL PHP pentru gestionarea unui clinici oftalmologice.", licenta Tehnologia Informatiei, iulie 2022</t>
  </si>
  <si>
    <t>MOLOȘIT F. FLORIN, "Esports", licenta Calculatoare, iulie 2022</t>
  </si>
  <si>
    <t>BABĂ N. GEORGE, Aplicație web pentru administrarea documentelor personale și eficientizarea proceselor cu flux de documente,C, iulie, 2022</t>
  </si>
  <si>
    <t>BOANGĂR M. MARIA-BIANCA, ReFood,C, iulie, 2022</t>
  </si>
  <si>
    <t>GULEAN I. I. PAULA-FLORINA, Aplicație de organizare a vacanțelor,C, iulie, 2022</t>
  </si>
  <si>
    <t>MATEI N. ANDREEA-MARIA, Aplicație web pentru călătorii – roadlife,C, iulie, 2022</t>
  </si>
  <si>
    <t>OŞAN A. ALEXANDRU-ROBERT, Platformă WEB pentru facilitarea comerțului de autovehicule,C, iulie, 2022</t>
  </si>
  <si>
    <t>ŞUTEU V. ROCSANA, Platformă CSAC de monitorizare a licențelor,C, iulie, 2022</t>
  </si>
  <si>
    <t>BĂCILĂ O.I. CLAUDIU, Site de pariuri sportive asistat de IA., TI, iulie, 2022</t>
  </si>
  <si>
    <t>BOCȘE M IONUȚ-LAURENȚIU, Sistem de gestiune în format digital al benzilor desenate, TI, iulie, 2022</t>
  </si>
  <si>
    <t>DRAGOMIR V GABRIEL, Content Management System pentru Universitate, TI, iulie, 2022</t>
  </si>
  <si>
    <t>DUMITRESCU M MIHAELA-DIANA, Aplicație de examinare a studentului care utilizează recunoașterea emoțiilor , TI, iulie, 2022</t>
  </si>
  <si>
    <t>POPA D NICOLETA-RALUCA, Aplicație pentru determinarea diagnosticului medical pe baza unor simptome, TI, iulie, 2022</t>
  </si>
  <si>
    <t>DĂNCAȘIU Ș. ȘERBAN-IOAN, Aplicație Android management parcare,ISM, iulie, 2022</t>
  </si>
  <si>
    <t>DEACONU C. ELENA-DENISA, Aplicație web pentru generarea planificării lunare a angajaților unei firme,ISM, iulie, 2022</t>
  </si>
  <si>
    <t>DINICĂ Ș. ELENA-ANDREEA, Aplicație web pentru managementul unui restaurant,ISM, iulie, 2022</t>
  </si>
  <si>
    <t>GIURA I. MARIA-DENISA, Sistem scalabil de planificare a competițiilor,ISM, iulie, 2022</t>
  </si>
  <si>
    <t>STANCIU D.P. ALEXANDRU-NICOLAE, Program bazat pe image recognition,ISM, iulie, 2022</t>
  </si>
  <si>
    <t>TOPÎRCEAN I. BIANCA-ELENA, Sistem de intrare în casă prin recunoaștere facială,ISM, iulie, 2022</t>
  </si>
  <si>
    <t>VOCHESCU C. ELENA-ANDREEA, Aplicație web pentru recunoașterea semnelor de circulație,ISM, iulie, 2022</t>
  </si>
  <si>
    <t>POPA F. V. ANDREI, promoția 2021, APPMUSIC - Aplicație pentru liste de redare,februarie, 2023</t>
  </si>
  <si>
    <t>VOICU N. PAUL-RĂZVAN, Aplicație web de audit,master, ICAI iulie 2022</t>
  </si>
  <si>
    <t>PLEŞA V. GEORGIANA-MARIA (CRĂCIUN), Aplicație web pentru gestionarea unui hotel,master, februarie 2023</t>
  </si>
  <si>
    <t>AVRĂMUȚ A SILVIU-MIHAI City Mobile App iulie 2022</t>
  </si>
  <si>
    <t>POPENȚA D. DAN-ALEXANDRU Sistem de identificare a locurilor disponibile intr-un local iulie 2022</t>
  </si>
  <si>
    <t>LUCA S MIHAI - SORIN Statistical Near Lossless Color Image Compression iulie 2022</t>
  </si>
  <si>
    <t>BANCIU L. A. CLAUDIA-ANDREEA, Dispozitiv IOT pentru colectarea parametrilor mediului ambiant la interior</t>
  </si>
  <si>
    <t>BURLA D. L. ALEXANDRU, Crawler dedicat aplicație smart city</t>
  </si>
  <si>
    <t>CORLACIU N. ANDREI-RĂZVAN, Modelarea și simularea unui sistem automatizat în cadrul unui depozit agricol</t>
  </si>
  <si>
    <t>HALMAGHI G. DENISA-MARIA, Aplicație pentru planificarea resurselor întreprinderii</t>
  </si>
  <si>
    <t>ISĂILĂ V. D. DAN-VASILE, Aplicație creare formulare online</t>
  </si>
  <si>
    <t>OLTEANU C. BOGDAN-MIHAI, Aplicație monitorizare număr persoane din sălile de fitness</t>
  </si>
  <si>
    <t>POPA V. DANIEL-IOAN, Sistem IOT pentru irigarea și monitorizarea unei plantații de conifere tuia</t>
  </si>
  <si>
    <t>RADU D. M. ANDREEA-DENISA, Aplicație de detecție a oboselii</t>
  </si>
  <si>
    <t>ŞUVĂILĂ L. C. LUCIAN-IOAN, Numărarea persoanelor care trec prin fața camerei folosind algoritmi de învățare automată și hardware cu cost redus</t>
  </si>
  <si>
    <t>ŢICHINDELEAN D. I. DENISA-IOANA, Dispozitiv de monitorizare a parametrilor apei folosind conceptul Internet of Things</t>
  </si>
  <si>
    <t>ALEXANDRESCU C DENISA-CRISTINA, Siguranța funcțională în contextul tehnologiilor capacitive în autovehiculele viitorului</t>
  </si>
  <si>
    <t>CAZACU V DANA, Analiza gradului de poluare utilizând platforma de tip IoT</t>
  </si>
  <si>
    <t>BOTĂREL D MARIA-DENISA, Design and Software implementation of a suspension system using evolutionary computing</t>
  </si>
  <si>
    <t>IAGĂRU I MIHAELA-IONELA, Appliсation of Fuzzy Logiс for modеling and managing of thе aссеlеratеd fеrmеntation proсеss of bееr</t>
  </si>
  <si>
    <t>STOISOR D.C. MELISA-CRISTINA, ENHANCED AI TOOL FOR MODELING, PREDICTING AND MANAGING THE WHITE WINE FERMENTATION PROCESS</t>
  </si>
  <si>
    <t>CĂLIN B. IONUȚ-ALIN, promoția 2021, Robot autonom care urmăărește și evită obstacole</t>
  </si>
  <si>
    <t>Răducan Radu, Predicția contextuală a etapelor în procesul de asamblare asistată a produselor, licență ISM</t>
  </si>
  <si>
    <t>Olaru Lorena-Maria, Forecasting electricity consumption and production through machine learning methods, master ACS</t>
  </si>
  <si>
    <t>Luca Gabriela-Alexandra, Self-Driving Simulation, master ACS</t>
  </si>
  <si>
    <t>Precup Ștefan-Alexandru, Framework for worker intention estimation through context-based methods, master ACS</t>
  </si>
  <si>
    <t>Țocu Nicolae-Adrian, Linking Virtual Reality to Real World Simulations, master ACS</t>
  </si>
  <si>
    <t>Stroila N. Mihai-Liviu, Controller wireless pentru ModBus RS485, Licenta</t>
  </si>
  <si>
    <t>Pitigoi I. Gheorghe-Cosmin, Studiu asupra unor senzori distribuiti cu aplicatii in agricultura, Licenta</t>
  </si>
  <si>
    <t>CRETU IOAN-ALIN' Restaurant review, licenta Calculatoare</t>
  </si>
  <si>
    <t>Bogdan-Alexandru Menchiu, Robot maze braker, licenta Calculatoare</t>
  </si>
  <si>
    <t>Morariu Elisei, Sistem de detecție plagiat., licenta Calculatoare</t>
  </si>
  <si>
    <t>Ioan-Alexandru POPA, Sistem de răspuns automat la întrebări formulate in limbaj natural, licenta Calculatoare</t>
  </si>
  <si>
    <t>Marius-Andrei RATIU, Filtrarea automată a știrilor pe baza profilului utilizator, licenta Calculatoare</t>
  </si>
  <si>
    <t>Adelina-Stefania MANOLEA, Etichetarea automată a părților de vorbire, licenta TI</t>
  </si>
  <si>
    <t>Bărbulescu Adrian, DEEP LEARNING IN OTHELLO GAMES, master ACS</t>
  </si>
  <si>
    <t xml:space="preserve">Văcariu Teodor-Cristian,Masinuta pentru scanarea mediului, master ES </t>
  </si>
  <si>
    <t>Poenaru Mihaela-Alina, Aplicație de rezolvare a testelor de tip grilă, master ICAI</t>
  </si>
  <si>
    <t>Țecu Dumitru Alexandru, FILTRAREA AUTOMATĂ A ȘTIRILOR(RSS) PE BAZA PROFILULUI UTILIZATOR, master ICAI</t>
  </si>
  <si>
    <t>Albrecht Cristina, Detecția somnolenței la volan folosind tehnici de procesarea imaginilor în infraroșu, EA</t>
  </si>
  <si>
    <t>CIUCĂ Adelina Georgiana, Decodarea codurilor QR, EA</t>
  </si>
  <si>
    <t>HERĂSCU Sebastian - Gabriel, Analiza traficului rutier folosind tehnici de procesare a imaginilor, EA</t>
  </si>
  <si>
    <t>DRĂGHICI Roxana - Maria, Eliminarea zgomotului de fundal din semnale audio, EA</t>
  </si>
  <si>
    <t>FAUR Lidia-Dorotheea, Determinarea pulsului și problemelor de ritm cardiac folosind înregistrări EKG, Calculatoare</t>
  </si>
  <si>
    <t>AGÂRBICEANU Andrei, Identificarea și recunoașterea semnelor de circulație folosind rețele neurale, ICAI</t>
  </si>
  <si>
    <t xml:space="preserve">GHISE A ANDREEA MARIA, Aplicatie de definire, import si distribuire de sarcini in cadrul unei echipe, licenta TI, iulie 2022 </t>
  </si>
  <si>
    <t>CRACEA N. DARIUS				
Îndreptarea paginilor în imagini								
licența EA</t>
  </si>
  <si>
    <t>FEIEREIS M. I. ANDREI			
Modificarea semnalelor audio și generarea unor efecte sonore	
licența EA</t>
  </si>
  <si>
    <t>LUCA-ILIE I. NICULINA			
Modificarea ritmului muzicii în funcție de ritmul alergătorului	
licența EA</t>
  </si>
  <si>
    <t>PREOTEASA C. M. RĂZVAN-VASILE	
Autentificare biometrică										
licența EA</t>
  </si>
  <si>
    <t>FAU C.E. CONSTANTIN-VLAD-Automatizarea sistemului de furajare a unei ferme zootehnice</t>
  </si>
  <si>
    <t>CAPĂTĂ Laurențiu-Stand pentru determinarea caracteristicilor unui alternator</t>
  </si>
  <si>
    <t>IACH Paul Beniamin-Stand de laborator pentru studiul motoarelor fără perii</t>
  </si>
  <si>
    <t>DIMA -. THANIOS-Generatorul de c.c. cu excitație separată</t>
  </si>
  <si>
    <t>BRAN G. MIHAIL-ALEXANDRU-Optimizarea funcționării în paralel a surselor în comutație</t>
  </si>
  <si>
    <t>NEACȘU M. ȘTEFAN-Monitorizarea unei centrale termice de apartament</t>
  </si>
  <si>
    <t>URSULESCU Ș. ȘTEFAN-VASILE-Chopper de tip PWM cu tranzistoare IGBT</t>
  </si>
  <si>
    <t>STREULEA Emanuel - Ioan-Controlul turației unui motor universal în 
ARDUINO</t>
  </si>
  <si>
    <t>BĂRDAȘ V. IOAN-PAUL-Pornirea în scadă, prin SOFT-STARTER, a motoarelor asincron</t>
  </si>
  <si>
    <t>JUGĂNARU I. GABRIEL-IULIAN-Volan de condus pentru calculator bazat pe Arduino</t>
  </si>
  <si>
    <t>HODOROGEA Vasile - Mihnea-APLICAŢII INDUSTRIALE ALE SISTEMELOR DE ACŢIONARE CU MOTOARE ASINCRONE</t>
  </si>
  <si>
    <t>MĂRĂCINE Roxana-Acumulatori Li-ION</t>
  </si>
  <si>
    <t>AFTENIE O. ANA-MARIA, Aplicație pentru managementul unei firme, Licenta</t>
  </si>
  <si>
    <t>BUTA G.D. VLAD-MIHAI, Joc 2D pentru Android dezvoltat în interfața Unity folosind limbajul de programare C#, Licenta</t>
  </si>
  <si>
    <t>GÎROE L. G. ŞTEFAN-BOGDAN, Aplicație de voturi pentru produse propuse de utilizatori, Licenta</t>
  </si>
  <si>
    <t>HERȚOIU G. BOGDAN-GEORGE, Data Frame Manager, Licenta</t>
  </si>
  <si>
    <t>NATEA P.I. PETRIȘOR-OVIDIU, Aplicație pentru generarea adeverințelor în Asp.Net Core MVC, Licenta</t>
  </si>
  <si>
    <t>NECŞULEU C. IONUŢ-CLAUDIU, Aplicație de tip RPG 3D dezvoltata în Unity, Licenta</t>
  </si>
  <si>
    <t>NISTOR M. SEBASTIAN-EMANUEL, promoția 2021, Aplicație de monitorizare a prețurilor produselor, Licenta</t>
  </si>
  <si>
    <t>OTEŞANU I. LEONARD-FLORIAN, Aplicație test de carieră 3D implementată în Unity, Licenta</t>
  </si>
  <si>
    <t>POPESCU I. ALEXANDRU, Aplicații Powershell utilitare pentru sisteme de operare de tip Windows, Licenta</t>
  </si>
  <si>
    <t>POPESCU V. A. MARIA-GABRIELA, Aplicație pentru monitorizarea producției folosind IOT, Licenta</t>
  </si>
  <si>
    <t>PURŢA T. I. ANDREEA-MARIA, Prescriptions assistant, Licenta</t>
  </si>
  <si>
    <t>STOIAN C. C. ALEXANDRU-CRISTIAN, Joc Horror 3D în mediul de dezvoltare Unity, Licenta</t>
  </si>
  <si>
    <t>STOICA S.G. ALEXANDRU-PAUL, Aplicatie pentru programare la salon canin "happy pets", Licenta</t>
  </si>
  <si>
    <t>TALOŞ A. SILVAN-ADRIAN, Securizarea și monitorizarea serviciilor WEB de tip REST, Licenta</t>
  </si>
  <si>
    <t>MODAN A LIVIU, Aplicatie pentru masurarea performantei calculatorului in randarea de aplicatii multimedia, Licenta</t>
  </si>
  <si>
    <t>BĂDINA C CONSTANTIN, PLATFORMĂ WEB PENTRU JOBURI ÎN DOMENIUL IT, Licenta</t>
  </si>
  <si>
    <t>DIACONESCU A AURELIAN, Implementarea unui joc 3d in cu cel shading in unity, Licenta</t>
  </si>
  <si>
    <t>FLEȘARIU C.G. ȘTEFANA-OTILIA, Aplicație de gestiune cu baze de date, Licenta</t>
  </si>
  <si>
    <t>PĂȘOIU I ALEXANDRU-MARIAN, Aplicație de tip social media, Licenta</t>
  </si>
  <si>
    <t>TOCANEL T ROXANA-CRISTINA, Aplicație web secretariat online, Licenta</t>
  </si>
  <si>
    <t>BÎCĂ G. VALENTIN-CONSTANTIN, Magazin Online, Licenta</t>
  </si>
  <si>
    <t>BUCUR C. SEBASTIAN-GEORGE, Unity Racing Game, Licenta</t>
  </si>
  <si>
    <t>ILINCA V. ȘTEFAN, Aplicație web pentru gestionarea angajaților unui restaurant, Licenta</t>
  </si>
  <si>
    <t>MARICA T. ANDREI-MARIAN, Joc open-world, story-driven în Unity 3D, Licenta</t>
  </si>
  <si>
    <t>PÎRVU A. FLORIN, Aplicație în mediul 3D, Licenta</t>
  </si>
  <si>
    <t>POPA S. MARIAN-EMANUEL, Aplicație WEB în ReactJS și .Net, Licenta</t>
  </si>
  <si>
    <t>RĂDULESCU F.I. ANDREI-FLORIAN, Aplicație 3D Unity Zombie First Person Scooter, Licenta</t>
  </si>
  <si>
    <t>ROȘCA N.A. ȘTEFANIA-CRISTINA, Vînătoare de comori 3D în Unity, Licenta</t>
  </si>
  <si>
    <t>SANDU G.L. GABRIEL-LEONARD, Joc 3D Unity (Single Player RPG), Licenta</t>
  </si>
  <si>
    <t>ȘERBĂNESCU V. ANDREI-VASILE, Joc 3D Unity , Licenta</t>
  </si>
  <si>
    <t>BECKERT MC CRISTIAN-GEORGE, Trails Explorer, Disertatie</t>
  </si>
  <si>
    <t>POPA M CLAUDIU-IOAN, Wedding planner using multi-cloud services., Disertatie</t>
  </si>
  <si>
    <t>BALAJ O. I. LARISA OCTAVIA AURA, Aplicație ASP.Net cu integrare SQL, Disertatie</t>
  </si>
  <si>
    <t>CUCU I. OVIDIU-GABRIEL, Aplicație de gestiune a angajaților unei firme, Disertatie</t>
  </si>
  <si>
    <t>DINUŢ C. CARMEN-MARIA, Realizarea unui quiz game având în vedere evaluarea cunoștințelor dobândite în urma finalizării studiilor superioare, Disertatie</t>
  </si>
  <si>
    <t>DORDEA V. D. VIRGIL-DAVID, CarShop - magazin utilizând PHP și HTML, Disertatie</t>
  </si>
  <si>
    <t>ERHU -ROŞIUŢĂ V. ANDREEA, Aplicație de gestiune a serviciilor în imobiliare, utilizând ASP.Net, Disertatie</t>
  </si>
  <si>
    <t>IANCU M. A. ALEXANDRU-ADRIAN, Platformă online pentru restaurante, Disertatie</t>
  </si>
  <si>
    <t>MIHAI M. D. MIHNEA - ILIE, Programarea unei aplicații web de tip personal dashboard, Disertatie</t>
  </si>
  <si>
    <t>VĂCĂLIE N. IULIA-MARIA, Aplicație web pentru interviuri online, Disertatie</t>
  </si>
  <si>
    <t>VIERIU V. RĂZVAN - IOAN, Implementarea unui sistem de testare a rețelelor wired, wireless, bluetooth, Disertatie</t>
  </si>
  <si>
    <t>VULCU L. L. VLAD, Folosirea tehnilogiilor ASP.Net și Angular în dezvoltarea unei aplicații web, Disertatie</t>
  </si>
  <si>
    <t>VUŢIU P. LAVINIA-ALEXANDRA, Aplicații cu baze de date, task-tracking, Disertatie</t>
  </si>
  <si>
    <t>RĂULEA V. CRISTINA-MARIA, Sistem IoT pentru supravegherea locuintei, licenta Electronica Aplicata, iulie 2022</t>
  </si>
  <si>
    <r>
      <rPr>
        <sz val="7"/>
        <color rgb="FF1F1F1F"/>
        <rFont val="Arial"/>
      </rPr>
      <t xml:space="preserve"> </t>
    </r>
    <r>
      <rPr>
        <sz val="10"/>
        <color rgb="FF1F1F1F"/>
        <rFont val="Arial"/>
      </rPr>
      <t>BUCŞA M. ANDREEA-MARIA Eye-tracking în explorarea învățării (licenta Calculatoare)</t>
    </r>
  </si>
  <si>
    <t>FLORESCU F. ANDREI Incremental learning network model (licenta Calculatoare)</t>
  </si>
  <si>
    <t>Bogdan Predescu, Extensie pentru sisteme de simulare socio-fizico-cibernetice, licenta</t>
  </si>
  <si>
    <t>Oriana Presacan , Sistem pentru achiziția, colectarea și analiza datelor
privind calitatea apei în lacuri pentru piscicultură, licenta</t>
  </si>
  <si>
    <t>Cristina Iancu, Aplicație de chat cu stocare temporară, licenta</t>
  </si>
  <si>
    <t>Eduard Bigio, Compararea algoritmilor pentru sortarea vectorilor, licenta</t>
  </si>
  <si>
    <t>Eliza Mate, Aplicație pentru conversații anonime folosind tehnologia Node, licenta</t>
  </si>
  <si>
    <t>Marian Buliga, Sistem electronic de vot folosind tehnologia blockchain, licenta</t>
  </si>
  <si>
    <t xml:space="preserve">MATACHE ELENA-LOREDANA -Stand sistem de achizitie date pentru masura deplasarii liniare si unghiulare </t>
  </si>
  <si>
    <t>URSU SILVIU NICOLAE -Studiu filtre active si pasive</t>
  </si>
  <si>
    <t>NEAGOE VALENTIN: Programarea unei masini CNC si optimizarea proceselor de lucru</t>
  </si>
  <si>
    <t xml:space="preserve">Conțiu G. Elena, Simularea funcționării și analiza comportării turbocompresorului, disertatie
</t>
  </si>
  <si>
    <t>Bujaki Antal Sebastian, The study and development of a frisbee launcher, licenta Mec Engl</t>
  </si>
  <si>
    <t>Hăprian G. David, Studiul si realizarea unui ansamblu autonom ștergător auto, licenta Mec</t>
  </si>
  <si>
    <t>Batovici D. Alexandra-Andreea, Studiul și proiectarea unui braț robotic de tip Pick&amp;Place, licenta Mec</t>
  </si>
  <si>
    <t>Burz I. Sorin, Studiul și proiectarea unui robot de tip rover, licenta Mec</t>
  </si>
  <si>
    <t>Dandeş V. Marian, Automatizarea trecerii la nivel cu calea ferată, licenta Mec</t>
  </si>
  <si>
    <t>Ionescu T.C. Alin-Tiberiu , Studiul și proiectarea unui dispozitiv de lansat mingi, licenta Mec</t>
  </si>
  <si>
    <t>Murăşan N.V. Tudor-Nicolae, Studiul și proiectarea unei ambarcațiuni alimentată electric, cu propulsie jet, licenta Mec</t>
  </si>
  <si>
    <t>Nandrea O. Cătălin-Gabriel, Proiectarea și programarea unei platforme mobile automate, licenta Mec</t>
  </si>
  <si>
    <t>Rotar G. Maria-Daniela, Studiul, proiectarea și funcționarea unui robot cu funcție de ocolire a obstacolelor, licenta Mec</t>
  </si>
  <si>
    <t>Sora D. Nicolae, Studiul, proiectarea și testarea unei suspensii pneumatice, licenta Mec</t>
  </si>
  <si>
    <t>Cibu M.  Ionuţ-Mihai, Studiul și proiectarea unui dispozitiv de fixare a trei piese simultan, licenta SPD</t>
  </si>
  <si>
    <t>Cornea M. Mihai, Sistem de strângere al panourilor solare, licenta SPD</t>
  </si>
  <si>
    <t>Neamţu N. Cătălin-Nicolae, Studiul și proiectarea unui gripper, licenta SPD</t>
  </si>
  <si>
    <t>Pop G.F. Florin-Dumitru, Studiul și proiectarea unei mașini de îndoit table, licenta SPD</t>
  </si>
  <si>
    <t>Tănăsie Ion – Mădălin, Studiul asupra măsurării ghidajelor liniare pe mașina Wenzel LH65, Master SCCC</t>
  </si>
  <si>
    <t>Costin I. Iulia-Adina, Studiul și proiectarea unei ștanțe succesive de decupare-perforare, Master SCCC</t>
  </si>
  <si>
    <t>Porime E.V. Mădălina, Proiectarea unei plansete necesară confecționării cablajelor electrice în industria auto, Master SCCC</t>
  </si>
  <si>
    <t>Şerban I. Cristina, Studiul și modelarea unei matrițe de îndoire, Master SCCC</t>
  </si>
  <si>
    <t>Ene Maria - Cristina, Proiectarea funcțională și tehnologică pentru tricotarea într-un schimb a 200 de pulovere pentru bărbați, licenta TTC</t>
  </si>
  <si>
    <t>Grozav Darius - Cristian, Elaborarea documentației tehnice pentru realizarea lunară în 3 schimburi a 68200 bucăți de perne de aer, Driver, destinate autoturismului de marca BMW modelul 3SUP ECE, licenta TTC</t>
  </si>
  <si>
    <t>Rentea Elena - Claudia, Proiectarea unei secții utilate cu mașini rectilinii de tricotat, capabilă să producă într-un schimb 50 articole tricotate, licenta TTC</t>
  </si>
  <si>
    <t>Secelean Teodora - Georgiana, Realizarea documentației tehnice pentru produsul airbag lateral destinat modelului VOLSKWAGEN 469, în cantitate de 46000 bucăți/lună, licenta TTC</t>
  </si>
  <si>
    <t>Stoian Andreea, Elaborarea documentației de proiectare a unei secții de tricotat care să producă într-un schimb 80 de pulovere, licenta TTC</t>
  </si>
  <si>
    <t>Ciorgovean-Drăgan C.  Ezechiel,  Studiul, proiectarea și programarea unui sistem mecatronic aerian, Mecatronică, licență</t>
  </si>
  <si>
    <t>Cornățan I.  Bogdan, Studiul și proiectarea unei unități de lucru de tip port-sculă antrenată, Mecatronică, licență</t>
  </si>
  <si>
    <t>Costea I.F. Florin-Dorin, Proiectarea bacurilor pentru sertizarea capacului suspensiei pneumatice, Mecatronică, licență</t>
  </si>
  <si>
    <t>Florea A. Tiberiu- Andrei , Studiul și proiectarea unui robot controlat printr-un dispozitiv cu Bluetooth, Mecatronică, licență</t>
  </si>
  <si>
    <t>Mezdrea G. Gheorghe-Emanoil, Studiul și proiectarea unui manipulator pentru operații de tip Pick-and Place, Mecatronică, licență</t>
  </si>
  <si>
    <t>Natea P. Cristina, Studiul și proiectarea unui sistem de control acces facial, Mecatronică, licență</t>
  </si>
  <si>
    <t>Sima V. Viorel-Constantin, Studiul și proiectarea unei sere inteligente, Mecatronică, licență</t>
  </si>
  <si>
    <t>Tiţa D. Robert-Andrei, Studiul și proiectarea unui sistem de testare a eșantioanelor la cădere liberă, Mecatronică, licență</t>
  </si>
  <si>
    <t>Vestemean I. Sebastian, Studiul si proiectarea unui sistem de control al deplasarilor liniare, Mecatronică, licență</t>
  </si>
  <si>
    <t>Bîrsan D.S. Cristian Dumitru, The study and design of an automatic part sorting system, Mecatronică-Engleză, licență</t>
  </si>
  <si>
    <t>Bălan Petruț-Narcis, Roboți medicali – Studiul și proiectarea unui scaun robotizat pentru domeniul medical, Robotică, licență</t>
  </si>
  <si>
    <t>Gorunescu G. Elena Alina, Studii și cercetări privind utilizarea gemenilor digitali (Digital Twins) în procesele de prelucrare și montaj, SCCCDP, Disertație</t>
  </si>
  <si>
    <t>Vasiu R. Andrei, Studii și cercetări privind aplicarea tehnicilor CAD/CAE/CAM în fabricarea structurilor pe implanturi, SCCCDP, Disertație</t>
  </si>
  <si>
    <t>Godeanu P. Mihai, Studiul și proiectarea unui robot industrial de tip Scara, licenta SPD</t>
  </si>
  <si>
    <t>Ogrean I. Lucian-Grigorie, Studiul și proiectarea unui sistem automat de fixare și orientare a pieselor de pe mașina de frezat CNC,  licenta SPD</t>
  </si>
  <si>
    <t>Opriş I. Marius, Studiul și proiectarea unui conveior pentru alimentarea unei mașini de debitat, licenta SPD</t>
  </si>
  <si>
    <t>Smeu Madălina, Studiul și proiectarea unui sistem de schimbare a sculelor pe o mașină de frezat cu comandă numerică, licenta MUSP</t>
  </si>
  <si>
    <t>Neamtu Madalina-Maria, Proiectarea tehnologiei de fabricație și a SDV-urilor necesare execuției reperului "PISTON". Studiu privind oportunitatea dezvoltarii și implementarii unui sistem paperless pe linia de producție în cadrul "Harting Romania Manufacturing S.R.L.", Licenta IEDM</t>
  </si>
  <si>
    <t>Parau Rares-Aurelian, Proiectarea tehnologiei de fabricație și a SDV-urilor necesare execuției reperului "arbore cu flanșă". Dezvoltarea și marketarea unei cryptomonede. , Licenta IEDM</t>
  </si>
  <si>
    <t>Odaianu Andreea Catalina, Proiectarea tehnologiilor de fabricatie pentru realizarea a doua articole de marochinarie, in cantitate totala de 22000 bucati/ luna, Licenta TTC</t>
  </si>
  <si>
    <t xml:space="preserve">Radu Marina-Izabela, Proiectarea unei secții de producție încălțăminte care să realizeze 7200 produse finite, botină pentru femei cu vârf rotunjit și toc de tip bloc. Metode și tehnici de marketing online, Licenta IEI
</t>
  </si>
  <si>
    <t>Bucur Iulia, Elaborarea documentației tehnice pentru obținerea și finisarea a două produse tricotate - rochie femei - în cantitate de 2520 buc/lună, licență TTC</t>
  </si>
  <si>
    <t>Gabor Gabriela Emilia, Realizarea documentației tehnice în vederea confecționării a două modele de cămăși pentru bărbați, licență TTC</t>
  </si>
  <si>
    <t>Marton Csilla, Întocmirea  documentaţiei tehnice pentru realizarea lunară în două schimburi a 81900 bucăţi  de perne de aer frontale de volan, destinate modelului VPE al autoturismului Audi. Documentație comparativă a două linii tehnologice de producție, licență TTC</t>
  </si>
  <si>
    <t>Tanislav Alexandru Marian, Elaborarea documentației tehnice necesară realizării produsului pantaloni clasici pentru bărbați, licență TTC</t>
  </si>
  <si>
    <t>Văruicu Luiza Denisa, Elaborarea documentației tehnice necesară realizării lunare în două schimburi a 31500 bucăți airbag-uri laterale destinate autoturismului  marca  Citroën, model PSA K0, licență TTC</t>
  </si>
  <si>
    <t>Brăneanu Ștefania, Realizarea documentației tehnologice pentru 400 bucăți/zi pantaloni casual pentru bărbați, licență IEI</t>
  </si>
  <si>
    <t>Morozan Cristian, Elaborarea documentațieide proiectare tehnologică, pentru realizarea pe o linie tehnologică a unui model de vestă pentru bărbați, licență IEI</t>
  </si>
  <si>
    <t>Staicu Giorgiana Adela, Elaborarea documentației tehnologice pentru realizarea unei producții de 320 bucăți pe zi, a unui model de halat medical în cadrul unui atelier de confecții, licență IEI</t>
  </si>
  <si>
    <t>Toma Claudia Cristina, Elaborarea documentației de proiectare tehnologică, pentru realizarea pe o linie tehnologică a unui model de pantaloni pentru bărbați, licență IEI</t>
  </si>
  <si>
    <t>Stoica I. Adrian-Sebastian, Developing an omnidirectional mobile platform equipped with a 3 DOF manipulator, licenta MR Engl</t>
  </si>
  <si>
    <t>Nicu Denis, Studiul si proiectarea unui robot serial cu 5 grade de libertate si structura antropomorfa, licenta MUSP</t>
  </si>
  <si>
    <t>Cozma Alexandru Dumitru, Studiul și proiectarea unui manipulator pneumatic de tip pick and place, licența SPD</t>
  </si>
  <si>
    <t xml:space="preserve">Negruţiu E. Constantin-Octavean, Studiul și proiectarea unui echipament semiautomat pentru debitat, licență SPD
</t>
  </si>
  <si>
    <t>GHEORGHIU CRISTIAN-ȘTEFAN, Platformă robotică de explorare, cu locomoție hexapodă și comandă de la distanță</t>
  </si>
  <si>
    <t>Ghișoiu I. Adrian-Ilie, Studiul și proiectarea unui robot mobil autonom destinat aplicațiilor militare, licența Mec</t>
  </si>
  <si>
    <t>Lotrean I. Elena - Raluca, Studiul și proiectarea unei platforme mobile pentru ieșirea din labirint, licență Mec</t>
  </si>
  <si>
    <t>Marin N.C. Raluca-Valentina, Proiectarea și realizarea unei stații de sortare automată comandată de AP, licență Mec</t>
  </si>
  <si>
    <t>Muntean I. Alexandra-Elena, Studiul și proiectarea unui robot mobil pentru explorare cu patru roți motoare și direcție independentă, licență Mec</t>
  </si>
  <si>
    <t>Nistor M. Ioana-Gabriela, Studiul și proiectarea unui echipament de manipulare și transfer semifabricate, licență Mec</t>
  </si>
  <si>
    <t>Șoltuz P. Larisa-Paula, Studiul și proiectarea unei platforme mobile omnidirecționale acționată cu motoare electrice de curent continuu pas cu pas, licență Mec</t>
  </si>
  <si>
    <t>Vesa N. Mihai, Proiectarea și realizarea unui mini aparat de zbor fără pilot, comandat de la distanță, licență Mec</t>
  </si>
  <si>
    <t>Vraciu D.L. Ioan-Bogdan, Studiul și proiectarea unui robot serial cu patru grade de libertate și structură antropomorfă, licență Mec</t>
  </si>
  <si>
    <t>Istrate A. Andreea, Studiul și proicetarea unei platforme mobile cu locomotie cu ajutorul șenilelor, Master SMA</t>
  </si>
  <si>
    <t>Popa I. Adina-Elena, Studiul și proiectarea unui robot mobil cu patru roți motoare și direcție independentă, Master SMA</t>
  </si>
  <si>
    <t>Prof.dr.ing. Valentin PETRESCU, Ș.l.dr.ec.ing.Oana DUMITRAŞCU</t>
  </si>
  <si>
    <t>Toader Ana-Maria, Proiectarea tehnologiei de fabricatie si a SDV-urilor aferente executiei reperului “Capac de alimentare”. Înființarea unei firme de inchiriat echipamente si utilaje. Fezabilitatea investiției. Licenta</t>
  </si>
  <si>
    <t>Stoica Maria Andreea, Proiectarea tehnologiei de fabricatie si a SDV-urilor aferente executiei reperului “Opritor”. Evaluarea investiției privind producția de motoare electrice. Studiu de fezabilitate. Licenta</t>
  </si>
  <si>
    <t>Anghelescu I.  Raluca, Aplicarea tehnicilor CAD-CAE-CAM în printarea 3D a unui suport utilizat pentru măsurarea carcaselor tip A pe echipamentul de măsurare Contura Zeiss, master SCCCDP</t>
  </si>
  <si>
    <t>Cristian A.C. Bogdan, Dezvoltarea și automatizarea unei mașini de deformat inele și coliere de strângere pentru capetele de planetară, master SCCCDP</t>
  </si>
  <si>
    <t>Haşeganu I. Elena- Maria, Studii si cercetari privind cutia de viteze K324, master SCCCDP</t>
  </si>
  <si>
    <t>Popoviciu I.A. Nicolae, Studiul și proiectarea unei matrițe pentru hidroformarea țevilor de tip T, master SCCCDP</t>
  </si>
  <si>
    <t>Raţiu N. Flavius, Proiectarea 3D a chiulasei unui motor cu aprindere prin comprimare, master SCCCDP</t>
  </si>
  <si>
    <t xml:space="preserve">Anghelina I. Carmen-Ileana, Pașii de prelucrare și asamblare ai unui senzor ATEX, master SMA, </t>
  </si>
  <si>
    <t>Marin G. Claudiu-Marian, Studiul unei celule cu robot industrial pentru aplicare adeziv Mitsubishi si pompa Reinhardt, master SMA</t>
  </si>
  <si>
    <t>Muntean I.A.  Alexandru-Ioan, Studiul mașinii de deformat tuburi la cald si modul de funcționare al acesteia, master SMA</t>
  </si>
  <si>
    <t>Urian I. Gheorghe, Studiul și optimizarea cantrolului turației unui motor electric din cadrul sistemului ABS folosind BEMF, master SMA</t>
  </si>
  <si>
    <t>Tocănel M. Mihai-Ciprian, Debitarea tablelor și profilelor metalice Programe și utilaje utilizate, master SMA</t>
  </si>
  <si>
    <t>Bandi Karol-Daniel, Studiul și proiectarea unui robot de servicii destinat domeniului HoReCa, licenta Robotica</t>
  </si>
  <si>
    <t>Gigică D. Daniel-Cristian, Studiul, proiectarea și optimizarea unei stații de transfer și verificare a pieselor de tip flanșă, licenta SPD</t>
  </si>
  <si>
    <t>Oprica G. Andrei-Răzvan, Studiul și proiectarea unui stand de sortare a reperelor de tip țeavă, licenta SPD</t>
  </si>
  <si>
    <t>Frăcea I. Ioan, Studiul și proiectarea unui conveior pentru selectarea automată a diferitelor piese, licenta Mecatronica</t>
  </si>
  <si>
    <t>Ionică M. Raluca Gabriela , Studiul si dezvoltarea unui robot mobil, licenta Mecatronica</t>
  </si>
  <si>
    <t>Pătrașcu I.D. Ioan-Dan, Studiul, proiectarea și funcționarea unui plotter sferic, licenta Mecatronica</t>
  </si>
  <si>
    <t>Popa L.I. Darius, Studiul, proiectarea si realizarea unui stand de sortare a pieselor în funcție de culoarea lor, licenta Mecatronica</t>
  </si>
  <si>
    <t>Solomon I.M. Raul-Valentin, Studiul, proiectarea și optimizarea unui sistem de strângere cu acționare pneumatică, licenta Mecatronica</t>
  </si>
  <si>
    <t>Tapalia V. Maria-Andreea, Studiul si proiectarea unui stand de asamblare, licenta Mecatronica</t>
  </si>
  <si>
    <t>Olariu M.C. Cătălin- Mihai, Study and design of a mechatronic stand with a manipulator, licenta Mecatronica engleza</t>
  </si>
  <si>
    <t>Coldea Paul Cornel, Optimizarea unei linii de producție prin introducerea unui robot industrial</t>
  </si>
  <si>
    <t>Balteş O.O. Carmen-Iulia, Proiectarea și realizarea a două modele pantaloni pentru femei, în cantitate totala de 9.324 buc./lună, licență TTC</t>
  </si>
  <si>
    <t>Cojocaru C. Maria-Mihaela, Să se realizeze documentația tehnologică și de proiectare pentru un model de pardesiu pentru bărbați, 2940 de buc./lună, licență TTC</t>
  </si>
  <si>
    <t>Constantinescu I. Elena-Cristina, Să se elaboreze documentația pentru proiectarea unei secții de confecții, care produce două modele de veste pentru bărbați, în cantitatea totală de 13440 buc/ lună, licență TTC</t>
  </si>
  <si>
    <t>Pop N. Ioana-Diana, Să se elaboreze documentația tehnologică și de proiectare constructivă, pentru un atelier de confecții, care produce două modele de rochii pentru femei, în cantitatea totală de 4000 buc/ lună, licență TTC</t>
  </si>
  <si>
    <t>Ungureanu G. Maria, Realizarea lunară a 4 modele de bluze pentru femei destinate sezonului de vară, în cantitate totală de 10080 buc., licență TTC</t>
  </si>
  <si>
    <t>Arsene M. Alina-Elena, Să se realizeze proiectarea tehnologică pentru producția a 180 buc/zibluze pentru femei.Studiu privind înființarea unei firme de producție a bluzelor pentru femei, licență IEI</t>
  </si>
  <si>
    <t>Bitică C. Ioana-Maria,Analiza comparativă (geminicad/ autocad) a proiectării constructive automatizate a produsului pardesiului pentru femei. Studiu privind oportunitatea înființării unei afaceri în domeniul producție, din materiale reciclate, licență IEI</t>
  </si>
  <si>
    <t>Cocoș A. Larisa-Adelina, Studiu privind oportunitatea înfiinţării unei afaceri în domeniul marochinăriei, în judeţul sibiu, cu producerea, în special, a curelelor de piele în cantitate de 500buc/zi, licență IEI</t>
  </si>
  <si>
    <t>Denghel I.I. Teodora-Maria, Proiectarea constructivă în sistem automatizat (GeminiCAD/AutoCAD) a unei familii de modele de cămăși pentru femei cu diferite variante de repere față și spate. Învățământul liceal în perioada pandemiei Covid-19, licență IEI</t>
  </si>
  <si>
    <t>Galață C. Adelina, Proiectarea unui ansamblu vestimentar de lucru utilizat într-o firmă de producție. Studiu privind oportunitatea dezvoltării SC Star Transmission SRL Cugir si SC Star
Assembly Sebeș prin diversificarea domeniului de activitate, licență IEI</t>
  </si>
  <si>
    <t>Hodîrnău N. Lidia-Andreea, Proiectarea constructivă asistată de calculator a produsului pardesiu pentru bărbați. Analiza comparativă geminicad/ autocad. Studiu privind oportunitatea înființării unei afaceri în domeniul producție, licență IEI</t>
  </si>
  <si>
    <t>Rîtea I. Bianca-Ioana, Proiectarea constructivă în sistem automatizat (GeminiCAD/AutoCAD) a unei familii de modele de cămăși pentru femei cu diferite variante de mâneci. Învățământul universitar în perioada pandemiei Covid-19, licență IEI</t>
  </si>
  <si>
    <t>Nanu D. Armina-Maria, Elaborarea documentației tehnice necesară proiectării constructive asistată de calculator a cămășii pentru femei. Dezvoltarea unei afaceri în comerțul online, dedicată vânzării vestimentației populare din zona Marginimii Sibiului, licență IEI</t>
  </si>
  <si>
    <t>Trăistaru E. Oana-Gabriela, Proiectarea unei secții de confecții specializată în confecționarea rochiilor pentru femei. Îmbunătățirea metodelor de școlarizare în cadrul companiei IFM EFECTOR/PROVER Sibiu, licență IEI</t>
  </si>
  <si>
    <t>Țevelei G. Livia-Georgiana, Să se elaboreze documentația de proiectare tehnologică pentru producția zilnică a 200 buc/zi bluze pentru femei. Plan de afaceri privind oportunitatea înființării unui atelier de croitorie pentru produse cu imprimeu, licență IEI</t>
  </si>
  <si>
    <t>Proiectarea procesului tehnologic de fabricație și a S.D.V.-urilor necesare obținerii reperului "Placă Sprijin".
Studiu privind identificarea posibilităților de dezvoltare a firmei InstalSib GazProiect S.R.L., Sibiu., student PĂSAT Gheorghe, licență IEDM, iulie 2022, în cotutelă cu Lect. dr. ec. Remus BUTĂNESCU-VOLANIN</t>
  </si>
  <si>
    <t>Studiu comparativ prin metoda elementului finit asupra modurilor proprii de vibrație și a vibrațiilor libere aleatorii pentru o unitate de control transmisie. Elaborarea tehnologiei de fabricație și a SDV-urilor aferente pentru reperul ”Flanșă”, studentă OLARU Andreea Melania, licență TCM, iulie 2022.</t>
  </si>
  <si>
    <t>Studii și cercetări privind obținerea prin deformare plastică la rece a ghidonului motocicletelor, studentă BEU D.D. Bianca-Ana, master SCCCDP, iulie 2022</t>
  </si>
  <si>
    <t>Tehnici CAD CAE utilizate în proiectarea unei matrițe cu bacuri oscilante, studentă DRĂGOIU N. Doina-Adela, master SCCCDP, iulie 2022</t>
  </si>
  <si>
    <t>Utilizarea tehnicilor de proiectare asistată la realizarea unei matrițe de îndoire în formă de ”U”, GÎNDILĂ I.S. Ana-Maria, master SCCCDP, iulie 2022</t>
  </si>
  <si>
    <t>Proiectarea și verificarea asistată de calculator a unei matrițe de îndoire cu bac lateral pentru reperul ”Bridă prindere rezervor”, studentă NEAGA I. Mădălina, master SCCCDP, iulie 2022</t>
  </si>
  <si>
    <t>Hidroambutisarea elementului tub superior al cadrului de bicicleta, studentă NIȚĂ C. Alexandra , master SCCCDP, iulie 2022</t>
  </si>
  <si>
    <t>Proiectarea asistată a carcasei unui transformator de putere și analiza conservatorului de ulei, studentul PRODEA D.F.Dumitru, master SCCCDP, iulie 2022</t>
  </si>
  <si>
    <t>Studiu privind reducerea greutății autovehiculelor cu materiale compozite. Analiza structurală a comportării reperului braț de control inferior., studentă VASILCA D.A. Andra- Maria, master SCCCDP, iulie 2022</t>
  </si>
  <si>
    <t>Simularea prin metoda elementului finit a comportării la ambutisare a tablelor sudate, studentă VASILCA D.A. Delia-Rebeca, master SCCCDP, iulie 2022</t>
  </si>
  <si>
    <t>Proiectarea asistată de calculator a unei matrițe de injecție pentru realizarea unui element de iluminare LED, studentă ZGRIPCEA N. Georgiana, master SCCCDP, iulie 2022</t>
  </si>
  <si>
    <t>Simularea cu element finit a dispozitivului de testare axial al suspensiilor cu perne de aer, studentă CERNEA V. Andreea-Raluca, master SMA, iulie 2022</t>
  </si>
  <si>
    <t>Proiectarea unui amortizor semi-activ, student BELAȘCU Andrei, master STIF, iulie 2022</t>
  </si>
  <si>
    <t>Studii privind optimizarea ansamblului unui rulment de roată de generația a treia folosit pe automobilele electrice, student MOZEȘ Florin, master STIF, iulie 2022</t>
  </si>
  <si>
    <r>
      <rPr>
        <sz val="10"/>
        <color theme="1"/>
        <rFont val="Arial Narrow"/>
      </rPr>
      <t xml:space="preserve">Marcu-Iordanescu V. Marcel-Daniel - </t>
    </r>
    <r>
      <rPr>
        <i/>
        <sz val="10"/>
        <color theme="1"/>
        <rFont val="Arial Narrow"/>
      </rPr>
      <t>Proiectarea și realizarea unei suspensii active, adaptabila giroscopic</t>
    </r>
    <r>
      <rPr>
        <sz val="10"/>
        <color theme="1"/>
        <rFont val="Arial Narrow"/>
      </rPr>
      <t xml:space="preserve"> - Master (mSMA)</t>
    </r>
  </si>
  <si>
    <r>
      <rPr>
        <sz val="10"/>
        <color theme="1"/>
        <rFont val="Arial Narrow"/>
      </rPr>
      <t xml:space="preserve">Boiță F. Cătălina - </t>
    </r>
    <r>
      <rPr>
        <i/>
        <sz val="10"/>
        <color theme="1"/>
        <rFont val="Arial Narrow"/>
      </rPr>
      <t>Cercetări privind comportarea mecanică a unui element de etanșare utilizat în construcția cablajelor auto. Studiu de caz aplicat asupra componentelor din cadrul companiei Kromberg&amp;Schubert Sibiu</t>
    </r>
    <r>
      <rPr>
        <sz val="10"/>
        <color theme="1"/>
        <rFont val="Arial Narrow"/>
      </rPr>
      <t xml:space="preserve"> - Master (mSCCCDP)</t>
    </r>
  </si>
  <si>
    <r>
      <rPr>
        <sz val="10"/>
        <color theme="1"/>
        <rFont val="Arial Narrow"/>
      </rPr>
      <t xml:space="preserve">Mitroiu I. Vlad-Petru - </t>
    </r>
    <r>
      <rPr>
        <i/>
        <sz val="10"/>
        <color theme="1"/>
        <rFont val="Arial Narrow"/>
      </rPr>
      <t>Studiul și proiectarea unei macarale pivotante</t>
    </r>
    <r>
      <rPr>
        <sz val="10"/>
        <color theme="1"/>
        <rFont val="Arial Narrow"/>
      </rPr>
      <t xml:space="preserve"> - Licență (SPD)</t>
    </r>
  </si>
  <si>
    <t>DRUGA CONSTANTIN-CATALIN - Studiul si proiectarea unui prehensor cu actionare pneumatica - licenta SPD (martie 2022)</t>
  </si>
  <si>
    <t>MICLAUS VINCENTIU DUMITRU - Sisteme de actionare hidraulice si pneumatice - licenta SPD (martie 2022)</t>
  </si>
  <si>
    <t>PALERA MARIUS  - Studiul si proiectarea unui unui robot pentru colectarea mingilor de tenis - licenta MEC (martie 2022)</t>
  </si>
  <si>
    <t>BADIU LAURENTIU - Studiul privind optimizarea constructiv funcţională a unei staţii de testare a  modulelor electronice la Marquardt Schaltsysteme Sibiu” - licenta SPD iulie</t>
  </si>
  <si>
    <t>POPA I. BENIAMIN - Studiul si proiectarea unui echipament pentru dezizolarea cablajelor folosite in industria auto - licenta SPD iulie</t>
  </si>
  <si>
    <t>VELICEA CATALIN - Studiul unui post de lucru cu brat robotic pentru injectie  mase plastice la SC Marquard - licenta SPD iulie</t>
  </si>
  <si>
    <t>PATRU RAZVAN DANIEL - Studiul, proiectarea si realizarea unei imprimante 3D (FDM) - licenta MEC iulie</t>
  </si>
  <si>
    <t>GLIGOR EMANUEL- Studiul si proiectarea unei instalatii pt. monitorizarea si controlul parametrilor functionali ai masinilor si utilajelor - licenta MEC iulie</t>
  </si>
  <si>
    <t>PRIE OVIDIU - Studiul si proiectarea unui sistem de manipulare cu actionare pneumatica - licenta MEC iulie</t>
  </si>
  <si>
    <t>STANGU RAZVAN - Studiul regimului de tranziție la acționarea din cutia de viteze automata - licenta MEC iulie</t>
  </si>
  <si>
    <t>DUMITRU FLORIN - Studiul rectificarii (procedee si masini); Proiectarea tehnologiei de executie a reperului “Placă de  ghidare” - licenta TCM iulie</t>
  </si>
  <si>
    <t>MARTIN S.N. ȘERBAN-DAN Studiul unei celule flexibile de fabricatie a pieselor prismatice; proiectarea tehnologiei de fabricație a reperului tip reprezentativ (corp distribuitor) - licenta TCM iulie</t>
  </si>
  <si>
    <t>MIHAILA ALEXANDRU MARIUS - Studiul dispozitivelor de prindere a sculelor specifice la CNC-urile de strunjit; Proiectarea tehnologiei de fabricatie a reperului “dispozitiv prindere scule la CNC” licenta TCM iulie</t>
  </si>
  <si>
    <t>Bîltac P. Nicușor-Alexandru, Studiul și proiectarea sistemelor ABS pentru biciclete, mSMA</t>
  </si>
  <si>
    <t>Ciucur L. Alexandru-Liviu, Studiul și cercetarea privind frezarea asistată de vibrații ultrasonicem, SMA</t>
  </si>
  <si>
    <t>Pleșa  T. Timotei - Andrei, Studiul privind fabricația aditivă în industria automotive, mSMA</t>
  </si>
  <si>
    <r>
      <rPr>
        <sz val="10"/>
        <color theme="1"/>
        <rFont val="Arial Narrow"/>
      </rPr>
      <t xml:space="preserve">Lazăr P.V. Sergiu-Viorel, </t>
    </r>
    <r>
      <rPr>
        <sz val="10"/>
        <color rgb="FF000000"/>
        <rFont val="Times New Roman"/>
      </rPr>
      <t>Aspecte privind proiectarea constructiv-funcțională a unei matrițe pentru ambutisarea hidraulică cu acţionare directă a lichidului de lucru asupra semifabricatului</t>
    </r>
    <r>
      <rPr>
        <sz val="10"/>
        <color theme="1"/>
        <rFont val="Times New Roman"/>
      </rPr>
      <t>, mSCCDP</t>
    </r>
  </si>
  <si>
    <r>
      <rPr>
        <sz val="10"/>
        <color theme="1"/>
        <rFont val="Arial Narrow"/>
      </rPr>
      <t xml:space="preserve">Petrașcu G. Raul-Mihai, </t>
    </r>
    <r>
      <rPr>
        <sz val="10"/>
        <color rgb="FF000000"/>
        <rFont val="Times New Roman"/>
      </rPr>
      <t>Proiectarea constructivă a unei matrițe de injecție pentru componente din silicon</t>
    </r>
    <r>
      <rPr>
        <sz val="10"/>
        <color theme="1"/>
        <rFont val="Times New Roman"/>
      </rPr>
      <t>, mSCCDP</t>
    </r>
  </si>
  <si>
    <t>Ritivoiu I. Andrei, Proiectarea constructiv-funcțională a unui echipament de asamblare și marcare cu laser operată prin intermediul unui robot colaborativ , mSCCDP</t>
  </si>
  <si>
    <r>
      <rPr>
        <sz val="10"/>
        <color theme="1"/>
        <rFont val="Arial Narrow"/>
      </rPr>
      <t>Arabshahi A. Sam</t>
    </r>
    <r>
      <rPr>
        <sz val="10"/>
        <color theme="1"/>
        <rFont val="Times New Roman"/>
      </rPr>
      <t xml:space="preserve">, </t>
    </r>
    <r>
      <rPr>
        <sz val="10"/>
        <color rgb="FF000000"/>
        <rFont val="Times New Roman"/>
      </rPr>
      <t>Studiul și proiectarea unui sistem PTZ pentru monitorizarea traficului aerian, Mec</t>
    </r>
  </si>
  <si>
    <r>
      <rPr>
        <sz val="10"/>
        <color theme="1"/>
        <rFont val="Arial Narrow"/>
      </rPr>
      <t>Bratu M. Valentina-Ionela</t>
    </r>
    <r>
      <rPr>
        <sz val="10"/>
        <color theme="1"/>
        <rFont val="Times New Roman"/>
      </rPr>
      <t xml:space="preserve">, </t>
    </r>
    <r>
      <rPr>
        <sz val="10"/>
        <color rgb="FF3C4043"/>
        <rFont val="Times New Roman"/>
      </rPr>
      <t>Proiectarea constructivă și funcțională a unui Quadcopter utilitar pentru testarea condițiilor de mediu, Mec</t>
    </r>
  </si>
  <si>
    <r>
      <rPr>
        <sz val="10"/>
        <color theme="1"/>
        <rFont val="Arial Narrow"/>
      </rPr>
      <t xml:space="preserve">Neghină N.  Constantin </t>
    </r>
    <r>
      <rPr>
        <sz val="10"/>
        <color theme="1"/>
        <rFont val="Times New Roman"/>
      </rPr>
      <t>, Studiul și proiectarea unui dispozitiv pentru automatizarea procesului de scanare 3D bazat pe procesare de imagine</t>
    </r>
    <r>
      <rPr>
        <sz val="10"/>
        <color rgb="FF000000"/>
        <rFont val="Times New Roman"/>
      </rPr>
      <t>, Mec</t>
    </r>
  </si>
  <si>
    <r>
      <rPr>
        <sz val="10"/>
        <color theme="1"/>
        <rFont val="Arial Narrow"/>
      </rPr>
      <t xml:space="preserve">Tolciu C. Andrada-Mirela, </t>
    </r>
    <r>
      <rPr>
        <sz val="10"/>
        <color rgb="FF3C4043"/>
        <rFont val="Times New Roman"/>
      </rPr>
      <t>Studiul si proiectarea unui sistem de suspensie pneumatica la autoturisme</t>
    </r>
    <r>
      <rPr>
        <sz val="10"/>
        <color rgb="FF000000"/>
        <rFont val="Times New Roman"/>
      </rPr>
      <t>, Mec</t>
    </r>
  </si>
  <si>
    <t>Dumitrescu Aurelian Vlad Răzvan, Studiul si proiectarea constructiva a unui dispozitiv pentru determinarea revenirii elastice la îndoire, TCM</t>
  </si>
  <si>
    <t>Neagoe Constantin, Studiul si proiectarea constructiva a axelor numerice cu acționarea hidraulică, TCM</t>
  </si>
  <si>
    <t>Nitu Robert William, Studiul privind procesul de fabricație al aparatelor de aer condiționat industriale. Proiectarea tehnologiei de fabricație a reperului flanșă RWN-01, TCM</t>
  </si>
  <si>
    <t>Covrig Cătălina - licenta IEI - Elaborarea documentației de proiectare constructivă și tehnologică necesară pentru realizarea în trei schimburi a pernei de airbag pentru genunchi, pentru beneficiarul DAIMLER, modelul Smart Edison.</t>
  </si>
  <si>
    <t>Doca Daniela Teodora - licenta IEI - Proiectarea unei secții de tricotat, utilată cu mașini rectilinii de tricotat R50, care să realizeze 150 buc/8 ore, bluze pentru femei.</t>
  </si>
  <si>
    <t>Bucur Iulia - licenta TTC - Elaborarea documentației tehnice pentru obținerea și finisarea a două produse tricotate - rochie femei – în cantitate de 2520 buc/lună</t>
  </si>
  <si>
    <t>Onuț Anca Ioana - licența TTC - „Elaborarea documentației tehnologice și de proiectare în vederea realizării a două modele de rochii tricotate, în cantitate de 9680 buc. / lună”</t>
  </si>
  <si>
    <t>Lazaroae Darius, Contributii referentiale privind evaluarea performantei in confort printr-un model teoretic predictibil. Antreprenoriatul ca opțiune de carieră la terminarea studiilor universitare, licenta IEI</t>
  </si>
  <si>
    <t>Scutaru Marius, Materiale textile conductive cu proprietati ESD folosite ca îmbrăcăminte de protecție pentru industria electronică, licenta IEI</t>
  </si>
  <si>
    <t>ID12 - Calitatea de membru în diverse consilii și comisii care funcționează la nivelul ULBS/ local/ național</t>
  </si>
  <si>
    <t xml:space="preserve">Calitatea de membru în mai multe consilii și comisii se punctează separat.
</t>
  </si>
  <si>
    <r>
      <rPr>
        <b/>
        <sz val="10"/>
        <color rgb="FF000000"/>
        <rFont val="Arial Narrow"/>
      </rPr>
      <t>*Punctaje de referință:</t>
    </r>
    <r>
      <rPr>
        <sz val="10"/>
        <color rgb="FF000000"/>
        <rFont val="Arial Narrow"/>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b/>
        <sz val="10"/>
        <color rgb="FF000000"/>
        <rFont val="Arial Narrow"/>
      </rPr>
      <t xml:space="preserve">
</t>
    </r>
    <r>
      <rPr>
        <sz val="10"/>
        <color rgb="FF000000"/>
        <rFont val="Arial Narrow"/>
      </rPr>
      <t xml:space="preserve">
</t>
    </r>
  </si>
  <si>
    <t>Consiliul sau comisa (denumirea)</t>
  </si>
  <si>
    <t>Consiliul Facultatii de Inginerie</t>
  </si>
  <si>
    <t>Consiliul facultății de inginerie</t>
  </si>
  <si>
    <t>Senatul ULBS</t>
  </si>
  <si>
    <t>Comisia pentru colaborari interne</t>
  </si>
  <si>
    <t>Membru in consiliul facultatii</t>
  </si>
  <si>
    <t>membru comisie concurs Director - Colegiul Bruckenthal</t>
  </si>
  <si>
    <t>membru comisie concurs Director adjunct  - Colegiul Bruckenthal</t>
  </si>
  <si>
    <t xml:space="preserve">membru comisie concurs Director - Colegiul Național Pedagogic „Andrei
Şaguna” Sibiu, jud. Sibiu </t>
  </si>
  <si>
    <t xml:space="preserve">membru comisie concurs Director adjunct  - Colegiul Național Pedagogic „Andrei
Şaguna” Sibiu, jud. Sibiu </t>
  </si>
  <si>
    <t xml:space="preserve">Membru comisiei de concurs pentru ocuparea postului de conferentiar universitar, poz. 11, pe perioada nedeterminat, la Departamentul Ingineria Materialelor si Fabricatie, Universitatea Politehnica Timisoara </t>
  </si>
  <si>
    <t>Membru comisiei de concurs pentru ocuparea postului de conferentiar universitar, poz. 26, Facultatea de Inginerie Industrială, Robotică și Managementul Producției Departamentul Ingineria Fabricației</t>
  </si>
  <si>
    <t>Membru comisiei de concurs pentru ocuparea postului de conferentiar universitar, poz. 27, Facultatea de Inginerie Industrială, Robotică și Managementul Producției Departamentul Ingineria Fabricației</t>
  </si>
  <si>
    <t>Comisie abilitare Petru Paul BERE - Universitatea Tehnică din Cluj-Napoca.</t>
  </si>
  <si>
    <t>Comisie selectie Erasmus studenti</t>
  </si>
  <si>
    <t>concurs post Șef de lucrări poz. 59, dep. IIM,Facultatea de Inginerie, membru în Comisia de analiză a îndeplinirii standardelor ULBS, semestrul I 2021-2022</t>
  </si>
  <si>
    <r>
      <rPr>
        <sz val="10"/>
        <color theme="1"/>
        <rFont val="Arial Narrow"/>
      </rPr>
      <t xml:space="preserve">concurs post Asistent poz. 97 dep. IIM,Facultatea de Inginerie, </t>
    </r>
    <r>
      <rPr>
        <b/>
        <sz val="10"/>
        <color theme="1"/>
        <rFont val="Arial Narrow"/>
      </rPr>
      <t>membru</t>
    </r>
    <r>
      <rPr>
        <sz val="10"/>
        <color theme="1"/>
        <rFont val="Arial Narrow"/>
      </rPr>
      <t xml:space="preserve"> în Comisia de analiză a îndeplinirii standardelor ULBS, semestrul II 2021-2022</t>
    </r>
  </si>
  <si>
    <t>Comisia pentru cercetare științifică a Consiliului Facultății de Inginerie</t>
  </si>
  <si>
    <t>Comisie contestație asistent poz 97</t>
  </si>
  <si>
    <t>Comisie contestație Șef lucrări poz 59</t>
  </si>
  <si>
    <t>Consiliul Departamentului</t>
  </si>
  <si>
    <t>Consiliul Facultății</t>
  </si>
  <si>
    <t>presedinte comisie concurs, post 59 sef lucr</t>
  </si>
  <si>
    <t>Comisia de analiza a indeplinirii standardelor ULBS</t>
  </si>
  <si>
    <t>Comisia de admitere</t>
  </si>
  <si>
    <t>Comisia de concurs pentru ocuparea postului 59 din statul de funcții al departamentului IIM - membru</t>
  </si>
  <si>
    <t>Comisia de concurs pentru ocuparea postului 97 din statul de funcții al departamentului IIM - membru</t>
  </si>
  <si>
    <t>Comisia de Admitere</t>
  </si>
  <si>
    <t>Comisia Colaborari Interne</t>
  </si>
  <si>
    <t>Comisia Colaborari Externe</t>
  </si>
  <si>
    <t>Comisia Informatizare etc</t>
  </si>
  <si>
    <t>Comisia Baza Materiala</t>
  </si>
  <si>
    <t>Consiliul Facultatii</t>
  </si>
  <si>
    <t>membru în Consiliul Facultății</t>
  </si>
  <si>
    <t>membru în comisia SCEAC - Facultatea de Inginerie</t>
  </si>
  <si>
    <t>Membru în Comisia de Etica</t>
  </si>
  <si>
    <t>Membru în Consiliul Departamentului</t>
  </si>
  <si>
    <t>Membru în Consiliul Facultăţii</t>
  </si>
  <si>
    <t>Membru Comisie Concurs Post</t>
  </si>
  <si>
    <t>Membru comisie concurs post Fac. Inginerie poz. 97 Dep. IIM HS 2083/30.05.2022</t>
  </si>
  <si>
    <t>Membru comisie concurs post AFT poz. 7 (04.02.2022), poz. 2 (11.02.2022) HS AFT 627/27.01.2022</t>
  </si>
  <si>
    <t>20*2</t>
  </si>
  <si>
    <t>Membru Comisie Admitere - proba orală de verificarea cunoştinţelor master Domeniul Inginerie şi Management</t>
  </si>
  <si>
    <t>Membru Comisii ale CF
1. Comisia pentru învăţământ şi evaluarea calităţii
5. Comisia pentru colaborari externe</t>
  </si>
  <si>
    <t>20x2</t>
  </si>
  <si>
    <t>Comisia de Etică în Cercetarea Științifică (CECS) a Universității „Lucian Blaga” din Sibiu - membru</t>
  </si>
  <si>
    <t>Comisia de concurs pt. post șef lucrări - poz. 59 din statul de funcțiuni al Departamentului IIM (sem. I) - membru</t>
  </si>
  <si>
    <t>Comisia de admitere, verificarea dosarelor de admitere pe platforma</t>
  </si>
  <si>
    <t>Membru în Consiliul facultății</t>
  </si>
  <si>
    <t>Membru în Comisia privind selecția profesorilor și a personalului administrativ pentru granturile de mobilități Erasmus + predare / formare pentru anul universitar 2022 / 2023 Facultatea de Inginerie</t>
  </si>
  <si>
    <t xml:space="preserve">Concurs post pozitia 59 din statul de funcțiuni al departamentului IIM </t>
  </si>
  <si>
    <t xml:space="preserve">Comisia pt invatamant și evaluarea Calității </t>
  </si>
  <si>
    <t>Comisia pentru colaborări interne</t>
  </si>
  <si>
    <t>Comisia pentru colaborări externe</t>
  </si>
  <si>
    <t>Comisia pentru informatizare, imagine si publicitate</t>
  </si>
  <si>
    <t>Comisia de marketing a ULBS</t>
  </si>
  <si>
    <t>Consiliul Studențesc al ULBS</t>
  </si>
  <si>
    <t>Comisia socială și activități studențești</t>
  </si>
  <si>
    <t xml:space="preserve">Concurs post pozitia 97 din statul de funcțiuni al departamentului IIM </t>
  </si>
  <si>
    <t>Senat ULBS</t>
  </si>
  <si>
    <t>Rotaru mihaela</t>
  </si>
  <si>
    <t>fing3</t>
  </si>
  <si>
    <t>Comisia de analiză a îndeplinirii standardelor ULBS pentru ocuparea postului didactic de șef lucrări, poz 59, sem I</t>
  </si>
  <si>
    <t>Comisia de analiză a îndeplinirii standardelor ULBS pentru ocuparea postului didactic de asistent universitar, poz 97, sem II</t>
  </si>
  <si>
    <t>Subcomisia/colectivul pentru evaluarea și asigurarea calității a Facultății de Inginerie</t>
  </si>
  <si>
    <t>Consilliul Departamentului de Inginerie Industrială și Management</t>
  </si>
  <si>
    <t>Consiliul Facultății de Inginerie</t>
  </si>
  <si>
    <t>Comisie concurs post didactic nr. 82. Stat de functiuni IIM</t>
  </si>
  <si>
    <t>Comisia de examinare/contestatie aferente examenelor de sesiune/restanta</t>
  </si>
  <si>
    <t>Comisla de monltorizare, coordonare
 si indrumare metodologica a dezvoltarii SClM - 9 membri</t>
  </si>
  <si>
    <t>Concurs Asistent universitar, pozitia 75 per. determinata, sem I 2021-2022</t>
  </si>
  <si>
    <t>Concurs Asistent universitar, pozitia 72 per. nedeterminata, sem II 2021-2022</t>
  </si>
  <si>
    <t>membru în Consiliul Departamentului</t>
  </si>
  <si>
    <t>Comisie concurs s1 det. -  Asistent poz 70</t>
  </si>
  <si>
    <t>Comisie concurs s2 nedet. - Șef lucrări. poz 53</t>
  </si>
  <si>
    <t>membru în comisia pentru baza materială și sănătatea și securitatea în muncă</t>
  </si>
  <si>
    <t>Comisia pentru informatizare, imagine si publicitate 2020 - 2024</t>
  </si>
  <si>
    <t>Comisia de concurs pentru ocuparea posturile didactice pe perioada determinata semestrul 1, asistent universitar, pozitia 70</t>
  </si>
  <si>
    <t>Comisia de concurs pentru ocuparea posturile didactice pe perioada determinata semestrul 1, asistent universitar, pozitia 73</t>
  </si>
  <si>
    <t>Comisia de concurs pentru ocuparea posturile didactice pe perioada determinata semestrul 1, asistent universitar, pozitia 75</t>
  </si>
  <si>
    <t>Comisia de concurs pentru ocuparea posturile didactice pe perioada nedeterminata semestrul 2, asistent universitar, pozitia 72</t>
  </si>
  <si>
    <t>Concurs Asistent universitar, pozitia 73 per. determinata, sem I 2021-2022</t>
  </si>
  <si>
    <t>Concurs Asistent universitar, pozitia 71 per. nedeterminata, sem II 2021-2022</t>
  </si>
  <si>
    <t>Comisia CF pentru invatamant si asigurarea calitatii</t>
  </si>
  <si>
    <t>Comisia CF pentru baza materiala si SSM</t>
  </si>
  <si>
    <t>membru comisia Asistent universitar, pozitia 71,</t>
  </si>
  <si>
    <t>CONCURSUL PENTRU OCUPAREA FUNCȚIILOR DE DIRECTOR ȘI DIRECTOR ADJUNCT DIN UNITĂȚILE DE ÎNVĂȚĂMÂNT PREUNIVERSITAR DE STAT, concurs director Selimber SESIUNEA 2021</t>
  </si>
  <si>
    <t>COMISIA FACULTATII DE INGINERIE, Admitere 2022</t>
  </si>
  <si>
    <t>Comisia admitere-call center 2022</t>
  </si>
  <si>
    <t>Comisia admitere</t>
  </si>
  <si>
    <t>Comisie de admitere</t>
  </si>
  <si>
    <t>FING1</t>
  </si>
  <si>
    <t>Concurs Asistent universitar, pozitia 74 per. determinata, sem I 2021-2022</t>
  </si>
  <si>
    <t>Concurs Asistent universitar, pozitia 70 per. nedeterminata, sem II 2021-2022</t>
  </si>
  <si>
    <t>Comisia CF pentru intocmire orar</t>
  </si>
  <si>
    <t>Comisia CF pentru colaborări externe</t>
  </si>
  <si>
    <t>Comisia pentru cercetarea științifică</t>
  </si>
  <si>
    <t>Comisie concurs Asistent universitar pozitia 70, dep. Calculatoare și Inginerie Electrică</t>
  </si>
  <si>
    <t>Comisie concurs post didactic pe perioada determinata, semestrul 1, an univ. 2021-2022 Asistent universitar pozitia 73, dep. Calculatoare și Inginerie Electrică</t>
  </si>
  <si>
    <t>Comisie concurs post didactic pe perioada determinata, semestrul 1, an univ. 2021-2022 Asistent universitar pozitia 74, dep. Calculatoare și Inginerie Electrică</t>
  </si>
  <si>
    <t>Comisie concurs post didactic pe perioada determinata, semestrul 1, an univ. 2021-2022 Asistent universitar pozitia 75, dep. Calculatoare și Inginerie Electrică</t>
  </si>
  <si>
    <t>Consiliul Facultații de Inginerie, mandat 2020-2024</t>
  </si>
  <si>
    <t>Membru în Consiliul Facultății</t>
  </si>
  <si>
    <t>Concurs post, s1, poz. 70, verificare dosar</t>
  </si>
  <si>
    <t>Concurs post, s1, poz. 73, verificare dosar</t>
  </si>
  <si>
    <t>Concurs post, s1, poz. 74, verificare dosar</t>
  </si>
  <si>
    <t>Concurs post, s1, poz. 75, verificare dosar</t>
  </si>
  <si>
    <t>Concurs post, s2, poz. 72, verificare dosar</t>
  </si>
  <si>
    <t>Concurs post, s2, poz. 53, verificare dosar</t>
  </si>
  <si>
    <t>Concurs post, s2, poz. 71, verificare dosar</t>
  </si>
  <si>
    <t>Concurs post, s2, poz. 72, comisie concurs</t>
  </si>
  <si>
    <t>CF-2, comisia pentru cercetare științifică</t>
  </si>
  <si>
    <t>CF-7.2, comisia pentru sănătatea și securitatea în muncă</t>
  </si>
  <si>
    <t>Asistent universitar, pozitia 70, disciplinele: Microcontrolere Ei automate programabile; Relele de calculatoare; Retele locale; Electronica digitala - 5 sernestre</t>
  </si>
  <si>
    <t>membru în Consiliul Facultății;</t>
  </si>
  <si>
    <t xml:space="preserve"> membru în Senatul ULBS</t>
  </si>
  <si>
    <t>comisie concurs conferențiar universitar poz 15 (Sorin Ilie)  Universitatea din Craiova conform deciziei nr. 328B/02.06.2022</t>
  </si>
  <si>
    <t>Comisai de admitere- validare dosare, generare clasamente, pregatire Sali consurs, corectura</t>
  </si>
  <si>
    <t>Membru Comisia de analizi a indeplinirii standardelor ULBS, pentru toate posturile de concurs</t>
  </si>
  <si>
    <t>Membru comisie senat Patrimoniu si Dezvoltare Organizationala</t>
  </si>
  <si>
    <t>Comisie CF - comisi de intocmire a orarului</t>
  </si>
  <si>
    <t>Comisie CF - comisia pentru cercetare ;tiinífic[</t>
  </si>
  <si>
    <t>Membru Comisia pentru evaluare cercetarea stiintifica la nivel de facultate</t>
  </si>
  <si>
    <t>Membru Comisia de analiză a indeplinirii standardelor ULBS, pentru posturile de concurs</t>
  </si>
  <si>
    <t>Comisie call-center de admitere</t>
  </si>
  <si>
    <t>Concurs Conf universitar, pozitia 22 per. determinata, sem I 2021-2022</t>
  </si>
  <si>
    <t>Comisia colaborari interne</t>
  </si>
  <si>
    <t>Comisiae etica Dana Preda</t>
  </si>
  <si>
    <t>Evaluarea si Asigurarea Calitatii</t>
  </si>
  <si>
    <t xml:space="preserve">Comisia privind programele de studii și asigurarea calitatii (Comisie Senat - HS 3705/25.09.2020 ) </t>
  </si>
  <si>
    <t>Consiliul Editorial ULBS (HCA - 1 / 12.01.2022)</t>
  </si>
  <si>
    <t xml:space="preserve">Comisia CF pentru învățământ și evaluarea calității (CF - 13.07.2020) </t>
  </si>
  <si>
    <t xml:space="preserve">Comisia pentru baza materială și sănătatea și securitatea în muncă (CF - 13.07.2020) </t>
  </si>
  <si>
    <t>Comisia Evaluarea si Asigurarea Calitatii (SCEAC) HCA 27 din 15 iulie 2020</t>
  </si>
  <si>
    <t>Comisie concurs s1 det. -  Asistent poz 73</t>
  </si>
  <si>
    <t>Comisie concurs s1 det. -  Asistent poz 74</t>
  </si>
  <si>
    <t>Comisie concurs s1 det. -  Asistent poz 75</t>
  </si>
  <si>
    <t>Comisie concurs s2 nedet. - Conferențiar. poz 22</t>
  </si>
  <si>
    <t>Comisie concurs s2 nedet. - Asistent poz 71</t>
  </si>
  <si>
    <t>Comisie concurs s2 nedet. - Asistent poz 72</t>
  </si>
  <si>
    <t xml:space="preserve">Viorel Alina </t>
  </si>
  <si>
    <t>Comisia de intocmire a orarului</t>
  </si>
  <si>
    <t>Comisia sociala si activitati studentesti</t>
  </si>
  <si>
    <t>Comisia pentru sanatatea si securitatea in munca</t>
  </si>
  <si>
    <t>Comisia Call Center Admitere</t>
  </si>
  <si>
    <t>Membru Comisia de analizi a indeplinirii standardelor ULBS, pentru posturile de concurs{Asistent universitar, pozitia 72} sem II</t>
  </si>
  <si>
    <t>Senat</t>
  </si>
  <si>
    <t>presedinte comisie Concurs Asistent universitar, pozitia 70 per. determinata, sem I 2021-2022</t>
  </si>
  <si>
    <t>presedinte comisie Concurs Asistent universitar, pozitia 73 per. determinata, sem I 2021-2022</t>
  </si>
  <si>
    <t>presedinte comisie Concurs Asistent universitar, pozitia 74 per. determinata, sem I 2021-2022</t>
  </si>
  <si>
    <t>presedinte comisie Concurs Asistent universitar, pozitia 75 per. determinata, sem I 2021-2022</t>
  </si>
  <si>
    <t>presedinte comisie Concurs Conferentiar universitar, pozitia 22 per. nedeterminata, sem II 2021-2022</t>
  </si>
  <si>
    <t>presedinte comisie Concurs Sef lucrari, pozitia 53 per. nedeterminata, sem II 2021-2022</t>
  </si>
  <si>
    <t>presedinte comisie Concurs Asistent universitar, pozitia 71 per. nedeterminata, sem II 2021-2022</t>
  </si>
  <si>
    <t>presedinte comisie Concurs Asistent universitar, pozitia 72 per. nedeterminata, sem II 2021-2022</t>
  </si>
  <si>
    <t>Comisia senatului pentru patrimoniu si dezvoltare organizationala</t>
  </si>
  <si>
    <t>Membru comisie admitere 2022</t>
  </si>
  <si>
    <t>Membru - Comisia de analiza a indeplinirii standardelor ULBS, concurs Asistent universitar, pozitia 69</t>
  </si>
  <si>
    <t>Membru - Comisia de analiza a indeplinirii standardelor ULBS, concurs Asistent universitar, pozitia 65</t>
  </si>
  <si>
    <t>Presedinte - Comisia de analiza a indeplinirii standardelor ULBS, concurs Asistent universitar, pozitia 69</t>
  </si>
  <si>
    <t>Membru - Comisia de analiza a indeplinirii standardelor ULBS, concurs Asistent universitar, pozitia 64</t>
  </si>
  <si>
    <t>Membru Comisia pentru colaborari interne</t>
  </si>
  <si>
    <t>Membru Consiliul Departamentului</t>
  </si>
  <si>
    <t>Comisia de admitere Facultatea de Inginerie</t>
  </si>
  <si>
    <t>Membru in comisia de admitere - sesiunea iulie / septembrie 2022</t>
  </si>
  <si>
    <t xml:space="preserve">Comisia de admitrere </t>
  </si>
  <si>
    <t>Comisia CF de Învățământ și evaluarea calității</t>
  </si>
  <si>
    <t>Comisie concurs s1 det. -  Asistent poz 67</t>
  </si>
  <si>
    <t>Comisie concurs s1 det. -  Asistent poz 68</t>
  </si>
  <si>
    <t>Comisie concurs s1 det. -  Asistent poz 69</t>
  </si>
  <si>
    <t>Comisie concurs s1 nedet. -  Asistent poz 65</t>
  </si>
  <si>
    <t>Comisie concurs s2 det. -  Asistent poz 63</t>
  </si>
  <si>
    <t>Comisie concurs s2 det. -  Asistent poz 64</t>
  </si>
  <si>
    <t>Comisie concurs s2 nedet. -  Asistent poz 65</t>
  </si>
  <si>
    <t xml:space="preserve">Comisie selectie Erasmus </t>
  </si>
  <si>
    <t xml:space="preserve">Comisie alegeri </t>
  </si>
  <si>
    <t>Comise verificare SIEPAS dep MEI</t>
  </si>
  <si>
    <t>Consiliul Departamentului MEI</t>
  </si>
  <si>
    <t>Director al CSD</t>
  </si>
  <si>
    <t>Consiliului de Internaționalizare al ULBS</t>
  </si>
  <si>
    <t>Comisie selecție mobilități ESAYEP-SEE</t>
  </si>
  <si>
    <t>Comisia de permanență - call center</t>
  </si>
  <si>
    <t>Secretar al Comisiei de admitere, Facultatea de Inginerie</t>
  </si>
  <si>
    <t>Comisia pentru  colaborări externe a Consiliului Facultății de Inginerie</t>
  </si>
  <si>
    <t>Comisia de verificare SIEPAS</t>
  </si>
  <si>
    <t>Asistent universitar, poziția 67,Comisia de analiză a îndeplinirii standardelor ULBS, președinte</t>
  </si>
  <si>
    <t>Asistent universitar, poziția 68,Comisia de analiză a îndeplinirii standardelor ULBS, președinte</t>
  </si>
  <si>
    <t>Asistent universitar, poziția 69,Comisia de concurs, membru</t>
  </si>
  <si>
    <t>Asistent universitar, poziția 65,Comisia de concurs, membru</t>
  </si>
  <si>
    <t>Asistent universitar, poziția 63,Comisia de concurs, membru</t>
  </si>
  <si>
    <t>Asistent universitar, poziția 64,Comisia de concurs, membru</t>
  </si>
  <si>
    <t>Asistent universitar, poziția 65,Comisia de concurs, membru, sem II</t>
  </si>
  <si>
    <t>Membru in comisia de admitere</t>
  </si>
  <si>
    <t>Comisie de admitere Facultatea de inginerie</t>
  </si>
  <si>
    <t>Asistent universitar, poziția 67,Comisia de contestații, membru</t>
  </si>
  <si>
    <t>Asistent universitar, poziția 68,Comisia de contestații, membru</t>
  </si>
  <si>
    <t>Asistent universitar, poziția 69,Comisia de contestații, membru</t>
  </si>
  <si>
    <t>Asistent universitar, poziția 65,Comisia de contestații, membru</t>
  </si>
  <si>
    <t>Asistent universitar, poziția 64,Comisia de contestații, membru</t>
  </si>
  <si>
    <t>Comisia de admitere a facultatii</t>
  </si>
  <si>
    <t>Comisia Consiliului Facultății de Inginerie  pentru baza materială și sănătatea și securitatea în muncă</t>
  </si>
  <si>
    <t>Asistent universitar, poziția 63,Comisia de contestații, sem II, președinte</t>
  </si>
  <si>
    <t>Asistent universitar, poziția 64,Comisia de contestații, sem II, președinte</t>
  </si>
  <si>
    <t>Comisia de admirere Call Center</t>
  </si>
  <si>
    <t>Comisia Consiliului Facultății de Inginerie pentru Invatamant si asigurarea calitatii</t>
  </si>
  <si>
    <t>Comisia Consiliului Facultății de Inginerie pentru cercetarea stiintifica</t>
  </si>
  <si>
    <t>Comisia Consiliului Facultății de Inginerie pentru baza materiala si sanatatea si securitatea in munca</t>
  </si>
  <si>
    <t>Asistent universitar, poziția 65,Comisia de concurs, sem I, presedinte</t>
  </si>
  <si>
    <t>Asistent universitar, poziția 67,Comisia de concurs, sem I, presedinte</t>
  </si>
  <si>
    <t>Asistent universitar, poziția 68,Comisia de concurs, sem I, presedinte</t>
  </si>
  <si>
    <t>Asistent universitar, poziția 69,Comisia de concurs, sem I, presedinte</t>
  </si>
  <si>
    <t>Asistent universitar, poziția 63,Comisia de concurs, sem II, presedinte</t>
  </si>
  <si>
    <t>Asistent universitar, poziția 64,Comisia de concurs, sem II, presedinte</t>
  </si>
  <si>
    <t>Asistent universitar, poziția 65,Comisia de concurs, sem II, presedinte</t>
  </si>
  <si>
    <t>Subcomisia validare dosare, Facultatea de Inginerie, Admitere 2022</t>
  </si>
  <si>
    <t>Comisia pentru învățământ și evaluarea calității a Consiliului Facultății (colectivul de întocmire a orarului)</t>
  </si>
  <si>
    <t>Comisia socială și activități studențești a Consiliului Facultății</t>
  </si>
  <si>
    <t>Asistent universitar, poziția 67, sem.1, Comisia de contestații,</t>
  </si>
  <si>
    <t>Asistent universitar, poziția 68, sem.1, Comisia de contestații,</t>
  </si>
  <si>
    <t xml:space="preserve">Asistent universitar, poziția 69, sem.1, Comisia de contestații, </t>
  </si>
  <si>
    <t xml:space="preserve">Asistent universitar, poziția 63, sem.2, Comisia de contestații, </t>
  </si>
  <si>
    <t xml:space="preserve">Asistent universitar, poziția 64, sem.2, Comisia de contestații, </t>
  </si>
  <si>
    <t xml:space="preserve">Asistent universitar, poziția 65, sem.2, Comisia de contestații, </t>
  </si>
  <si>
    <t>Comisia de admitere FING</t>
  </si>
  <si>
    <t>Colectivul pentru evaluarea și asigurarea calității</t>
  </si>
  <si>
    <t>Comisia de admitere Facultatea de Inginerie/Subcomisia validare dosare</t>
  </si>
  <si>
    <t>membru în Consiliul Facultății de Inginerie</t>
  </si>
  <si>
    <t>membru în Senatul ULBS</t>
  </si>
  <si>
    <t>membru în comisia de Cercetare, Studii Doctorale și Internaționalizare a Senatului</t>
  </si>
  <si>
    <t>membru în comisia pentru Cercetare Științifică a Consiliului Facultății de Inginerie</t>
  </si>
  <si>
    <t>membru în comisia pentru Baza materială și sănătatea și securitatea în muncă a Consiliului Facultății de Inginerie</t>
  </si>
  <si>
    <t>membru În Consiliul Științific al ULBS</t>
  </si>
  <si>
    <t>membru în comisia de selecție a mobilităților Erasmus - cadre didactice și studenți</t>
  </si>
  <si>
    <t>membru în comisia de concurs pentru postul de Asistent universitar, Departamentul MEI, poziția 65</t>
  </si>
  <si>
    <t>membru în comisia de concurs pentru postul de Asistent universitar - perioadă determinată, Departamentul MEI, poziția 63</t>
  </si>
  <si>
    <t>membru în comisia de concurs pentru postul de Asistent universitar - perioadă determinată, Departamentul MEI, poziția 64, sem II</t>
  </si>
  <si>
    <t>Președinte în comisia de contestații pentru postul de Asistent universitar - perioadă determinată, Departamentul MEI, poziția 67</t>
  </si>
  <si>
    <t>Președinte în comisia de contestații pentru postul de Asistent universitar - perioadă determinată, Departamentul MEI, poziția 68</t>
  </si>
  <si>
    <t>Președinte în comisia de analiză a standardelor ULBS pentru postul de Asistent universitar - perioadă determinată, Departamentul MEI, poziția 69</t>
  </si>
  <si>
    <t>Consiliul de Administrație</t>
  </si>
  <si>
    <t>Comisia Centrală de Admitere</t>
  </si>
  <si>
    <t>Comisii de concurs pentru ocuparea posturilor didactice (sem I - poz. 65, 67, 68, 69; sem II - poz. 63, 64, 65)</t>
  </si>
  <si>
    <t>Comisia patrimoniu si dezvoltare organizationala</t>
  </si>
  <si>
    <t>Comisia de Marketing ULBS</t>
  </si>
  <si>
    <t xml:space="preserve"> Consiliul de Administratie si Dezvoltarea Organizationala</t>
  </si>
  <si>
    <t>comisia de concurs (analiza a indeplinirii standardelor ULBS) pentru ocuparea postului didac de asist. poz. 65 presedinte</t>
  </si>
  <si>
    <t>comisia de concurs (analiza a indeplinirii standardelor ULBS) pentru ocuparea postului didac de asist. poz. 67 - membru</t>
  </si>
  <si>
    <t>comisia de concurs (analiza a indeplinirii standardelor ULBS) pentru ocuparea postului didac de asist. poz. 68 - membru</t>
  </si>
  <si>
    <t>comisia de concurs pentru ocuparea postului didac de asist. poz. 69 - membru</t>
  </si>
  <si>
    <t>comisia de admitere</t>
  </si>
  <si>
    <t>Consiliul academic al ULBS</t>
  </si>
  <si>
    <t xml:space="preserve">Comisia de Securitate si Sanatate in Munca la nivel de ULBS </t>
  </si>
  <si>
    <t>CSUD</t>
  </si>
  <si>
    <t>CA</t>
  </si>
  <si>
    <t>Comisia de admitere - presedinte</t>
  </si>
  <si>
    <t>Membru comisia centrala de admitere a ULBS</t>
  </si>
  <si>
    <t>Comisia Consiliului Facultății de Inginerie pentru Invatamant si evaluarea calitatii</t>
  </si>
  <si>
    <t>Comisia Consiliului Facultății de Inginerie socială și activităti studentesti</t>
  </si>
  <si>
    <t>Comisia Consiliului Facultății de Inginerie pentru colaborari interne</t>
  </si>
  <si>
    <t>Comisia Consiliului Facultății de Inginerie pentru colaborari externe</t>
  </si>
  <si>
    <t>Comisia Consiliului Facultății de Inginerie pentru informare, imagine si publicitate</t>
  </si>
  <si>
    <t>Asistent universitar, poziția 65,Comisia de concurs, sem I, membru</t>
  </si>
  <si>
    <t>Asistent universitar, poziția 67,Comisia de concurs, sem I, membru</t>
  </si>
  <si>
    <t>Asistent universitar, poziția 68,Comisia de concurs, sem I, membru</t>
  </si>
  <si>
    <t>Asistent universitar, poziția 69,Comisia de concurs, sem I, membru</t>
  </si>
  <si>
    <t>Asistent universitar, poziția 63,Comisia de concurs, sem II, membru</t>
  </si>
  <si>
    <t>Asistent universitar, poziția 64,Comisia de concurs, sem II, membru</t>
  </si>
  <si>
    <t>Asistent universitar, poziția 65,Comisia de concurs, sem II, membru</t>
  </si>
  <si>
    <t>asistent de cercetare stiintifica, Institutul pentru Studii si Cercetari Interdisciplinare al ULBS.</t>
  </si>
  <si>
    <t>Profesor, pozitia 4, UPIT, Comisia de consurs, membru</t>
  </si>
  <si>
    <t>Fing4</t>
  </si>
  <si>
    <t>Comisia pentru informatizare, imagine și publicitate</t>
  </si>
  <si>
    <t>Comisie alegeri, locuri vacante CF și Senat – secția de votare nr. 2 – Facultatea de Inginerie (nov.2021) - membru</t>
  </si>
  <si>
    <t>Comisie Admitere</t>
  </si>
  <si>
    <t>Comisie Call Center - Admitere 2022</t>
  </si>
  <si>
    <t>feb-mai 2022 - Participare la negocierea CCM la nivel de ramură, în comisia de lucru coordonată de Rectorul ULBS. 26mai – email Laura Munteanu cu CCM final.</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</si>
  <si>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</si>
  <si>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</si>
  <si>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</si>
  <si>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</si>
  <si>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</si>
  <si>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b/>
        <sz val="10"/>
        <color rgb="FF000000"/>
        <rFont val="Arial Narrow"/>
      </rPr>
      <t>*Punctaje de referință:</t>
    </r>
    <r>
      <rPr>
        <sz val="10"/>
        <color rgb="FF000000"/>
        <rFont val="Arial Narrow"/>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</si>
  <si>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</si>
  <si>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Consultații pentru examenele Transporturi speciale (IV ITT), Tehnici de asamblare în TDDH 2 (II TDDH), Logistica activităților de expediție și transport (II LI)</t>
  </si>
  <si>
    <t>Tutoriat gr. 121, II TCM</t>
  </si>
  <si>
    <t xml:space="preserve"> Consultatii</t>
  </si>
  <si>
    <t>Tutorat - practica, an I mMP</t>
  </si>
  <si>
    <t>28x12</t>
  </si>
  <si>
    <t>Tutorat - an I TCM, grupa 111</t>
  </si>
  <si>
    <t>Tutorat - an II TDDH</t>
  </si>
  <si>
    <t>Tutorat - an I IMGN</t>
  </si>
  <si>
    <t>Brănescu Andrei Horia</t>
  </si>
  <si>
    <t>Consultații</t>
  </si>
  <si>
    <t>Tutorat, Inginerie economică în domeniul
mecanic, III, grupa 431</t>
  </si>
  <si>
    <t>Practică de specialitate, Inginerie economică în domeniul mecanic, III, grupa 431</t>
  </si>
  <si>
    <t>Tutorat anul I TCM / 112</t>
  </si>
  <si>
    <t>Tutorat an II IPMI</t>
  </si>
  <si>
    <t>TUTORAT-ANUL I STIF</t>
  </si>
  <si>
    <t>TUTORAT-ANUL II STIF</t>
  </si>
  <si>
    <t xml:space="preserve">Practică de specialitate(profesionala) an I master STIF, semestre I+II, 12 ore/săpt. x 28 săptămâni </t>
  </si>
  <si>
    <t xml:space="preserve">Practică de specialitate(cercetare), an II master  STIF, semestrele I+II, (12+14) ore/săpt. x 14 săptămâni </t>
  </si>
  <si>
    <t>Consultatii</t>
  </si>
  <si>
    <t>Tutorat</t>
  </si>
  <si>
    <t>Practica de specialitate-licenta</t>
  </si>
  <si>
    <t>Practica de specialitate-master</t>
  </si>
  <si>
    <t>Tutorat an IV IPMI</t>
  </si>
  <si>
    <t>Tutorat an I TDDH</t>
  </si>
  <si>
    <t>consultatii</t>
  </si>
  <si>
    <t>tutorat</t>
  </si>
  <si>
    <t>Tutorat Anul IV TCM</t>
  </si>
  <si>
    <t>Tutorat an IV ITT, an i si II LI</t>
  </si>
  <si>
    <t>200 x3</t>
  </si>
  <si>
    <t>Practica profesionala anul I master LI</t>
  </si>
  <si>
    <t>Consultatii, ITT, LI</t>
  </si>
  <si>
    <t>Consultatii curs Ingineria Calitatii IEDM3+IEI3</t>
  </si>
  <si>
    <t>Tutore Master Managementul calitatii I</t>
  </si>
  <si>
    <t>Tutore Master Managementul calitatii II</t>
  </si>
  <si>
    <t>Consultaţii</t>
  </si>
  <si>
    <t>Miricescu Dan, Moraru Gina Maria</t>
  </si>
  <si>
    <t>Practică profesională an I master MAI, semestrul I+II, 12 ore/săpt. X 28 săpt.</t>
  </si>
  <si>
    <t>Practică de cercetare an I master MAI, semestrul I+II, 12 ore/săpt. X 28 săpt.</t>
  </si>
  <si>
    <t>Tutore an I master MAI</t>
  </si>
  <si>
    <t>Tutore an II master MAI</t>
  </si>
  <si>
    <t>Miricescu Dan, Moraru Gina-Maria</t>
  </si>
  <si>
    <t>FING3, FING3</t>
  </si>
  <si>
    <t xml:space="preserve">Practică profesională, an I master MAI, semestre I+II, 12 ore/săpt. x 28 săptămâni </t>
  </si>
  <si>
    <t xml:space="preserve">Practică de cercetare, an II master MAI, semestre I+II, 12 ore/săpt. x 28 săptămâni </t>
  </si>
  <si>
    <t>Consultații discipline din norma de bază</t>
  </si>
  <si>
    <t xml:space="preserve">Consultații </t>
  </si>
  <si>
    <t>Tutorat (an II ITT)</t>
  </si>
  <si>
    <t>Practică de specialitate</t>
  </si>
  <si>
    <t>consultaţii</t>
  </si>
  <si>
    <t>Tutore an I TDDH.</t>
  </si>
  <si>
    <t>Tutorat anul III TCM / 132</t>
  </si>
  <si>
    <t>Practică de specialitate / 132</t>
  </si>
  <si>
    <t>Tutorat, TCM, an II</t>
  </si>
  <si>
    <t>Practica, TCM, an II</t>
  </si>
  <si>
    <t>Consultatii curs Marketing IEDM1+IEI1</t>
  </si>
  <si>
    <t>Tutore Master Managementul proiectelor I</t>
  </si>
  <si>
    <t>Tutore Master Managementul proiectelor europene II</t>
  </si>
  <si>
    <t>Tutorat anul III TCM / 131</t>
  </si>
  <si>
    <t>Practică de specialitate / 131</t>
  </si>
  <si>
    <t>consultatii an IV IEDM</t>
  </si>
  <si>
    <t>consultatii an IV SPD</t>
  </si>
  <si>
    <t>CONSULTATII</t>
  </si>
  <si>
    <t>Tutorat anul I, ITT, grupa 414, zi</t>
  </si>
  <si>
    <t>Practica de cercetare 1 - mMC an II</t>
  </si>
  <si>
    <t>Practica de cercetare 2 - mMC an II</t>
  </si>
  <si>
    <t>Practica profesionala - an 2 C sem 2</t>
  </si>
  <si>
    <t>Practica profesionala - an 2 ICAI sem 1 - 12 ore*14 sapt</t>
  </si>
  <si>
    <t>Practică de specialitate, anul 3 EM</t>
  </si>
  <si>
    <t>Practica de specialitate- an 1 AAIE - 12 ore/sapt * 14 sapt</t>
  </si>
  <si>
    <t>Tutorat I ES</t>
  </si>
  <si>
    <t>Tutorat II ES</t>
  </si>
  <si>
    <t xml:space="preserve">Practica II ES </t>
  </si>
  <si>
    <t>56,00</t>
  </si>
  <si>
    <t>Practica profesionala - an 1 ICAI sem 2 - 12 ore/sapt * 14 sapt</t>
  </si>
  <si>
    <t>Practica</t>
  </si>
  <si>
    <t>practica 2C</t>
  </si>
  <si>
    <t>Tutorat an I EA</t>
  </si>
  <si>
    <t>practica grp. 233</t>
  </si>
  <si>
    <t>Crețulescu Radu George</t>
  </si>
  <si>
    <t>Practica an 3 TI</t>
  </si>
  <si>
    <t>Practica de specialitate - an 3 TI sem 2</t>
  </si>
  <si>
    <t>Practică profesională, Embedded Systems, Anul 1, Sem. 2 (12 ore * 14 săpt.)</t>
  </si>
  <si>
    <t>Practica de domeniu</t>
  </si>
  <si>
    <t>FIN2</t>
  </si>
  <si>
    <t>Tutoriat (anul IV Calculatoare)</t>
  </si>
  <si>
    <t>Zamfirescu Bala Ctin</t>
  </si>
  <si>
    <t>Practica cercetare - an 2 ACS sem 2 - 14 ore*14 sapt</t>
  </si>
  <si>
    <t>Practica Electronica Aplicata an III</t>
  </si>
  <si>
    <t>Practica master Embedded Systems an I</t>
  </si>
  <si>
    <t>Practica an 3 C</t>
  </si>
  <si>
    <t>consultații</t>
  </si>
  <si>
    <t xml:space="preserve">tutorat AAIE anii I și II </t>
  </si>
  <si>
    <t>2*200</t>
  </si>
  <si>
    <t>practica cercetare AAIE anul II</t>
  </si>
  <si>
    <t>12*14</t>
  </si>
  <si>
    <t>Practica profesionala - an 1 ACS sem 2 - 14 ore*14 sapt</t>
  </si>
  <si>
    <t>Practica de specialitate 235, An 3 ISM</t>
  </si>
  <si>
    <t>Practică de specialitate, anul II EM</t>
  </si>
  <si>
    <t>Practica de specialitate- an II EM - 12 ore/sapt * 14 sapt</t>
  </si>
  <si>
    <t>Tutore, Mecatronica, anul III</t>
  </si>
  <si>
    <t>Tutore, Mecatronica-engleza, anul III</t>
  </si>
  <si>
    <t>Practica de specialitate, Mecatronica, anul III</t>
  </si>
  <si>
    <t>Practica de specialitate, Mecatronica-engleza, anul III</t>
  </si>
  <si>
    <t>Tutorat - Robotică, anul 2</t>
  </si>
  <si>
    <t>Pratica de domeniu - Robotică, anul 2</t>
  </si>
  <si>
    <t>Tutorat 4 Robotica</t>
  </si>
  <si>
    <t>Tutorat 1 SPD</t>
  </si>
  <si>
    <t>Tutorat 2 SCCDP</t>
  </si>
  <si>
    <t>Tutorat I IEI</t>
  </si>
  <si>
    <t>Tutorat IVSPD</t>
  </si>
  <si>
    <t>Tutorat I Robotică</t>
  </si>
  <si>
    <t>Tutorat II SPD</t>
  </si>
  <si>
    <t>practica II SPD</t>
  </si>
  <si>
    <t>Tutoriat III IEI</t>
  </si>
  <si>
    <t>Practica de specialitate an III IEI</t>
  </si>
  <si>
    <t>Tutorat anul III TTC</t>
  </si>
  <si>
    <t>Consultații TTC, IEI</t>
  </si>
  <si>
    <t>Practica de specialitate, anul III TTC</t>
  </si>
  <si>
    <t>Tutorat 2 Mecatronică</t>
  </si>
  <si>
    <t>Tutorat  2 Mecatronică engleză</t>
  </si>
  <si>
    <t>Practică 2 Mecatronică</t>
  </si>
  <si>
    <t>Practică 2 Mecatronică engleză</t>
  </si>
  <si>
    <t>Tutorat IV Mecatronica</t>
  </si>
  <si>
    <t>Tutorat II SMA</t>
  </si>
  <si>
    <t>Practica profesionala, sem. 1, II SMA</t>
  </si>
  <si>
    <t>Practica profesionala, sem. 2, II SMA</t>
  </si>
  <si>
    <t>Tutorat II TTC</t>
  </si>
  <si>
    <t>Practica de domeniu, II TTC</t>
  </si>
  <si>
    <t>Consultatii, TCM, SPD. ITT</t>
  </si>
  <si>
    <t>Practica master Logistica an I</t>
  </si>
  <si>
    <t>Mecatronică (lb. engleză) IV</t>
  </si>
  <si>
    <t>Robotică III</t>
  </si>
  <si>
    <t>Practica profesionala, Robotică  an III</t>
  </si>
  <si>
    <t>Tutorat IV TTC</t>
  </si>
  <si>
    <t>Tutorat - Mecatronică (lb. engleză), anul 1</t>
  </si>
  <si>
    <t>Tutorat - Mecatronică (lb română), anul 1</t>
  </si>
  <si>
    <t>Tutorat I SCCCDP</t>
  </si>
  <si>
    <t>Consultații discipline norma de bază</t>
  </si>
  <si>
    <t>Consultații (conform activit din NB)</t>
  </si>
  <si>
    <t xml:space="preserve">tutoriat: an III SPD </t>
  </si>
  <si>
    <t>tutoriat: an I mSMA</t>
  </si>
  <si>
    <t>practica de specialitate: an III SPD</t>
  </si>
  <si>
    <t>90 ore</t>
  </si>
  <si>
    <t>practica profesionala 1, 2: an I mSMA</t>
  </si>
  <si>
    <t>12 ore/sapt x14</t>
  </si>
  <si>
    <t xml:space="preserve">consultatii </t>
  </si>
  <si>
    <t>RACZ Sever Gabriel</t>
  </si>
  <si>
    <t>TUTORAT, anul II, IEI</t>
  </si>
  <si>
    <t>Consultații proiecte diplomă, IV, TTC+IEI</t>
  </si>
  <si>
    <t>Tutorat IV IEI</t>
  </si>
  <si>
    <t>Consultatii IV IEI</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</si>
  <si>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</si>
  <si>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</si>
  <si>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</si>
  <si>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</si>
  <si>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b/>
        <sz val="10"/>
        <color rgb="FF000000"/>
        <rFont val="Arial Narrow"/>
      </rPr>
      <t>*Punctaje de referință:</t>
    </r>
    <r>
      <rPr>
        <sz val="10"/>
        <color rgb="FF000000"/>
        <rFont val="Arial Narrow"/>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</si>
  <si>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</si>
  <si>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Sesiunea de comunicări științifice studențești - eveniment științific, 3 iunie 2022, membru în Comisia TCM și Tehnologii neconvenționale</t>
  </si>
  <si>
    <t xml:space="preserve"> Vizita de studii firma Guhring semI</t>
  </si>
  <si>
    <t xml:space="preserve"> Vizita de studii firma Guhring semII</t>
  </si>
  <si>
    <t>Sesiune comunicari stiintifice studentesti, presedinte comisia sectiunea I</t>
  </si>
  <si>
    <t>Stiinta si ingineria materialelor - cerc stiintific</t>
  </si>
  <si>
    <t>8 lucrari prezentate la sesiunea de comunicari stiintifice studentesti ca unic coordonator (7 la sectiunea 1; 1 la sectiunea 2)</t>
  </si>
  <si>
    <t>2 lucrari prezentate la sesiunea de comunicari stiintifice studentesti in cotutela (1 la sectiunea 1; 1 la sectiunea 3)</t>
  </si>
  <si>
    <t>Sesiunea de comunicări științifice. Mai 2022. Coordonare lucrare.</t>
  </si>
  <si>
    <t>10*2 lucrări/2</t>
  </si>
  <si>
    <t>Sesiunea de comunicări științifice studențești a Facultății de Inginerie a ULBS, 3 iunie 2022. Membru în comisia secțiunii a XII (Inginerie Economică - Marketing)</t>
  </si>
  <si>
    <t>Sesiunea de comunicări științifice studențești a Facultății de Inginerie a ULBS, 3 iunie 2022. Coordonare lucrare în secțiunea a XII (Inginerie Economică - Marketing): Conceptul de inteligență economică. Cercetare privind percepția
acestui concept la nivelul studenților de la specializările IEDM și IEI din anii
3 și 4 ai Facultății de Inginerie, ULBS (Teodora VAIDA, anul III IEDM; Ana-Roxana VÎLCU, anul III IEDM; Ioan-Robert BACIU, anul III IEDM)</t>
  </si>
  <si>
    <t>Noaptea cercetătorilor 2022. Organizare atelier</t>
  </si>
  <si>
    <t>Sesiunea de comunicari stiintifice studentesti, 3 iunie 2022, Secretar comisie sectiunea III</t>
  </si>
  <si>
    <t>Sesiunea de comunicari stiintifice studentesti, 3 iunie 2022, coordonare lucrare "Metode de control a vitezei de sedimentare a particulelor aeropurtate din atmosferă" sectiunea III</t>
  </si>
  <si>
    <t>Sesiunea de comunicari stiintifice studentesti, 3 iunie 2022, coordonare lucrare "Echipamente pentru determinarea proprietăţilor de curgere a materialelor granulare şi pulverulente" sectiunea III</t>
  </si>
  <si>
    <t>Sesiunea de comunicari stiintifice studentesti, 3 iunie 2022, coordonare lucrare "Aspecte tehnice şi economice referitoare la domeniul ingineriei suprafeţelor" sectiunea I</t>
  </si>
  <si>
    <t>Sesiunea de comunicari stiintifice studentesti, 3 iunie 2022, coordonare lucrare "Utilizarea compusilor macromoleculari si polimerilor in tehnica" sectiunea III</t>
  </si>
  <si>
    <t>Sesiunea de Comunicări Științifice Studențești 2022 (membru în comitetul științific)</t>
  </si>
  <si>
    <t>Sesiunea de Comunicări Științifice Studențești 2022 (coordonare lucrare studențească prezentată la conferință)-4 lucrări</t>
  </si>
  <si>
    <t>Răzvan-Nicolae ANGHEL, an IV IEDM, Studiu privind activitățile actuale de mentenanță industrială și evidențierea tendințelor de dezvoltare. Sesiunea de comunicari stiintifice studentesti FIN/ULBS</t>
  </si>
  <si>
    <t xml:space="preserve">Mihaela-Iulia BRATU, an IV IEDM, Studiu privind implementarea TPM (Total Productive Maintenance) în domeniul fabricației. Sesiunea de comunicari stiintifice studentesti FIN/ULBS </t>
  </si>
  <si>
    <t xml:space="preserve">Alexandra-Nicoleta MUNTEAN, an IV IEDM, Studiu privind utilizarea activităților moderne de mentenanță în domeniul automotive. Sesiunea de comunicari stiintifice studentesti FIN/ULBS </t>
  </si>
  <si>
    <t xml:space="preserve">Gabriela-Maria ȚILI, an IV IEDM, Analiza și îmbunătățirea activităților de mentenanță specifice injecției maselor plastice la SC FLARO SA. Sesiunea de comunicari stiintifice studentesti FIN/ULBS </t>
  </si>
  <si>
    <t xml:space="preserve">Carmen-Nicoleta ROTĂRIȚA, an IV IEDM, Analiza și îmbunătățirea managementului mentenanței pentru o firmă producătoare. Sesiunea de comunicari stiintifice studentesti FIN/ULBS </t>
  </si>
  <si>
    <t>Membru - Secțiunea V - Sesiunea studențească organizată de Facultatea de Inginerie</t>
  </si>
  <si>
    <t>coordonare cerc stiintific studentesc</t>
  </si>
  <si>
    <t xml:space="preserve">Dumitrascu Danut </t>
  </si>
  <si>
    <t>coordonator lucrare stiintifica - Sesiunea de comunicari stiintifice studentesti, mai 2022, Ionut Dragos Natea, Proiect educațional pentru mobilitate velo sustenabilă</t>
  </si>
  <si>
    <t>Asistență în organizarea sesiunii țtiințifice studențești, mai 2022</t>
  </si>
  <si>
    <t>Petrescu Valentin, Gligor (Fălădău ) Maria Alina</t>
  </si>
  <si>
    <t>Sesiunea de comunicari stiintifice studentesti, Stiintific, 03.06.2022, 26 studenti,Sectiunea Stiintia si Tehnologia Materialelor,  coordonator,  ''Studiu privind creşterea rezistenţei la uzură a oţelurilor inoxidabile de la componentele pompelor centrifuge'' Autori:Maria-Denisa DAN, an II IEDM
Andreea-Denisa BEJENARU, an II IEDM</t>
  </si>
  <si>
    <t>Sesiunea de comunicari stiintifice studentesti, Stiintific,03.06.2022, 33 studenti, Sectiunea Ingineria Gazelor, Coordonator, ''Reciclarea fluidelor de foraj in vederea reducerii poluării'',autori Loredana-Maria VERESEZAN,an II TDDH , Nicolae-Adrian SAMARTINEAN</t>
  </si>
  <si>
    <t xml:space="preserve">Sesiunea de comunicari stiintifice studentesti, Stiintific,03.06.2022, 33 studenti, Sectiunea Ingineria Gazelor, Coordonator,''Optimizarea activităţii de d ispecerizare a fluxurilor de gaze cu ajutorul sistemului SCADA '',autori Erzsebet-Julianna KATILA, an IV TDDH
Andra-Nicoleta STOICA, an IV TDDH, </t>
  </si>
  <si>
    <t xml:space="preserve">Presedinte comisia Secțiunii Ingineria Gazelor la Sesiunea Științifică Studențească </t>
  </si>
  <si>
    <t xml:space="preserve">Sesiunea de comunicari stiintifice studentesti, Stiintific,03.06.2022, 33 studenti, Sectiunea Ingineria Gazelor, Coordonator,''Tehnologii de opturare a conductelor de transport gaze naturale '',autori , Bunea Ovidiu -Traian, an I IMGN
Racman Nicolae-Constantin, an I IMGN
</t>
  </si>
  <si>
    <t xml:space="preserve">Sesiunea de comunicari stiintifice studentesti, Stiintific,03.06.2022, 33 studenti, Sectiunea Ingineria Gazelor, Coordonator,''Optimizarea realizării sondelor dirijate prin măsuratori în timpul forajului '', Andreas-Alfred Kurti, an III TDDH
Viorel Bogdan, an III TDDH
</t>
  </si>
  <si>
    <t>Sesiunea de comunicari stiintifice studentesti, Stiintific,03.06.2022, 33 studenti, Sectiunea Ingineria Gazelor, Coordonator,''GNL–o soluție viabilă de asigurarea cu gaze naturale a Uniunii Europene. autori: Andreas-Alfred Kurti, an III TDDH
Viorel Bogdan, an III TDDH</t>
  </si>
  <si>
    <t>Vizite de documentare cu studentii de la TDDH in campul de productie gaze naturale Deleni</t>
  </si>
  <si>
    <t>Vizite de documentare cu studentii TDDH zi la statia de uscare si comprimare Tigmandru</t>
  </si>
  <si>
    <t>Vizite de documentare cu masteranzii IMGN la statia de uscare si comprimare Tigmandru</t>
  </si>
  <si>
    <t>Vizite de documentare cu masteranzii IMGN in campul de productie gaze naturale Deleni</t>
  </si>
  <si>
    <t>2nd edition of Experience Exchange (12 decembrie 2022): eveniment dedicat studenților de la specializarea Transportul, Depozitarea și Distribuția Hidrocarburilor în parteneriat cu Society of Petroleum Engineers-Secțiunea Română (locația evenimentului Centrul de documentare și Informare- Muzeul Gazelor Naturale, Mediaș– schimb de experiență privind cunoștiințe, lecții învățate, provocări contextuale  și soluții în industrie (Organizatori: șef.lucr. dr.ing. Ion Foidaș, asist.univ.dr.ing Diana-Andreea Lupu)</t>
  </si>
  <si>
    <t>Sesiunea de Comunicări Științifice Studențești - 3 iunie 2022 - coordonare lucrare studențească</t>
  </si>
  <si>
    <t xml:space="preserve">LUPU DIANA </t>
  </si>
  <si>
    <r>
      <rPr>
        <sz val="10"/>
        <color theme="1"/>
        <rFont val="Arial Narrow"/>
      </rPr>
      <t xml:space="preserve">SESIUNEA DE COMUNICĂRI ŞTIINŢIFICE STUDENŢEŞTI 3 IUNIE 2022, FACULTATEA DE INGINERIE, </t>
    </r>
    <r>
      <rPr>
        <b/>
        <sz val="10"/>
        <color theme="1"/>
        <rFont val="Arial Narrow"/>
      </rPr>
      <t>MEMBRU (SECRETAR)</t>
    </r>
    <r>
      <rPr>
        <sz val="10"/>
        <color theme="1"/>
        <rFont val="Arial Narrow"/>
      </rPr>
      <t xml:space="preserve"> COMISIA </t>
    </r>
    <r>
      <rPr>
        <b/>
        <sz val="10"/>
        <color theme="1"/>
        <rFont val="Arial Narrow"/>
      </rPr>
      <t>SECTIUNEA II -INGINERIA GAZELOR</t>
    </r>
  </si>
  <si>
    <r>
      <rPr>
        <sz val="10"/>
        <color theme="1"/>
        <rFont val="Arial Narrow"/>
      </rPr>
      <t xml:space="preserve">SESIUNEA DE COMUNICĂRI ŞTIINŢIFICE STUDENŢEŞTI 3 IUNIE 2022, FACULTATEA DE INGINERIE, </t>
    </r>
    <r>
      <rPr>
        <b/>
        <sz val="10"/>
        <color theme="1"/>
        <rFont val="Arial Narrow"/>
      </rPr>
      <t xml:space="preserve">COORDONARE LUCRARE </t>
    </r>
    <r>
      <rPr>
        <sz val="10"/>
        <color theme="1"/>
        <rFont val="Arial Narrow"/>
      </rPr>
      <t xml:space="preserve"> (</t>
    </r>
    <r>
      <rPr>
        <b/>
        <sz val="10"/>
        <color theme="1"/>
        <rFont val="Arial Narrow"/>
      </rPr>
      <t>NR.12-SECTIUNEA INGINERIA MEDIULUI</t>
    </r>
    <r>
      <rPr>
        <sz val="10"/>
        <color theme="1"/>
        <rFont val="Arial Narrow"/>
      </rPr>
      <t>)</t>
    </r>
  </si>
  <si>
    <r>
      <rPr>
        <sz val="10"/>
        <color theme="1"/>
        <rFont val="Arial Narrow"/>
      </rPr>
      <t xml:space="preserve">SESIUNEA DE COMUNICĂRI ŞTIINŢIFICE STUDENŢEŞTI 3 IUNIE 2022, FACULTATEA DE INGINERIE, </t>
    </r>
    <r>
      <rPr>
        <b/>
        <sz val="10"/>
        <color theme="1"/>
        <rFont val="Arial Narrow"/>
      </rPr>
      <t xml:space="preserve">COORDONARE LUCRARE </t>
    </r>
    <r>
      <rPr>
        <sz val="10"/>
        <color theme="1"/>
        <rFont val="Arial Narrow"/>
      </rPr>
      <t xml:space="preserve"> (</t>
    </r>
    <r>
      <rPr>
        <b/>
        <sz val="10"/>
        <color theme="1"/>
        <rFont val="Arial Narrow"/>
      </rPr>
      <t>NR.12-SECTIUNEA INGINERIA GAZELOR</t>
    </r>
    <r>
      <rPr>
        <sz val="10"/>
        <color theme="1"/>
        <rFont val="Arial Narrow"/>
      </rPr>
      <t>)</t>
    </r>
  </si>
  <si>
    <r>
      <rPr>
        <sz val="10"/>
        <color theme="1"/>
        <rFont val="Arial Narrow"/>
      </rPr>
      <t xml:space="preserve">SESIUNEA DE COMUNICĂRI ŞTIINŢIFICE STUDENŢEŞTI 3 IUNIE 2022, FACULTATEA DE INGINERIE, </t>
    </r>
    <r>
      <rPr>
        <b/>
        <sz val="10"/>
        <color theme="1"/>
        <rFont val="Arial Narrow"/>
      </rPr>
      <t xml:space="preserve">COORDONARE LUCRARE </t>
    </r>
    <r>
      <rPr>
        <sz val="10"/>
        <color theme="1"/>
        <rFont val="Arial Narrow"/>
      </rPr>
      <t xml:space="preserve"> (</t>
    </r>
    <r>
      <rPr>
        <b/>
        <sz val="10"/>
        <color theme="1"/>
        <rFont val="Arial Narrow"/>
      </rPr>
      <t>NR.13-SECTIUNEA INGINERIA GAZELOR</t>
    </r>
    <r>
      <rPr>
        <sz val="10"/>
        <color theme="1"/>
        <rFont val="Arial Narrow"/>
      </rPr>
      <t>)</t>
    </r>
  </si>
  <si>
    <r>
      <rPr>
        <sz val="10"/>
        <color theme="1"/>
        <rFont val="Arial Narrow"/>
      </rPr>
      <t xml:space="preserve">SESIUNEA DE COMUNICĂRI ŞTIINŢIFICE STUDENŢEŞTI 3 IUNIE 2022, FACULTATEA DE INGINERIE, </t>
    </r>
    <r>
      <rPr>
        <b/>
        <sz val="10"/>
        <color theme="1"/>
        <rFont val="Arial Narrow"/>
      </rPr>
      <t xml:space="preserve">COORDONARE LUCRARE </t>
    </r>
    <r>
      <rPr>
        <sz val="10"/>
        <color theme="1"/>
        <rFont val="Arial Narrow"/>
      </rPr>
      <t xml:space="preserve"> (</t>
    </r>
    <r>
      <rPr>
        <b/>
        <sz val="10"/>
        <color theme="1"/>
        <rFont val="Arial Narrow"/>
      </rPr>
      <t>NR.14-SECTIUNEA INGINERIA GAZELOR</t>
    </r>
    <r>
      <rPr>
        <sz val="10"/>
        <color theme="1"/>
        <rFont val="Arial Narrow"/>
      </rPr>
      <t>)</t>
    </r>
  </si>
  <si>
    <r>
      <rPr>
        <sz val="10"/>
        <color theme="1"/>
        <rFont val="Arial Narrow"/>
      </rPr>
      <t xml:space="preserve">SESIUNEA DE COMUNICĂRI ŞTIINŢIFICE STUDENŢEŞTI 3 IUNIE 2022, FACULTATEA DE INGINERIE, </t>
    </r>
    <r>
      <rPr>
        <b/>
        <sz val="10"/>
        <color theme="1"/>
        <rFont val="Arial Narrow"/>
      </rPr>
      <t xml:space="preserve">COORDONARE LUCRARE </t>
    </r>
    <r>
      <rPr>
        <sz val="10"/>
        <color theme="1"/>
        <rFont val="Arial Narrow"/>
      </rPr>
      <t xml:space="preserve"> (</t>
    </r>
    <r>
      <rPr>
        <b/>
        <sz val="10"/>
        <color theme="1"/>
        <rFont val="Arial Narrow"/>
      </rPr>
      <t>NR.16-SECTIUNEA INGINERIA GAZELOR</t>
    </r>
    <r>
      <rPr>
        <sz val="10"/>
        <color theme="1"/>
        <rFont val="Arial Narrow"/>
      </rPr>
      <t>)</t>
    </r>
  </si>
  <si>
    <r>
      <rPr>
        <b/>
        <sz val="10"/>
        <color theme="1"/>
        <rFont val="Arial Narrow"/>
      </rPr>
      <t>Miricescu Dan</t>
    </r>
    <r>
      <rPr>
        <sz val="10"/>
        <color theme="1"/>
        <rFont val="Arial Narrow"/>
      </rPr>
      <t>, Popa Daniela</t>
    </r>
  </si>
  <si>
    <t>8 lucrari coordonate Sesiunea de Comunicari Ştiinţifice Studenţeşti 03.06.2022 Secţiunea XI: INGINERIE ECONOMICĂ - MANAGEMENT</t>
  </si>
  <si>
    <t>8x5</t>
  </si>
  <si>
    <t>3 lucrari coordonate Sesiunea de Comunicari Ştiinţifice Studenţeşti 03.06.2022 Secţiunea XI: INGINERIE ECONOMICĂ - MANAGEMENT</t>
  </si>
  <si>
    <t>3x10</t>
  </si>
  <si>
    <t>Preşedinte Comisie Sesiunea de Comunicari Ştiinţifice Studenţeşti 03.06.2022 Secţiunea XI: INGINERIE ECONOMICĂ - MANAGEMENT</t>
  </si>
  <si>
    <r>
      <rPr>
        <b/>
        <sz val="10"/>
        <color theme="1"/>
        <rFont val="Arial Narrow"/>
      </rPr>
      <t>Miricescu Dan</t>
    </r>
    <r>
      <rPr>
        <sz val="10"/>
        <color theme="1"/>
        <rFont val="Arial Narrow"/>
      </rPr>
      <t>, Popa Daniela</t>
    </r>
  </si>
  <si>
    <t>Cerc ştiinţific Managementul Activităţilor de Logistică</t>
  </si>
  <si>
    <r>
      <rPr>
        <b/>
        <sz val="10"/>
        <color theme="1"/>
        <rFont val="Arial Narrow"/>
      </rPr>
      <t>Miricescu Dan</t>
    </r>
    <r>
      <rPr>
        <sz val="10"/>
        <color theme="1"/>
        <rFont val="Arial Narrow"/>
      </rPr>
      <t>, Popa Daniela</t>
    </r>
  </si>
  <si>
    <t>Vizită de documentare şi aprofundare practică la SC Grupo Antolin Romania SRL SBIU a studenţilor de la programele de licență Inginerie Economică în Domeniul Mecanic (IEDM) anul III şi Inginerie Economică Industrială (IEI) – anul III din cadrul Facultăţii de Inginerie</t>
  </si>
  <si>
    <t>Vizită de documentare şi aprofundare practică la SC Grupo Antolin Romania SRL SBIU a studenţilor de la programul de master Managementul Afacerilor Industriale (MAI) – anul II din cadrul Facultăţii de Inginerie</t>
  </si>
  <si>
    <t>Sesiunea de Comunicări Științifice Studențești a Facultății de Inginerie, 3 iunie 2022, Președintele secțiunii XII, Inginerie economică - Marketing și coordonatorul procesului de colectare și transmitere a lucrărilor pentru secțiunile I, II, III, V, VI, XI, XII ale Sesiunii de comunicări (secțiuni ale Departamentului IIM)</t>
  </si>
  <si>
    <r>
      <rPr>
        <sz val="10"/>
        <color theme="1"/>
        <rFont val="Arial Narrow"/>
      </rPr>
      <t xml:space="preserve">Sesiunea de Comunicări Științifice Studențești a Facultății de Inginerie, 3 iunie 2022, 6 lucrări coordonate în cotutelă cu Săvescu Roxana (FING3) secțiunea XII, 1 lucrare coordonator unic secțiunea XI și 9 lucrări coordonator unic secțiunea XII; </t>
    </r>
    <r>
      <rPr>
        <b/>
        <sz val="10"/>
        <color theme="1"/>
        <rFont val="Arial Narrow"/>
      </rPr>
      <t>(6/2 + 1 + 9) x 10 puncte</t>
    </r>
  </si>
  <si>
    <t>Coordonator vizita de documentare pentru a prezenta procesul de fabricare a sculelor aschietoare cu un grup de 25 studenti din anul III SPD la Firma GUHRING in data de 25.11.2021</t>
  </si>
  <si>
    <t>Coordonator vizita de documentare pentru a prezenta procesul de fabricare a sculelor aschietoare cu un grup de 34 studenti din anul II IEDM la Firma GUHRING in data de 19.05.2022</t>
  </si>
  <si>
    <t>Secretar - Secțiunea V - Sesiunea științifică studențească organizată de Facultatea de Inginerie</t>
  </si>
  <si>
    <t xml:space="preserve">Popa Daniela </t>
  </si>
  <si>
    <t xml:space="preserve">Membru în comisia Secțiunii Inginerie Economică - Management la Sesiunea Științifică Studențească </t>
  </si>
  <si>
    <t>Coordonare lucrare științifică susținută la Sesiunea Științifică Studențească: ”Studiu privind oportunitatea înființării unei afaceri în domeniul producției (pardesiu bărbați)”, Hodîrnău Lidia Andreea, IV IEI - Sibiu, 3 iunie 2022</t>
  </si>
  <si>
    <t>Coordonare lucrare științifică susținută la Sesiunea Științifică Studențească: ”Studiu privind oportunitatea înființării unei afaceri în domeniul producției (pardesiu femei - din materiale reciclate)”, Bitică Ioana Maria, IV IEI - Sibiu, 3 iunie 2022</t>
  </si>
  <si>
    <t>Coordonare lucrare științifică susținută la Sesiunea Științifică Studențească: ”Cercetare de marketing pe bază de chestionar privind opinia studenților asupra pieței muncii și a angajabilității post pandemice”, ANUȘCĂ Larisa-Rodica, IV IEDM - Sibiu, 3 iunie 2022</t>
  </si>
  <si>
    <t>Coordonare lucrare științifică susținută la Sesiunea Științifică Studențească: ”Cercetare de marketing pe bază de chestionar privind influențele pandemiei asupra angajaților uneii societăți comerciale din industria automotive”, Blezu Elena Paraschiva, IV IEDM - Sibiu, 3 iunie 2022</t>
  </si>
  <si>
    <t>Coordonare lucrare științifică susținută la Sesiunea Științifică Studențească: ”Analiză privind asemănările și deosebirile dintre studiile universitare din România și Germania. Studiu de caz: Facultatea de Inginerie (ULBS) vs Technische Hochschule Deggendorf”, VEȘTEMEAN Cristiana-Andreea, IV IEDM - Sibiu,3 iunie 2022</t>
  </si>
  <si>
    <t>Coordonare lucrare științifică susținută la Sesiunea Științifică Studențească: ”Cercetare de marketing pe bază de chestionar în rândul studenților privind identificarea diferitelor efecte post pandemice”, FRĂTICI Ana–Maria Andreea,  IV IEDM - Sibiu, 3 iunie 2022</t>
  </si>
  <si>
    <t>Coordonare lucrare științifică susținută la Sesiunea Științifică Studențească: ”Cercetare de marketing pe bază de chestionar privind stresul și gestionarea timpului în rândul studenților”, KEMENDI Jesica, IV IEDM - Sibiu, 3 iunie 2022</t>
  </si>
  <si>
    <t>Coordonare lucrare științifică susținută la Sesiunea Științifică Studențească: ”Îmbunătățirea metodelor de școlarizare în cadrul companiei IFM EFECTOR/PROVER Sibiu”, TRĂISTARU OANA-GABRIELA, IV IEI - Sibiu, 3 iunie 2022</t>
  </si>
  <si>
    <t>Vizită la SC Grup Antolin, aprilie 2022</t>
  </si>
  <si>
    <t>Popa Daniela, Miricescu Dan</t>
  </si>
  <si>
    <t>Coordonare lucrare științifică susținută la Sesiunea Științifică Studențească ”Ecowear - Oportunitatea înființării unei firme de produse textile din
materiale reciclabile”, Lidia - Andreea Hodîrnău - IV IEI, Ioana Maria Bitică, IV IEI - - Sibiu, 3 iunie 2022</t>
  </si>
  <si>
    <t>Coordonare lucrare științifică susținută la Sesiunea Științifică Studențească ”Virtual Couture – Avatarul care schimbă look-ul”, Ștefania Brăneanu - IV IEI, Cristian Morozan - IV IEI, - Sibiu, 3 iunie 2022</t>
  </si>
  <si>
    <t>Coordonare lucrare științifică susținută la Sesiunea Științifică Studențească ”Tric Toys – Savoarea copilăriei jucării tricotate” Alina Elena Arsen - IV IEI, Livia Georgiana Țevelei - IV IEI, - Sibiu, 3 iunie 2022</t>
  </si>
  <si>
    <t>Coordonare lucrare științifică susținută la Sesiunea Științifică Studențească  ”Analiză privind oportunitatea înfiinţării unui depozit zonal pentru
distribuţia de băuturi răcoritoare”, Teodora Vaida - III IEDM, Sorin Nicolae Petrese - III IEDM, - Sibiu, 3 iunie 2022</t>
  </si>
  <si>
    <t>Coordonare lucrare științifică susținută la Sesiunea Științifică Studențească ”Analiză privind oportunitatea înfiinţării unui depozit logistic zonal pentru
firma Milka”, Robert Baciu, Cătălin Ifrim, Anamaria Mihucz - III IEDM, Sibiu, 3 iunie 2022</t>
  </si>
  <si>
    <t>Coordonare lucrare științifică susținută la Sesiunea Științifică Studențească ”Studiu privind înființarea unui depozit pentru distribuţia zonală a unor materiale de construcţii”, Florin TERA, Remus VULCU, anul III IEDM, Sibiu, 3 iunie 2022</t>
  </si>
  <si>
    <t>Coordonare lucrare științifică susținută la Sesiunea Științifică Studențească ”Analiză privind oportunitatea înfiinţării unui depozit logistic zonal pentru
distribuţia produselor firmei Colgate”, Teodora Socaci- III IEDM, Sibiu, 3 iunie 2022</t>
  </si>
  <si>
    <t>Coordonare lucrare științifică susținută la Sesiunea Științifică Studențească ”Studiu privind relaţia student - cadru didactic in contextul predarii on-line, din perspectiva studenţilor Facultăţii de Inginerie”, Teodora - Bianca Bădilă - IV IEDM, Sibiu, 3 iunie 2022</t>
  </si>
  <si>
    <t>Coordonare lucrare științifică susținută la AntreprenorING 3.0  - Oradea, 17-19 decembrie, concurs național studențesc organizat de Facultatea de Inginerie Managerială și Tehnologică, Universitatea din Oradea. Titlul lucrării:  ”Tric Toys – Savoarea copilăriei jucării tricotate” . Studenți: Alina Elena Arsen - IV IEI, Livia Georgiana Țevelei - IV IEI</t>
  </si>
  <si>
    <t xml:space="preserve">Coordonare lucrare științifică susținută la AntreprenorING 3.0  - Oradea, 17-19 decembrie 2021, concurs național studențesc organizat de Facultatea de Inginerie Managerială și Tehnologică, Universitatea din Oradea. Titlul lucrării: ”Ecowear - Oportunitatea înființării unei firme de produse textile din materiale reciclabile”. Studenți: Lidia - Andreea Hodîrnău - IV IEI, Ioana Maria Bitică, IV IEI </t>
  </si>
  <si>
    <t>Coordonare lucrare științifică susținută la AntreprenorING 3.0  - Oradea, 17-19 decembrie 2021, concurs național studențesc organizat de Facultatea de Inginerie Managerială și Tehnologică, Universitatea din Oradea. Titlul lucrării: ”Case de lemn de tip A - soluţia pentru un sejur de neuitat". Studenți: Ciufudean Denisa Ana-Maria, Anuşcă Larisa-Rodica - IV IEDM</t>
  </si>
  <si>
    <t>Coordonare lucrare științifică susținută la AntreprenorING 4.0  - Oradea, 1 - 3 iulie 2022, concurs național studențesc organizat de Facultatea de Inginerie Managerială și Tehnologică, Universitatea din Oradea. Titlul lucrării: ”RoCris Agricol". Studenți:  Micu Cristina, Baciu Ioan Robert, III IEDM</t>
  </si>
  <si>
    <t>Coordonare lucrare științifică susținută la AntreprenorING 4.0  - Oradea, 1 - 3 iulie 2022, concurs național studențesc organizat de Facultatea de Inginerie Managerială și Tehnologică, Universitatea din Oradea. Titlul lucrării: ”New Generation". Studenți:  Androne Andreea Daniela, Pițu Bogdan Andrei - III IEDM</t>
  </si>
  <si>
    <t>Coordonare lucrare științifică susținută la AntreprenorING 4.0  - Oradea, 1 - 3 iulie 2022, concurs național studențesc organizat de Facultatea de Inginerie Managerială și Tehnologică, Universitatea din Oradea. Titlul lucrării: ”Future Innovation: SMART Mirror". Studenți:  Vîlcu Ana Roxana, Dolmer Beatrice - III IEDM</t>
  </si>
  <si>
    <t>Coordonare lucrare prezentată la Sesiunea de Comunicări Ştiinţifice - Fac de Inginerie
1. Transporturile turistice cu autorulote - Andreea MARINCA, an IV ITT
2. Studiu privind autonomia autovehiculelor electrice - Mihaela, MUTULECI, Alina PANCIU, Mihai Alexandru ȘTEFAN, an II ITT
3.Analiza înființării unui Circuit Auto Sportiv - Dumitru Bogdan BÎZDÎC, Andrei Ștefan CÂNDEA, Adrian Dumitru GOIA, an II ITT
4. Studiu privind dezvoltarea unui proiect urbanistic sustenabil în domeniul
transportului public de persoane in municipiului Sibiu - Robert Vasile VELICEA, an IV ITT</t>
  </si>
  <si>
    <t>Membru comitetul ştiinţific Sesiune de Comunicări Ştiinţifice, Facultatea de Inginerie</t>
  </si>
  <si>
    <t>Vizite de documentare cu studenţii din anul II şi III - ITT la Stația Sibiu-Triaj (Sud)</t>
  </si>
  <si>
    <t xml:space="preserve">Excursie de studiu si vizita documentare studenti an 3,4 TDDH - Modalitati de subtravesare autostrada si drum national cu conducta de transport gaze naturale; Prezentare componenta si functionalitate statie de reglare masurare. 11 participanti. </t>
  </si>
  <si>
    <t xml:space="preserve">Purcar Carmen </t>
  </si>
  <si>
    <t>Coordonare lucrari prezentate la Sesiunea de Comunicări Ştiinţifice - Fac de Inginerie   1. Tudor BADESCU, an III TCM, Studiu privind masurarea arborilor canelati cu masini de masurat în coordonate,    2. Persida BUNEA, an IV TCM, Studiul preciziei necesare pentru cozile de scule CAPTO,   3. Daniel JAUCA, an IV TCM, Proiectarea unui dispozitiv Poka Yoke pentru asamblarea unor senzori in industria automotive,              4. Adelina SORA, an III ITT, Adrian BUSUIOC, an III ITT, Aspecte privind transportul public de persoane în zona centrală a Sibiului,     5. Claudiu-Mihail PRUNDUREL, an IV ITT, Transportul public de persoane în Sibiu în timpul pandemiei</t>
  </si>
  <si>
    <t>Secretar comitetul ştiinţific Sesiune de Comunicări Ştiinţifice, Facultatea de Inginerie</t>
  </si>
  <si>
    <t xml:space="preserve">Meet the Entrepreneur” realizat de Universitatea Lucian Blaga din Sibiu în colaborare cu Camera de Comerț a Marii Britanii filiala Sibiu. 3.11.2022
Invitatul evenimentului dl. Lucian Fesan Administrator al firmei Parametric Mechanical Design. </t>
  </si>
  <si>
    <t>”Meet the Entrepreneur” realizat de Universitatea Lucian Blaga din Sibiu în colaborare cu Camera de Comerț a Marii Britanii filiala Sibiu. Mihai Balaban, UNIMAT 10.11.2022</t>
  </si>
  <si>
    <t>”Meet the Entrepreneur” realizat de Universitatea Lucian Blaga din Sibiu în colaborare cu Camera de Comerț a Marii Britanii filiala Sibiu. Cosmin SOAITA, Berăria Artizanală Sibiu SRL 17.11.2022</t>
  </si>
  <si>
    <t>”Meet the Entrepreneur” realizat de Universitatea Lucian Blaga din Sibiu în colaborare cu Camera de Comerț a Marii Britanii filiala Sibiu. Sonia POPA, despre PGL si Produs Montan 24.11.2022</t>
  </si>
  <si>
    <t>manifestare științifică studențească membru in comitetul de organizare</t>
  </si>
  <si>
    <t>Sesiunea de comunicari stiintifice studentesti 2022 - coordonare 14 lucrari  din care 10 in cotutela +4 unic autor</t>
  </si>
  <si>
    <t>4 lucrari * 10 puncte + 10 lucrari *10 / 2 coordonatori</t>
  </si>
  <si>
    <t>Studii si cercetări în științe administrative, vol 1, Editura Techno Media, colecție de studii științifice ale studenților Facultății de Drept, știintific, 2022, membru in comitetul știintific</t>
  </si>
  <si>
    <t>"Cercul Stiintific Studentesc de Proprietate Intelectuală de la Universitatea Lucian Blaga din Sibiu", CERC ȘTIINȚIFIC, 1.10.2021-31.07.2022, 37 participanți, 2 grupe, săptămânal, Coordonatorul Cercului cu Girul OSIM București, Sub Marca și sub Egida ULBS în Cadrul Centrului Regional OSIM din Sibiu (cercul științific se desfășoară începând cu anul 2016 și a fost primul de acest fel din România)</t>
  </si>
  <si>
    <t>Coordonare lucrare prezentată la Sesiunea de Comunicări Ştiinţifice - Fac de Inginerie
1. Îmbunătățirea procesului de dezvoltare a unui nou produse - Andreea Mihaela BĂRBUȘIU, an I MC, Andreea Gabriela SAVA, an I MC, Cristian POPA, an I MC
2. Rolul benchmarking-ului în dezvoltarea unui produs inovative - Andreea Mihaela BĂRBUȘIU, an I MC, Andreea Gabriela SAVA, an I MC, Cristian POPA, an I MC</t>
  </si>
  <si>
    <t>Coordonare echipă competiţii studenţeşti internaţionale - International Fair of Innovation an Creative Eucation for Youth, Suceava</t>
  </si>
  <si>
    <t>Concurs studentesc de proiecte HSE2022, membru comitet organizare</t>
  </si>
  <si>
    <t>Sesiunii de Comunicări Științifice Studențesti 2022</t>
  </si>
  <si>
    <t>Concurs studentesc de proiecte HSE2022 - membru în Comisie</t>
  </si>
  <si>
    <t>Concurs studentesc de proiecte HSE2022, membru în comisie</t>
  </si>
  <si>
    <t>Sesiunea studenteasca de comunicari stiintifice, membru comisie</t>
  </si>
  <si>
    <t>Coordonare lucrare studențească (MAGDALENA C. S. ALEXANDRU-LOREN Sistem software defined radio pentru blocarea comunicațiilor în sala de examen)</t>
  </si>
  <si>
    <t>Coordonare lucrare studențească (ISAIU ANDREI Studiu privind acoperirea radio realizată de rețeaua ”ULBS Wireless”)</t>
  </si>
  <si>
    <t>HSE 2022</t>
  </si>
  <si>
    <t>Hackathon SID 2022</t>
  </si>
  <si>
    <t xml:space="preserve">Concurs de proiecte HSE membru comitet stiintific </t>
  </si>
  <si>
    <t>HSE 2022 eveniment stiintific, membru in comitetul de organizare</t>
  </si>
  <si>
    <t>Sesiunea de comunicari stiintifice 2022, Sectiunea X, coordonator lucrare, Dragomir Stefana, Platforma online pt studenti</t>
  </si>
  <si>
    <t>"Sesiunea de comunicari stiintifice studentesti" - 3 iunie 2022; Membru in comisia "XIV - Inginerie electrica si electronica</t>
  </si>
  <si>
    <t>Concurs studentesc de proiecte HSE2022 - Sectiunea Software, membru comitet organizare</t>
  </si>
  <si>
    <t>SESIUNEA DE COMUNICĂRI ŞTIINŢIFICE STUDENŢEŞTI - Secţiunea IX CALCULATOARE SI TEHNOLOGIA INFORMAŢIEI, membru comitet organizare</t>
  </si>
  <si>
    <t>Concurs studentesc de proiecte HSE2022 - coordonare lucrare 1 student</t>
  </si>
  <si>
    <t>SESIUNEA DE COMUNICĂRI ŞTIINŢIFICE STUDENŢEŞTI - coordonare lucrare 1 student</t>
  </si>
  <si>
    <t>pregătirea elevilor pentru bacalaureat</t>
  </si>
  <si>
    <t>Concursul HSE 2022, membru in comisia de evaluare</t>
  </si>
  <si>
    <t>Sesiunea de Comunicari Științifice 2022, membru in comisia de evaluare</t>
  </si>
  <si>
    <t>concursul HSE2022, eveniment stiintific, 13.05.2022, ora 9:00, 60 participanti, membru in comitetul stiintific de evaluare</t>
  </si>
  <si>
    <t>concursul HSE2022, eveniment stiintific, 13.05.2022, ora 9:00, 60 participanti, coordonare lucrare studenteasca prezentata la conferinta, Stroila Mihai-Liviu, Interfata wireless pentru ModBus, Locul 1, sectiunea Harware studenti.</t>
  </si>
  <si>
    <t>concursul HSE2022, eveniment stiintific, 13.05.2022, ora 9:00, 60 participanti, coordonare lucrare studenteasca prezentata la conferinta, Pitigoi Gheorghe, Studiu …Agricultura, sectiunea Harware studenti.</t>
  </si>
  <si>
    <t>SESIUNEA DE COMUNICĂRI ŞTIINŢIFICE STUDENŢEŞTI, sectiunea XIII INGINERIE ELECTRICĂ SI ELECTRONICĂ, Presedinte sectiune</t>
  </si>
  <si>
    <t>Studiu asupra unor senzori distribuiți cu aplicații in agricultura, Gheorghe-Cosmin PIȚIGOI, an IV, Electronică Aplicată</t>
  </si>
  <si>
    <t>Convertor wireless pentru Modbus RS485, Liviu STROILĂ, an IV, Electronică Aplicată</t>
  </si>
  <si>
    <t>Organizator concusul studețesc ”Hardware and Software Engineering 2022”</t>
  </si>
  <si>
    <t>Fing2</t>
  </si>
  <si>
    <t>Membru in comisia de la Sesiunea de comunicari stiintifice studentesti</t>
  </si>
  <si>
    <t>Marius-Andrei RAȚIU, Filtrarea automată a știrilor pe baza profilului utilizator, Sesiunea de comunicari stiintifice studentesti</t>
  </si>
  <si>
    <t>Petelează Darius, Guess the Sketch, HSE2022</t>
  </si>
  <si>
    <t>Membru comitet științific HSE</t>
  </si>
  <si>
    <t>Organizator: 1st Summit of IEEE EPS&amp;NTC Student Branch Chapters, 12 sept. 2022, Sibiu https://sites.google.com/ulbsibiu.ro/sbc-summit</t>
  </si>
  <si>
    <t>Sesiunea studenteasca de comunicari stiintifice ca membru in comisie</t>
  </si>
  <si>
    <t>Lucrare Sesiunea studenteasca de comunicari stiintifice,
Secțiunea IX:
Determinarea pulsului și problemelor de ritm cardiac folosind înregistrări EKG
Lidia-Dorotheea FAUR, an IV Calculatoare</t>
  </si>
  <si>
    <t>Advisor: IEEE Student Branch ULBS (STB60031668) &amp; Electronics Packaging Society (EPS) Student Branch Chapter (SBC) ULBS</t>
  </si>
  <si>
    <t>Organizator: 1st Summit of IEEE EPS&amp;NTC Student Branch Chapters, 12 sept. 2022, Sibiu</t>
  </si>
  <si>
    <t>Pregatire Bacalaureat 18.02; 26.02; 26.03; 28.05</t>
  </si>
  <si>
    <t>Membru juriu: Concurs Smart Factory Romania (tema: statie meteo autonoma)</t>
  </si>
  <si>
    <t>Membru comisie: Sesiunea studenteasca de comunicari stiintifice</t>
  </si>
  <si>
    <t>Membru comitet stiintific: Concurs HSE</t>
  </si>
  <si>
    <t>SESIUNEA DE COMUNICĂRI ŞTIINŢIFICE STUDENŢEŞTI, sectiunea XIV INGINERIE ELECTRICĂ SI ELECTRONICĂ, Presedinte sectiune</t>
  </si>
  <si>
    <t>Determinarea caracteristicilor motoarelor brushless cu rotor interior, IACH Paul Beniamin, an IV EM</t>
  </si>
  <si>
    <t>CONCURSULUI STUDENTESC DE PROIECTE “Hardware and Software Engineering 2022” - HSE 2022, membru în Comisia organizare HSE 2019 (Joi 26 mai 2022, Vineri 27 mai 2022)</t>
  </si>
  <si>
    <t>Sesiunea de comunicari stiintifice studentesti, Sibiu, 2022</t>
  </si>
  <si>
    <t>Sesiune Stiintifica Facultatea de Inginerie Mai 2022 - membru în comitetul de organizare</t>
  </si>
  <si>
    <t xml:space="preserve"> Coordonare cerc științific studențesc Rezistenta materialelor</t>
  </si>
  <si>
    <t>Sesiunea de comunicări științifice studențești, 03 iunie 2022, Presedinte comisie "Secţiunea VIII MECATRONICĂ ŞI ROBOŢI"</t>
  </si>
  <si>
    <t>Sesiunea de comunicări științifice studențești, 03 iunie 2022, coordonare lucrare "2. Studiu analitic si numeric pentru un angrenaj roti dintate", studenti Balasoiu Cristina - An 3 IEDM
Cebuc Silvia - An 3 IEDM, conducator stiintific Conf. dr. ing. Avrigean Eugen</t>
  </si>
  <si>
    <t>Sesiunea de comunicări științifice studențești, 03 iunie 2022, coordonare lucrare "5.Studiu analitic si numeric pentru un angrenaj roti dințate", studenti Cristina BĂLĂȘOIU, an III IEDM
Silvia CEBUC, an III IEDM, conducator stiintific Conf. dr. ing. Avrigean Eugen</t>
  </si>
  <si>
    <t xml:space="preserve">Sesiunea de Comunicări Științifice Studențești 2022, secretar comisie secțiunea IV, BPM </t>
  </si>
  <si>
    <t>Concursul de Roboți Mobili</t>
  </si>
  <si>
    <t>Sesiunea de comunicări științifice studențești, 03 iunie 2022, secretar comisie "Secţiunea VIII MECATRONICĂ ŞI ROBOŢI"</t>
  </si>
  <si>
    <t>Sesiunea de comunicări științifice studențești, 03 iunie 2022, coordonare lucrare "Studiul și proiectarea unei platforme mobile utilizate în agricultură", student Andrei Neagu (an 4 Robotica), conducator stiintific Conf.dr.ing. Ilie POPP, Asist. dr. ing. Alexandru BÂRSAN</t>
  </si>
  <si>
    <t>Sesiunea de comunicări științifice studențești, 03 iunie 2022, coordonare lucrare "8.Studiul și proiectarea unui sistem de monitorizare, avertizare și acționare dintr-o locuință", student Emanuel BÂLC (an III MEC), Alexandru DAN (an III MEC), Fabian IENCIU (an III MEC), conducator stiintific Asist. dr. ing. Alexandru BÂRSAN</t>
  </si>
  <si>
    <t>Sesiunea de comunicări științifice studențești, 03 iunie 2022, coordonare lucrare "Studiul și proiectarea unui robot hexapod", student Cristian Ștefan GHEORGHIU (an 4 Robotica), conducator stiintific Ș. L. dr. ing. Mihai CRENGANIȘ, Asist. dr. ing. Alexandru BÂRSAN</t>
  </si>
  <si>
    <t>Sesiunea de comunicări științifice studențești, 03 iunie 2022, coordonare lucrare "Studiul și proiectarea unui robot destinat industriei HoReCa",student Karol Daniel BANDI(an 4 Robotica), conducator stiintific Conf. dr. ing. Claudia GÎRJOB, Asist. dr. ing. Alexandru BÂRSAN</t>
  </si>
  <si>
    <t>Sesiunea de comunicări științifice studențești, 03 iunie 2022, coordonare lucrare "11.Proiectarea unei platforme de tip rover", student Delia LELUȚIU (an 4 Robotica), conducator stiintific Ș. L. dr. ing. Mihai CRENGANIȘ, Asist. dr. ing. Alexandru BÂRSAN</t>
  </si>
  <si>
    <t>Sesiunea de comunicări științifice studențești, 03 iunie 2022, coordonare lucrare "12.Proiectarea unui vehicul ghidat automat pentru servicii de livrare la domiciliu", student Pavel Cătălin PĂTRAȘCU (an 4 Robotica), conducator stiintific Prof. dr. ing. Gabriel Racz, Asist. dr. ing. Alexandru BÂRSAN</t>
  </si>
  <si>
    <t>Sesiunea de comunicări științifice studențești, 03 iunie 2022, coordonare lucrare "13.Sistem de autorizare acces în locuință - SmartLock", student Murat HOROZ (an III MEC EN), Ioan TURC  (an III MEC EN), Alexandru BUNEA (an III MEC EN), conducator stiintific  Asist. dr. ing. Alexandru BÂRSAN</t>
  </si>
  <si>
    <t>Sesiunea de comunicări științifice studențești, 03 iunie 2022, coordonare lucrare "14.Sistem de asistență și siguranță pentru șofer", student George Cătălin NICODIN (an III MEC), Ionuț Valentin PĂRĂU (an III MEC), Radu GROVU (an III MEC), conducator stiintific Asist. dr. ing. Alexandru BÂRSAN</t>
  </si>
  <si>
    <t>Concursul de roboti mobili - powered by Marquardt (ediția a V-a, etapa I), 3 mai 2022, 71 de participanti, membru in comitetul de organizare</t>
  </si>
  <si>
    <t>Concursul de roboti mobili - powered by Marquardt (ediția a V-a, etapa a II-a), 17 mai 2022, 71 de participanti, membru in comitetul de organizare</t>
  </si>
  <si>
    <t>Sesiunea de comunicari stiintifice studentesti - membru secțiunea VIII, Mecatronică și Roboți</t>
  </si>
  <si>
    <t>Lucrare sesiunea de comunicari stiintifice studentesti</t>
  </si>
  <si>
    <t>5*10</t>
  </si>
  <si>
    <t>Sesiunea de comunicări ştiinţifice studenţeşti, 2022, președinte secțiunea VIII, Mecatronică și Roboți</t>
  </si>
  <si>
    <t>Sesiunea de comunicări ştiinţifice studenţeşti, 2022, membru secțiunea VII, Mașini, utilaje șI automatizarea proceselor tehnologice</t>
  </si>
  <si>
    <t>Lucrare sesiunea de comunicari stiintifice studentesti: sec'iunea Secţiunea XIV: INGINERIE ELECTRICA SI ELECTRONICA – ELECTROMECANICĂ, sala IE 206, Studiul şi proiectarea unui sistem electropneumatic de manipulare piese, Student Chicioroagă NichitaTraian an IIIEM</t>
  </si>
  <si>
    <t>Lucrare concursul de proiecte din domeniul Calculatoare și Ingineriei Calculatoarelor HSE2022, Sibiu 26.05-27.05.2022, Studiul şi proiectarea unui sistem electromecanic de schimbare automată a sensului de deplasare a unității de lucru cu automat programabil, Student Chicioroagă NichitaTraian an IIIEM</t>
  </si>
  <si>
    <t>Sesiunea de comunicări ştiinţifice studenţeşti, 2022, membru secțiunea VII, Mașini, utilaje și automatizarea proceselor tehnologice</t>
  </si>
  <si>
    <t>Concursul de Roboti mobili</t>
  </si>
  <si>
    <t xml:space="preserve">Sesiunea de comunicări ştiinţifice studenţeşti, 2022, membru secțiunea IV , Bazele Proiectarii Masinilor </t>
  </si>
  <si>
    <t>1*10</t>
  </si>
  <si>
    <t>“CONCURS STUDENŢESC NAȚIONAL EXTRACURRICULAR TEHNICO–ŞTIINŢIFIC: Grafică Inginerească cu AutoCAD”</t>
  </si>
  <si>
    <t>Organizare prezentare SC SOMAREST SRL la Facultatea de inginerie 13.01.2022</t>
  </si>
  <si>
    <t>15 sept. 2021 – Vizită de documentare S.C. Somarest Avrig</t>
  </si>
  <si>
    <t xml:space="preserve">19 ianuarie 2022 - Vizită de documentare la S.C. Print Center Sibiu </t>
  </si>
  <si>
    <t>Vizita de documentare cu studentii la SC SOMAREST SRL 11.04.2022</t>
  </si>
  <si>
    <t>Vizita de documentare cu studentii la SC SOMAREST SRL 25.05.2022</t>
  </si>
  <si>
    <t>Sesiunea de comunicări ştiinţifice studenţeşti, 2022, presedinte comisie Secţiunea XV: TEHNOLOGII TEXTILE</t>
  </si>
  <si>
    <t>2*10</t>
  </si>
  <si>
    <t>Sesiunea de comunicări științifice studențești, 2022, membru secțiunea XV, Tehnologii Textile</t>
  </si>
  <si>
    <t>Lucrare sesiunea de comunicări științifice sudențești</t>
  </si>
  <si>
    <t>3*10</t>
  </si>
  <si>
    <t>Participare vizită documentare cu studenții TTC și IEI la societatea SC Somarest Cisnădie SRL, 25.05.2022, 19 participanți</t>
  </si>
  <si>
    <t>Participare vizită documentare cu studenții TTC la societatea PrintCenter Sibiu (SC Print Ideea SRL Sibiu), 09.03. 2022, 10 participan'ți</t>
  </si>
  <si>
    <t>Participare vizită de studii cu studenții TTC și IEI la societatea Minet Conf SA Râmnicu -Vâlcea, 15.03. 2022, 25 participan'ți</t>
  </si>
  <si>
    <t xml:space="preserve">coordonare cerc stiintific studentesc "Managementul proiectelor investitionale" </t>
  </si>
  <si>
    <t>Sesiunea de comunicări ştiinţifice studenţeşti, 2022, membru secțiunea VIII, Mecatronică și Roboți</t>
  </si>
  <si>
    <t>vizita de documentare cu studenții S.C. Somarest Cisnădie, 11.04.-12.04.2022</t>
  </si>
  <si>
    <t>8 x 2</t>
  </si>
  <si>
    <t>Coordonare cerc stiintific studentesc de Grafica asistata de calculator</t>
  </si>
  <si>
    <t>Lucrare la sesiunea de comunicari stiintifice studentrsti</t>
  </si>
  <si>
    <t>Sesiunea de comunicări științifice studențești, 03 iunie 2022, secretar comisie Secţiunea VII: MASINI, UTILAJE ȘI AUTOMATIZAREA PROCESELOR TEHNOLOGICE</t>
  </si>
  <si>
    <t>Sesiune comunicari stiintifice studentesti, Membru in comitet stiintific</t>
  </si>
  <si>
    <t>Sesiune comunicari stiintifice studentesti, Coordonare lucrare studenteasca prezentata la conferinta</t>
  </si>
  <si>
    <t>Sesiunea de Comunicari Stiintifice Studențești 2022 - Facultatea de Inginerie, 03 iunie 2022 - organizator principal</t>
  </si>
  <si>
    <t>Coordonare lucrare studențească, Secţiunea V: Tehnologia construcțiilor de mașini și tehnologii neconvenționale, Studiu comparativ prin metoda elementului finit asupra modurilor proprii de vibrație și a vibrațiilor libere aleatorii pentru o unitate de control transmisie, autor Andreea Melania Olaru, an IV TCM</t>
  </si>
  <si>
    <t>Coordonare lucrare studențească, Secţiunea VII: Mașini, utilaje si automatizarea proceselor tehnologice, Studiu privind reducerea greutății autovehiculelor prin utilizarea
materialelor compozite. Analiza structurală a comportării reperului braț de control inferior, autoare Andra VASILCA, an II SCCCDP, Delia VASILCA, an II SCCCDP</t>
  </si>
  <si>
    <t>Coordonare lucrare studențească, Secţiunea VII: Mașini, utilaje si automatizarea proceselor tehnologice, Simularea prin metoda elementului finit a comportării la
ambutisare a tablelor sudate, autoare Delia VASILCA, an II SCCCDP, Andra VASILCA, an II SCCCDP</t>
  </si>
  <si>
    <t>Sesiunea de comunicari stiintifice studentesti 03.06.2022, presedinte comisie sect. VII</t>
  </si>
  <si>
    <t xml:space="preserve">Concursul de roboti mobili - powered by Marquardt (ediția a V-a, etapa I), 3 mai 2022, 71 de participanti, organizator principal </t>
  </si>
  <si>
    <t xml:space="preserve">Concursul de roboti mobili - powered by Marquardt (ediția a V-a, etapa a II-a), 17 mai 2022, 71 de participanti, organizator principal </t>
  </si>
  <si>
    <t>Sesiunea de comunicări ştiinţifice studenţeşti, 2022, membru secțiunea XV, Tehnologii Textile</t>
  </si>
  <si>
    <t>Lucrari coordonate sesiunea de comunicari stiintifice studentesti</t>
  </si>
  <si>
    <t>9*10</t>
  </si>
  <si>
    <t>13 ianuarie 2022 – prezentare companie Somarest – mobilizare studenți + logistică, în cadrul facultății de Inginerie</t>
  </si>
  <si>
    <t>Excursie de studii - MinetConf, Râmnicu Vâlcea - studenti IEI + TTC - 15.03.2022</t>
  </si>
  <si>
    <t>Excursie de studii - RomTap Cisnădie - studenți IEI + TTC - 05.04.2022</t>
  </si>
  <si>
    <t>Excursie de studii - Somarest Cisnadie - studenți IEI + TTC _11-12.04.2022</t>
  </si>
  <si>
    <t>Participare vizita de documentare cu studenții TTC la societatea PrintCenter Sibiu, 9.03.2022, 10 participanti</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</si>
  <si>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</si>
  <si>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</si>
  <si>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</si>
  <si>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</si>
  <si>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b/>
        <sz val="10"/>
        <color rgb="FF000000"/>
        <rFont val="Arial Narrow"/>
      </rPr>
      <t>*Punctaje de referință:</t>
    </r>
    <r>
      <rPr>
        <sz val="10"/>
        <color rgb="FF000000"/>
        <rFont val="Arial Narrow"/>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b/>
        <sz val="10"/>
        <color rgb="FF000000"/>
        <rFont val="Arial Narrow"/>
      </rPr>
      <t>coordonator/ beneficiar</t>
    </r>
    <r>
      <rPr>
        <sz val="10"/>
        <color rgb="FF000000"/>
        <rFont val="Arial Narrow"/>
      </rPr>
      <t xml:space="preserve"> al proiectului, se aplică un </t>
    </r>
    <r>
      <rPr>
        <b/>
        <sz val="10"/>
        <color rgb="FF000000"/>
        <rFont val="Arial Narrow"/>
      </rPr>
      <t>coeficient de multiplicare de 2.</t>
    </r>
    <r>
      <rPr>
        <sz val="10"/>
        <color rgb="FF000000"/>
        <rFont val="Arial Narrow"/>
      </rPr>
      <t xml:space="preserve">
</t>
    </r>
  </si>
  <si>
    <t>Buget ULBS</t>
  </si>
  <si>
    <t>Proiect Green Engineering - Construire Stație Meteo pentru determinari ai parametrilor de mediu si schimbări climatice</t>
  </si>
  <si>
    <t xml:space="preserve">Competitie activitati extracurriculare </t>
  </si>
  <si>
    <t>Competente academice pentru invatamantul digital si blended learning (Dezvoltarea platformei TeachOn: https://proiecte.ulbsibiu.ro/teachon/teachon/) (DIGI-EDU21, val.:399.950lei)</t>
  </si>
  <si>
    <t>UEFIS-CDI</t>
  </si>
  <si>
    <t>Andron Daniela Roxana</t>
  </si>
  <si>
    <t>https://proiecte.ulbsibiu.ro/teachon/teachon/</t>
  </si>
  <si>
    <t>ULBS și piața muncii: dezvoltarea în mediul educațional a unor competențe corelate cu cerințele pieței muncii", (Dezvoltarea platformei SmartHUB: https://proiecte.ulbsibiu.ro/smarthub/) cod CNFlS-FDI-2022- 0279, cod COR 25290, de (06.04.2022 - 15.12.2022)</t>
  </si>
  <si>
    <t>CNFlS-FDI-2022- 0279</t>
  </si>
  <si>
    <t>Marius Milcu</t>
  </si>
  <si>
    <t>https://proiecte.ulbsibiu.ro/smarthub/</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</si>
  <si>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</si>
  <si>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</si>
  <si>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</si>
  <si>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b/>
        <sz val="10"/>
        <color rgb="FF000000"/>
        <rFont val="Arial Narrow"/>
      </rPr>
      <t>*Punctaje de referință:</t>
    </r>
    <r>
      <rPr>
        <sz val="10"/>
        <color rgb="FF000000"/>
        <rFont val="Arial Narrow"/>
      </rPr>
      <t xml:space="preserve">
•      50 p./mobilitate;
</t>
    </r>
  </si>
  <si>
    <t>Informații complete despre mobilitatea efectuată (tip de mobilitate, instituția gazdă, localitatea, țara, perioada mobilității)</t>
  </si>
  <si>
    <t xml:space="preserve"> Mobilitate CEEPUS  RS 0304  2122  nr. 151365 University of Szeged, Faculty of Engineering , 21.03.2022 - 25.03.2022</t>
  </si>
  <si>
    <t>Mobilitate de predare STT. Univesity of Malaga, Malaga, Spania, mai 2022.</t>
  </si>
  <si>
    <t>CEEPUS, NETWORK M-RS-0304-2122-153909, University of Szeged, Faculty of Engineering, Hungary, 21.03-25.03.2022</t>
  </si>
  <si>
    <t>ERASMUS, ISTRIAN UNIVERSITY OF APPLIED SCIENCES, Croatia, 25-29.05.2023</t>
  </si>
  <si>
    <t>ERASMUS NON UE, UNIVERISTY OF MONTENEGRO PODGORICA, 01-07.2022</t>
  </si>
  <si>
    <t>ERASMUS, UNIVERISTY OF SZEGED, FACULTY OF ENGINEERING, 20.09.2021-24.09.2021</t>
  </si>
  <si>
    <t>Erasmus+ STT, Universitatea La Laguna, Tenerife, Spania, 5-12 sept 2022</t>
  </si>
  <si>
    <t>STA, Erciyes University, Kayseri, Turcia, 21-27 aprilie 2022</t>
  </si>
  <si>
    <t>STT, Universidad de LaLaguna San Cristobal, Spania, 05-12.09.2023</t>
  </si>
  <si>
    <t xml:space="preserve">STA, Universita degli Studi di Napoli Federico II, Napoli, Italia, Blended mobility of higher education students, 27.11.2022 – 5.12.2022 </t>
  </si>
  <si>
    <t>STT, 20 – 24 septembrie 2022, deplasarea la Universita degli Studi di Napoli  Federico II (UNINA) din Italia</t>
  </si>
  <si>
    <t xml:space="preserve">ERASMUS +, 24 mai - 28 mai 2022, UNIVERSIDAD DE MALAGA (UMA), Malaga, Spania </t>
  </si>
  <si>
    <t>STT mobility, Yeni Yuzyil University, Turcia, Maltepe Mahallesi, Yılanlı Ayazma Caddesi, No: 26 P.K. 34010 Cevizlibağ / Zeytinburnu / İstanbul 24-28.10.2022</t>
  </si>
  <si>
    <t xml:space="preserve">STOICA AUGUSTIN </t>
  </si>
  <si>
    <t xml:space="preserve">TRANSNATIONAL PROJECT MECTING ERASMUS+, Nr. 20-201-075989-KA2-SE-16A </t>
  </si>
  <si>
    <t>Erasmus+ STT, Universite Cote d'Azur, Nice, France, 15-21.05.2022</t>
  </si>
  <si>
    <t>Erasmus 20-26 sept 2022, Ungaria, University of Szeghed</t>
  </si>
  <si>
    <t>Erasmus+ STT, Universitatea Cote d'Azur, Sophia Antipolis, Franța, 16.05 - 20.05.2022</t>
  </si>
  <si>
    <t>Mobilitate CEEPUS de 5 zile în martie 2022 la Universitatea din Szeged, Ungaria</t>
  </si>
  <si>
    <t>Mobilitate Erasmus+ de tip STA de 7 zile în septembrie 2022 la Universitatea din Szeged, Ungaria</t>
  </si>
  <si>
    <t>STT, Universite de NICE, Nisa, Franta, 16-21 mai 2022</t>
  </si>
  <si>
    <t xml:space="preserve">24 - 28 mai 2022, Erasmus+, STT, Universidad de Malaga (UMA), Spania  </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</si>
  <si>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</si>
  <si>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</si>
  <si>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</si>
  <si>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</si>
  <si>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</si>
  <si>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sz val="10"/>
        <color rgb="FF000000"/>
        <rFont val="Arial Narrow"/>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b/>
        <sz val="10"/>
        <color rgb="FF000000"/>
        <rFont val="Arial Narrow"/>
      </rPr>
      <t>coeficient de multiplicare de 2.</t>
    </r>
  </si>
  <si>
    <r>
      <rPr>
        <b/>
        <sz val="10"/>
        <color rgb="FF000000"/>
        <rFont val="Arial Narrow"/>
      </rPr>
      <t>*Punctaje de referință:</t>
    </r>
    <r>
      <rPr>
        <sz val="10"/>
        <color rgb="FF000000"/>
        <rFont val="Arial Narrow"/>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</si>
  <si>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</si>
  <si>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</si>
  <si>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rPr>
        <sz val="10"/>
        <color rgb="FF000000"/>
        <rFont val="Arial Narrow"/>
      </rPr>
      <t xml:space="preserve">La activitățile de </t>
    </r>
    <r>
      <rPr>
        <b/>
        <sz val="10"/>
        <color rgb="FF000000"/>
        <rFont val="Arial Narrow"/>
      </rPr>
      <t>formare</t>
    </r>
    <r>
      <rPr>
        <sz val="10"/>
        <color rgb="FF000000"/>
        <rFont val="Arial Narrow"/>
      </rPr>
      <t>, se punctează doar activitățile la care cadrul didactic a participat la solicitarea instituției; nu se punctează activitățile de dezvoltare personală;</t>
    </r>
  </si>
  <si>
    <r>
      <rPr>
        <sz val="10"/>
        <color rgb="FF000000"/>
        <rFont val="Arial Narrow"/>
      </rPr>
      <t xml:space="preserve">La activitățile de </t>
    </r>
    <r>
      <rPr>
        <b/>
        <sz val="10"/>
        <color rgb="FF000000"/>
        <rFont val="Arial Narrow"/>
      </rPr>
      <t>promovare</t>
    </r>
    <r>
      <rPr>
        <sz val="10"/>
        <color rgb="FF000000"/>
        <rFont val="Arial Narrow"/>
      </rPr>
      <t>, pentru vizitele de promovare, punctajul/zi se împarte la membrii echipei, dacă vizita s-a desfășurat în Sibiu și se acordă fiecărui membru al echipei dacă a acut loc în afara localității;</t>
    </r>
    <r>
      <rPr>
        <sz val="10"/>
        <color rgb="FF000000"/>
        <rFont val="Arial Narrow"/>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</si>
  <si>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sz val="10"/>
        <color rgb="FF000000"/>
        <rFont val="Arial Narrow"/>
      </rPr>
      <t xml:space="preserve">La </t>
    </r>
    <r>
      <rPr>
        <b/>
        <sz val="10"/>
        <color rgb="FF000000"/>
        <rFont val="Arial Narrow"/>
      </rPr>
      <t>activități administrative</t>
    </r>
    <r>
      <rPr>
        <sz val="10"/>
        <color rgb="FF000000"/>
        <rFont val="Arial Narrow"/>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</si>
  <si>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sz val="10"/>
        <color rgb="FF000000"/>
        <rFont val="Arial Narrow"/>
      </rPr>
      <t xml:space="preserve">La </t>
    </r>
    <r>
      <rPr>
        <b/>
        <sz val="10"/>
        <color rgb="FF000000"/>
        <rFont val="Arial Narrow"/>
      </rPr>
      <t>Alte activități-suport,</t>
    </r>
    <r>
      <rPr>
        <sz val="10"/>
        <color rgb="FF000000"/>
        <rFont val="Arial Narrow"/>
      </rPr>
      <t xml:space="preserve"> punctajele se acordă cu acordul Consiliului Departamentului.</t>
    </r>
  </si>
  <si>
    <r>
      <rPr>
        <b/>
        <sz val="10"/>
        <color rgb="FF000000"/>
        <rFont val="Arial Narrow"/>
      </rPr>
      <t>*Punctaje de referință:</t>
    </r>
    <r>
      <rPr>
        <sz val="10"/>
        <color rgb="FF000000"/>
        <rFont val="Arial Narrow"/>
      </rPr>
      <t xml:space="preserve">
a) </t>
    </r>
    <r>
      <rPr>
        <b/>
        <sz val="10"/>
        <color rgb="FF000000"/>
        <rFont val="Arial Narrow"/>
      </rPr>
      <t>Formare:</t>
    </r>
    <r>
      <rPr>
        <sz val="10"/>
        <color rgb="FF000000"/>
        <rFont val="Arial Narrow"/>
      </rPr>
      <t xml:space="preserve">
 •       participarea la workshopuri, seminare, programe de formare profesională: 8 p./zi
b) </t>
    </r>
    <r>
      <rPr>
        <b/>
        <sz val="10"/>
        <color rgb="FF000000"/>
        <rFont val="Arial Narrow"/>
      </rPr>
      <t>Promovare:</t>
    </r>
    <r>
      <rPr>
        <sz val="10"/>
        <color rgb="FF000000"/>
        <rFont val="Arial Narrow"/>
      </rPr>
      <t xml:space="preserve">
•       vizite de promovare a ofertei educaționale a ULBS în licee: 8 p./zi
•       realizarea de materiale promoționale cu oferta ULBS: 50 p.
•       coordonator acțiuni de promovare la nivelul departamentului/facultății: 20 p. </t>
    </r>
    <r>
      <rPr>
        <b/>
        <sz val="10"/>
        <color rgb="FF000000"/>
        <rFont val="Arial Narrow"/>
      </rPr>
      <t xml:space="preserve">
</t>
    </r>
    <r>
      <rPr>
        <sz val="10"/>
        <color rgb="FF000000"/>
        <rFont val="Arial Narrow"/>
      </rPr>
      <t xml:space="preserve">c) </t>
    </r>
    <r>
      <rPr>
        <b/>
        <sz val="10"/>
        <color rgb="FF000000"/>
        <rFont val="Arial Narrow"/>
      </rPr>
      <t>Activități administrative:</t>
    </r>
    <r>
      <rPr>
        <sz val="10"/>
        <color rgb="FF000000"/>
        <rFont val="Arial Narrow"/>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b/>
        <sz val="10"/>
        <color rgb="FF000000"/>
        <rFont val="Arial Narrow"/>
      </rPr>
      <t>Alte activități-suport:</t>
    </r>
    <r>
      <rPr>
        <sz val="10"/>
        <color rgb="FF000000"/>
        <rFont val="Arial Narrow"/>
      </rPr>
      <t xml:space="preserve">
•       max. 100 p. 
</t>
    </r>
  </si>
  <si>
    <t>Informații complete despre activitatea suport (tipul, denumirea, perioada desfășurării)</t>
  </si>
  <si>
    <t>verificare raportare SIEPAS, targuri educationale, Admitere, etc</t>
  </si>
  <si>
    <t>Alte activitati</t>
  </si>
  <si>
    <t>Membru Comisie suport tehnic Admitere 04-15.07.2022</t>
  </si>
  <si>
    <t>Alte activități suport</t>
  </si>
  <si>
    <t>Participarea la admitere</t>
  </si>
  <si>
    <t>8p/zi * 3 zile</t>
  </si>
  <si>
    <t>Participare acțiuni de promovare</t>
  </si>
  <si>
    <t>Participare la alte activități-suport: menținerea acreditării specializării IEDM; participare la realizarea orarului</t>
  </si>
  <si>
    <t>Coordonator program postuniversitar</t>
  </si>
  <si>
    <t>Promovare liceu Agnita</t>
  </si>
  <si>
    <t>vizite de promovare a ofertei educaționale a ULBS în licee (Liceul din Victoria)</t>
  </si>
  <si>
    <t>8 x 1</t>
  </si>
  <si>
    <t>Activitati suport</t>
  </si>
  <si>
    <t>Participare la realizarea orarului</t>
  </si>
  <si>
    <t>Alte activități-suport: participarea în comisii de evaluare a raportării SIEPAS etc.</t>
  </si>
  <si>
    <t>Alte activități-suport</t>
  </si>
  <si>
    <t>Activități administrative la nivel de departament și gestionare documente raportare CNFIS</t>
  </si>
  <si>
    <t xml:space="preserve">FING 3 </t>
  </si>
  <si>
    <t>Alte Activități suport - membru Evaluare program licență IEDM 2022, martie 2022.</t>
  </si>
  <si>
    <t>Alte Activități suport - membru comisie evaluare SIEPAS 2021, aprilie 2022.</t>
  </si>
  <si>
    <t>Admitere sesiunea de vară - asistență</t>
  </si>
  <si>
    <t>Atelier - 
Interdisciplinaritate și evaluare în cercetarea matematică – partea I sustinut de domnul prof. univ. dr. Laurian Suciu; 2 noiembrie 2022;</t>
  </si>
  <si>
    <t>Atelier - 
Interdisciplinaritate și evaluare în cercetarea matematică – partea I sustinut de domnul prof. univ. dr. Laurian Suciu; 9 noiembrie 2022;</t>
  </si>
  <si>
    <t>Atelier-Culegerea datelor sociale prin 
metodologii calitative: interviul susținut de domnul conf. univ. dr. Alin Croitoru; 10 noiembrie 2022</t>
  </si>
  <si>
    <t>Atelierul Automatizarea 
utilizarii instrumentelor MS Office este sustinut de domnul s.l. dr. Antoniu Pitic; 25 octombrie 2022</t>
  </si>
  <si>
    <t>Atelierul "Cautarea si gestionarea 
resurselor bibliografice" va fi sustinut de s.l.dr. Antoniu Pitic; 1 noiembrie 2022.</t>
  </si>
  <si>
    <t>Atelierul "Utilizarea aplicatiei 
VosViewer pentru crearea hărților de rețea" va fi sustinut de domnul prof.univ.dr. Marian Cristescu, 10 noiembrie 2022</t>
  </si>
  <si>
    <t>Atelierul "Utilizarea aplicatiei 
EViews pentru analiza statisctica a datelor, estimare si prognoza" va fi sustinut de domnul prof.univ.dr. Marian Cristescu, 3 noiembrie 2022.</t>
  </si>
  <si>
    <t>Atelierul "Utilizarea aplicatiei 
Zotero pentru colectare, administrarea si citarea referintelor bibliografice" va fi sustinut de domnul prof.univ.dr. Marian Cristescu, 10 noiembrie 2022</t>
  </si>
  <si>
    <t>Curs Design Thinking - 
ULBS D-School; 5 zile: 11,18,25 noiembrie, 9,16 decembrie 2022.</t>
  </si>
  <si>
    <t>Activitati administrative la nivel de departament, coordonare generală</t>
  </si>
  <si>
    <t>Fălădău Alina</t>
  </si>
  <si>
    <t>Alte activitati suport</t>
  </si>
  <si>
    <t>Realizare de materiale promotionale pentru programul de Master Managementul Calitatii</t>
  </si>
  <si>
    <t>Promovare la companii a programului de Master Managementul Calitatii</t>
  </si>
  <si>
    <t>realizare și gestionare site centru cercetare:Research Center for Sustainable Products and Processes http://centers.ulbsibiu.ro/ccpps/</t>
  </si>
  <si>
    <t>Activitatate promovare admitere 2022- postare Facebook</t>
  </si>
  <si>
    <t>membru comisia de admitere Calculatoare-sesiunea iulie 2023</t>
  </si>
  <si>
    <r>
      <rPr>
        <sz val="10"/>
        <color theme="1"/>
        <rFont val="Arial Narrow"/>
      </rPr>
      <t xml:space="preserve">Vizită de promovare a ofertei educaționale a ULBS în licee, 10-11 mai 2022, </t>
    </r>
    <r>
      <rPr>
        <b/>
        <sz val="10"/>
        <color theme="1"/>
        <rFont val="Arial Narrow"/>
      </rPr>
      <t>8 pct. x 2</t>
    </r>
  </si>
  <si>
    <t>Membru Comisie suport tehnic Admitere 04-15.07.2022 (10 zile)</t>
  </si>
  <si>
    <t xml:space="preserve"> Mutiu Nicolae Calin</t>
  </si>
  <si>
    <t>Promovare</t>
  </si>
  <si>
    <t>Alte activități suport - Activități administrative în cadrul departamentului, Elaborarea documentației pentru Acreditarea specializării TCM, Capitolul 3 - capitolul privind angajabilitatea si continuarea studiilor absolvenților</t>
  </si>
  <si>
    <t>Coordonator acțiuni de promovare la nivelul facultății</t>
  </si>
  <si>
    <t>Gestionarea paginii de social media a facultății</t>
  </si>
  <si>
    <t>VIZITE PROMOVARE OFERTA EDUCATIONALA FACULTATEA DE INGINERIE</t>
  </si>
  <si>
    <t>REALIZARE MATERIALE PROMOTIONALE FACULTATEA DE INGINERIE DEP. IIM</t>
  </si>
  <si>
    <t>PARTICIPARE ADMITERE</t>
  </si>
  <si>
    <t>Alte activitati suport - Participare comisii ARACIS</t>
  </si>
  <si>
    <t>Admitere, Comisia de validare dosare, 4-15.07.2022</t>
  </si>
  <si>
    <t>subcomisia de suport tehnic, admitere 2022</t>
  </si>
  <si>
    <t>alte activitati suport</t>
  </si>
  <si>
    <t>Utilizarea aplicatiei EViews pentru analiza statisctica a datelor, estimare si prognoza</t>
  </si>
  <si>
    <t>Utilizarea aplicatiei VosViewer pentru crearea hartilor de retea</t>
  </si>
  <si>
    <t>Utilizarea aplicației Zotero pentru colectarea, administrarea și citarea referințelor bibliografice</t>
  </si>
  <si>
    <t>Eliminarea rapidă a referințelor bibliografice duplicate utilizând Zotero și Microsoft Excel</t>
  </si>
  <si>
    <t>PARTICIPARE URMARE A INVITATIEI PRIMITE DIN PARTEA GAZGEP ROMANIA SRL - SEMINAR MENTENANTA UNEI STATII DE REGLARE SI MASURARE</t>
  </si>
  <si>
    <t>ALTE ACTIVITATI SUPORT</t>
  </si>
  <si>
    <t>Activitati suport IIM</t>
  </si>
  <si>
    <t>Participare ca Reprezentant din partea ULBS, delegat de către Rectorul ULBS, la Salonul Internațional de Invenții de la Geneva 2022 - PROMOVARE ULBS (coordonare acțiune de promovare a ULBS din perspectiva Protecției Proprietății Intelectuale - Inventică)</t>
  </si>
  <si>
    <t>Participare ca Reprezentant din partea ULBS, delegat de către Rectorul ULBS, la Salonul Internațional de Invenții de la TORONTO 2022 - PROMOVARE ULBS  (coordonare acțiune de promovare a ULBS din perspectiva Protecției Proprietății Intelectuale - Inventică)</t>
  </si>
  <si>
    <t>Participare ca Reprezentant din partea ULBS, delegat de către Rectorul ULBS, la Salonul Internațional de Invenții E-NNOVATE Polonia 2022 - PROMOVARE ULBS  (coordonare acțiune de promovare a ULBS din perspectiva Protecției Proprietății Intelectuale - Inventică)</t>
  </si>
  <si>
    <t>Participare ca Reprezentant din partea ULBS, delegat de către Rectorul ULBS, la Salonul Internațional de Invenții EUROINVENT 2022 Iași (ULBS câștigă aici un număr important de recunoașteri) - PROMOVARE ULBS (coordonare acțiune de promovare a ULBS din perspectiva Protecției Proprietății Intelectuale - Inventică) (coordonare acțiune de promovare a ULBS din perspectiva Protecției Proprietății Industriale - Inventică)</t>
  </si>
  <si>
    <t>Participare ca Reprezentant din partea ULBS, delegat de către Rectorul ULBS, la Salonul Internațional de Invenții INVENTICA 2022 Iași (ULBS câștigă la acest Salon Marele Premiu) - PROMOVARE ULBS  (coordonare acțiune de promovare a ULBS din perspectiva Protecției Proprietății Intelectuale - Inventică)</t>
  </si>
  <si>
    <t>participare admitere</t>
  </si>
  <si>
    <t>8p/zi</t>
  </si>
  <si>
    <t>vizite de promovare a ofertei educaționale a ULBS în licee</t>
  </si>
  <si>
    <t>partticipare la programul de training DEZVOLTARE TRAINERI ULBS desfășurat în perioada 26-28 august 2022 de către Know! pentru Universitatea ”Lucian Blaga” din Sibiu</t>
  </si>
  <si>
    <t>Coodonare program post-univeristar Securitatea sistemelor informatice</t>
  </si>
  <si>
    <t>Participare realizare orar</t>
  </si>
  <si>
    <t>Activități suport</t>
  </si>
  <si>
    <t>Participarea la intalniri cu companii si realizarea de acorduri de colaborare, interviunri la Televiziunea Nationala in perioada Cluj Innovation Days si Interviu la Stirile Transilvaniei si Digitalio pentru promovarea evenimentului Sibiu Innovation Days si Hackathonul pentru studenti</t>
  </si>
  <si>
    <t>Corector admitere iulie 2022</t>
  </si>
  <si>
    <t>participarea la realizarea orarului</t>
  </si>
  <si>
    <t>Participare la admitere 7 zile</t>
  </si>
  <si>
    <t>8x7</t>
  </si>
  <si>
    <t>Participarea la realizarea, modificarea si intretinerea site-ului facultatii - mereu 2022</t>
  </si>
  <si>
    <t>Participarea la admitere si asistenta admitere - Vara 2022</t>
  </si>
  <si>
    <t>4X8</t>
  </si>
  <si>
    <t>Participare la workshop-uri de formare MyDigiCoop pt materiale didactice colaborative - Sept 2022</t>
  </si>
  <si>
    <t>1X8</t>
  </si>
  <si>
    <t>Activitati administrative in cadrul Departamentului MEI</t>
  </si>
  <si>
    <t>Realizarea de materiale promotionale</t>
  </si>
  <si>
    <t>Participare la Târgul Educațional TeD ULBS, 13-14 aprilie 2022</t>
  </si>
  <si>
    <t>8*2</t>
  </si>
  <si>
    <t>Vizita de promovare a ofertei educaționale a ULBS în licee - Liceul Teoretic Axente Sever, Mediaș</t>
  </si>
  <si>
    <t>Vizita de promovare a ofertei educaționale a ULBS în licee - Colegiul Economic, Râmnicu Vâlcea</t>
  </si>
  <si>
    <t>Vizita de promovare a ofertei educaționale a ULBS în licee - Liceul Teoretic Ion Codru Drăgușanu, Victoria</t>
  </si>
  <si>
    <t>gestionarea paginilor de social media a departamentului</t>
  </si>
  <si>
    <t>Activitati suport in cadrul Departamentului MEI</t>
  </si>
  <si>
    <t>Gestionarea paginilor de social media a Departamentului Mașini și Echipamente Industriale, octombrie 2022 - septembrie 2023</t>
  </si>
  <si>
    <t>Gestionarea paginilor de social media a Facultatii de Inginerie, octombrie 2022 - septembrie 2023</t>
  </si>
  <si>
    <t>Vizita de promovare a ofertei educationale a ULBS in licee - Liceul Tehnologic Ioan Lupas Saliste / Liceul Tehnologic „Ilie Macelariu” Miercurea Sibiului, 05.05.2022</t>
  </si>
  <si>
    <t>Vizita de promovare a ofertei educationale a ULBS in licee - Colegiul Energetic Râmnicu Vâlcea , 16.05.2022</t>
  </si>
  <si>
    <t>Vizita de promovare a ofertei educationale a ULBS in licee - Liceul Teoretic Gustav Gündisch, Cisnadie, 19.05.2022</t>
  </si>
  <si>
    <t>activitati administrative in cadrul Departamentului Mei</t>
  </si>
  <si>
    <t>Promovare, vizita de promovare a ofertei educaționale la Liceul Teoretic "I. C. Drăgușanu'' Victoria, jud. Brasov, 20.05.2022</t>
  </si>
  <si>
    <t>Promovare, vizita de promovare a ofertei educaționale la Liceul Teoretic "ONISIFOR GHIBU", 08.06.2022</t>
  </si>
  <si>
    <t>Promovare, vizita de promovare a ofertei educaționale la Colegiul Național Pedagogic Andrei Șaguna, 09.06.2022</t>
  </si>
  <si>
    <t>Participare la realizarea site-ului Centrului de Studii și Cercetări pentru Deformări Plastice, https://centers.ulbsibiu.ro/cscdp/index.html</t>
  </si>
  <si>
    <t>Participare la realizarea site-ului Centrului de Studii și Cercetări pentru Deformări Plastice, pe plaftorma ERRIS, https://eeris.eu/ERIF-2000-000T-0179</t>
  </si>
  <si>
    <t>Realizarea de materiale promoționale cu oferta ULBS</t>
  </si>
  <si>
    <t xml:space="preserve">Secretar al comisiei de admitere a Facultății de Inginerie </t>
  </si>
  <si>
    <t xml:space="preserve">Burghelea Melania </t>
  </si>
  <si>
    <t>Curs de limba engleza conform proiectul finanțat din fonduri FDI pe componenta de Internaționalizare aferent anului 2022</t>
  </si>
  <si>
    <t>Vizită de promovare oferta educațională a Fac.de Inginerie, Colegiul Tehnic Cibinium, Sibiu, .05.05.2022</t>
  </si>
  <si>
    <t>activitati administrative in cadrul Departamentului MEI</t>
  </si>
  <si>
    <t>Activitati administrative in cadrul "Centrului de cercetare pentru produse sustenabile" (CCPS) si la nivel de departament.  https://hostcercetare.ulbsibiu.ro/docs/rapoarte/Centru%20de%20cercetare%20pentru%20Produse%20%C8%99i%20Procese%20Sustenabile.pdf</t>
  </si>
  <si>
    <t>Participare admitere</t>
  </si>
  <si>
    <t>8 x 3 zile</t>
  </si>
  <si>
    <t>Participare admitere (asistenta), iulie+septembrie</t>
  </si>
  <si>
    <t>2*8</t>
  </si>
  <si>
    <t>Alte activitati suport (intocmire fise discipline,intocmire state de functii,documente necesare acreditare diferite specializari, corespondenta institutionala,etc)</t>
  </si>
  <si>
    <t xml:space="preserve">Realizarea de materiale promoționale cu oferta educațională a Fac.de Inginerie </t>
  </si>
  <si>
    <t>Participare admitere (asistenta) , iulie+septembrie</t>
  </si>
  <si>
    <t>Alte activitati suport (intocmire fise discipline, intocmire state functii, documente necesare acreditarii diferitelor specializari, corespondenta institutionala,etc.)</t>
  </si>
  <si>
    <t>Coordonator actiuni de promovare a Facultatii</t>
  </si>
  <si>
    <t>vizită de promovare a ofertei educaționale a ULBS la Colegiul Tehnic „August Treboniu Laurian”, Agnita, jud.Sibiu, 12 mai 2022</t>
  </si>
  <si>
    <t>participare la realizarea orarului</t>
  </si>
  <si>
    <t>participare la Târgul Educațional TeD ULBS, 13 aprilie 2022</t>
  </si>
  <si>
    <t>alte activitati suport pentru departamentul MEI</t>
  </si>
  <si>
    <t>realizarea de materiale promotionale</t>
  </si>
  <si>
    <t>Vizita de studiu cu studentii II TCM Fritzmeier 12.10.2023</t>
  </si>
  <si>
    <t>Vizita de studiu cu studentii II SPD Fritzmeier 08.11.2023</t>
  </si>
  <si>
    <t>Vizita de studiu cu studentii II ITT Fritzmeier 10.12.2023</t>
  </si>
  <si>
    <t xml:space="preserve">Vizita de promovare a ofertei educationale a ULBS in licee - Liceul Teoretic Stephan Ludwig Roth, Medias, 09.05.2022
</t>
  </si>
  <si>
    <t xml:space="preserve">Vizita de promovare a ofertei educationale a ULBS in licee - Colegiul Tehnic August Treboniu Laurian Agnita, 12.05.2022
</t>
  </si>
  <si>
    <t xml:space="preserve">Vizita de promovare a ofertei educationale a ULBS in licee - Liceul Teoretic Brezoi, 16.05.2022
</t>
  </si>
  <si>
    <t>Participare la Târg Educational TeD ULBS, 13.04.2022</t>
  </si>
  <si>
    <t>Alte activitati suport Departamentul MEI</t>
  </si>
  <si>
    <t>Activități suport in cadrul Departamentului MEI</t>
  </si>
  <si>
    <t>Realizarea site-ului Centrului de Studii și Cercetări pentru Deformări Plastice, https://centers.ulbsibiu.ro/cscdp/index.html</t>
  </si>
  <si>
    <t>Realizarea site-ului Centrului de Studii și Cercetări pentru Deformări Plastice, pe plaftorma ERRIS, https://eeris.eu/ERIF-2000-000T-0179</t>
  </si>
  <si>
    <t>Promovare specializari - mai 2022 - Licee din Rm. Vâlcea (2zile) + Mediaș (1zi)</t>
  </si>
  <si>
    <t>3*8</t>
  </si>
  <si>
    <t>Updatare GHID BOBOCI INGINERIE</t>
  </si>
  <si>
    <t xml:space="preserve">Printare + trimitere prin poștă - Afișe promovare specializări – pentru licee cu profil textil din țară. </t>
  </si>
  <si>
    <t>Completare Chestionar U-MULTIRANK pentru specializările SPD (MUSP) și TCM + prelucrare chestionare studenților (online) de la specializările SPD (MUSP) și TCM.</t>
  </si>
  <si>
    <t>Ziua portilor deschise - 2022</t>
  </si>
  <si>
    <t>TED ULBS (Targul locurilor de muncă pentru studenti)</t>
  </si>
  <si>
    <t>Verificare fișe SIEPAS_membrii Dep. MEI - 2 mai 2022</t>
  </si>
  <si>
    <t>Noiembrie 2021 – Amenajare sala IM011 B – montare videoproiector și ecran de proiecție, cabluri: alimentare, HDMI, internet.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</si>
</sst>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Red]0.00"/>
    <numFmt numFmtId="165" formatCode="0.0"/>
    <numFmt numFmtId="166" formatCode="yyyy\-mm\-dd\ hh:mm:ss"/>
    <numFmt numFmtId="167" formatCode="dd/mm/yy"/>
    <numFmt numFmtId="168" formatCode="0.0000"/>
    <numFmt numFmtId="169" formatCode="0.00000"/>
  </numFmts>
  <fonts count="289">
    <font>
      <sz val="11"/>
      <color theme="1"/>
      <name val="Calibri"/>
      <scheme val="minor"/>
    </font>
    <font>
      <sz val="10"/>
      <color rgb="FF000000"/>
      <name val="Arial Narrow"/>
    </font>
    <font>
      <sz val="11"/>
      <color theme="1"/>
      <name val="Calibri"/>
    </font>
    <font>
      <b/>
      <sz val="10"/>
      <color theme="1"/>
      <name val="Arial Narrow"/>
    </font>
    <font>
      <sz val="10"/>
      <color theme="1"/>
      <name val="Arial Narrow"/>
    </font>
    <font>
      <b/>
      <sz val="11"/>
      <color rgb="FF000000"/>
      <name val="Calibri"/>
    </font>
    <font>
      <sz val="11"/>
      <color rgb="FF000000"/>
      <name val="Calibri"/>
    </font>
    <font>
      <sz val="12"/>
      <color theme="1"/>
      <name val="Arial Narrow"/>
    </font>
    <font>
      <b/>
      <sz val="12"/>
      <color rgb="FF000000"/>
      <name val="Arial Narrow"/>
    </font>
    <font>
      <sz val="11"/>
      <name val="Calibri"/>
    </font>
    <font>
      <b/>
      <sz val="10"/>
      <color rgb="FF000000"/>
      <name val="Arial Narrow"/>
    </font>
    <font>
      <b/>
      <sz val="9"/>
      <color rgb="FF000000"/>
      <name val="Arial Narrow"/>
    </font>
    <font>
      <b/>
      <sz val="9"/>
      <color rgb="FF000000"/>
      <name val="Calibri"/>
    </font>
    <font>
      <u/>
      <sz val="11"/>
      <color theme="10"/>
      <name val="Calibri"/>
    </font>
    <font>
      <u/>
      <sz val="11"/>
      <color theme="10"/>
      <name val="Calibri"/>
    </font>
    <font>
      <u/>
      <sz val="11"/>
      <color theme="10"/>
      <name val="Calibri"/>
    </font>
    <font>
      <u/>
      <sz val="11"/>
      <color theme="10"/>
      <name val="Calibri"/>
    </font>
    <font>
      <u/>
      <sz val="10"/>
      <color theme="10"/>
      <name val="Arial Narrow"/>
    </font>
    <font>
      <u/>
      <sz val="10"/>
      <color theme="10"/>
      <name val="Arial Narrow"/>
    </font>
    <font>
      <u/>
      <sz val="10"/>
      <color rgb="FF0000FF"/>
      <name val="Arial Narrow"/>
    </font>
    <font>
      <u/>
      <sz val="10"/>
      <color rgb="FF0000FF"/>
      <name val="Arial Narrow"/>
    </font>
    <font>
      <sz val="10"/>
      <color rgb="FF000000"/>
      <name val="Times New Roman"/>
    </font>
    <font>
      <u/>
      <sz val="11"/>
      <color theme="10"/>
      <name val="Calibri"/>
    </font>
    <font>
      <u/>
      <sz val="11"/>
      <color theme="10"/>
      <name val="Calibri"/>
    </font>
    <font>
      <u/>
      <sz val="11"/>
      <color theme="10"/>
      <name val="Calibri"/>
    </font>
    <font>
      <sz val="10"/>
      <color rgb="FF000000"/>
      <name val="Arial"/>
    </font>
    <font>
      <u/>
      <sz val="11"/>
      <color theme="10"/>
      <name val="Calibri"/>
    </font>
    <font>
      <u/>
      <sz val="11"/>
      <color theme="10"/>
      <name val="Calibri"/>
    </font>
    <font>
      <b/>
      <sz val="8"/>
      <color rgb="FF2E2E2E"/>
      <name val="Arial"/>
    </font>
    <font>
      <sz val="8"/>
      <color rgb="FF000000"/>
      <name val="Times New Roman"/>
    </font>
    <font>
      <u/>
      <sz val="10"/>
      <color rgb="FF0000FF"/>
      <name val="Arial Narrow"/>
    </font>
    <font>
      <u/>
      <sz val="11"/>
      <color rgb="FF0000FF"/>
      <name val="Calibri"/>
    </font>
    <font>
      <u/>
      <sz val="10"/>
      <color theme="1"/>
      <name val="Arial Narrow"/>
    </font>
    <font>
      <u/>
      <sz val="10"/>
      <color theme="1"/>
      <name val="Arial Narrow"/>
    </font>
    <font>
      <sz val="9"/>
      <color rgb="FF333333"/>
      <name val="Arial"/>
    </font>
    <font>
      <u/>
      <sz val="11"/>
      <color theme="10"/>
      <name val="Calibri"/>
    </font>
    <font>
      <u/>
      <sz val="11"/>
      <color theme="10"/>
      <name val="Calibri"/>
    </font>
    <font>
      <u/>
      <sz val="11"/>
      <color theme="10"/>
      <name val="Calibri"/>
    </font>
    <font>
      <sz val="11"/>
      <color theme="1"/>
      <name val="Arial Narrow"/>
    </font>
    <font>
      <u/>
      <sz val="11"/>
      <color rgb="FF0000FF"/>
      <name val="Calibri"/>
    </font>
    <font>
      <u/>
      <sz val="10"/>
      <color theme="10"/>
      <name val="Arial Narrow"/>
    </font>
    <font>
      <u/>
      <sz val="11"/>
      <color theme="1"/>
      <name val="Calibri"/>
    </font>
    <font>
      <u/>
      <sz val="11"/>
      <color rgb="FF0000FF"/>
      <name val="Calibri"/>
    </font>
    <font>
      <u/>
      <sz val="11"/>
      <color rgb="FF0000FF"/>
      <name val="Calibri"/>
    </font>
    <font>
      <u/>
      <sz val="10"/>
      <color rgb="FF0000FF"/>
      <name val="Arial Narrow"/>
    </font>
    <font>
      <u/>
      <sz val="10"/>
      <color rgb="FF0000FF"/>
      <name val="Arial Narrow"/>
    </font>
    <font>
      <u/>
      <sz val="11"/>
      <color rgb="FF0000FF"/>
      <name val="Calibri"/>
    </font>
    <font>
      <u/>
      <sz val="10"/>
      <color rgb="FF0000FF"/>
      <name val="Arial Narrow"/>
    </font>
    <font>
      <u/>
      <sz val="11"/>
      <color rgb="FF0000FF"/>
      <name val="Calibri"/>
    </font>
    <font>
      <b/>
      <sz val="11"/>
      <color theme="1"/>
      <name val="Calibri"/>
    </font>
    <font>
      <b/>
      <sz val="10"/>
      <color rgb="FFFF0000"/>
      <name val="Arial Narrow"/>
    </font>
    <font>
      <sz val="8"/>
      <color rgb="FF222222"/>
      <name val="Arial"/>
    </font>
    <font>
      <sz val="10"/>
      <color rgb="FF333333"/>
      <name val="Quattrocento Sans"/>
    </font>
    <font>
      <b/>
      <sz val="10"/>
      <color rgb="FF000000"/>
      <name val="Calibri"/>
    </font>
    <font>
      <u/>
      <sz val="11"/>
      <color theme="10"/>
      <name val="Calibri"/>
    </font>
    <font>
      <u/>
      <sz val="11"/>
      <color theme="10"/>
      <name val="Calibri"/>
    </font>
    <font>
      <u/>
      <sz val="11"/>
      <color theme="10"/>
      <name val="Calibri"/>
    </font>
    <font>
      <sz val="10"/>
      <color rgb="FFFF0000"/>
      <name val="Arial Narrow"/>
    </font>
    <font>
      <u/>
      <sz val="11"/>
      <color theme="10"/>
      <name val="Calibri"/>
    </font>
    <font>
      <u/>
      <sz val="10"/>
      <color rgb="FF0000FF"/>
      <name val="Arial Narrow"/>
    </font>
    <font>
      <u/>
      <sz val="11"/>
      <color theme="10"/>
      <name val="Calibri"/>
    </font>
    <font>
      <u/>
      <sz val="10"/>
      <color theme="1"/>
      <name val="Arial Narrow"/>
    </font>
    <font>
      <u/>
      <sz val="11"/>
      <color theme="10"/>
      <name val="Calibri"/>
    </font>
    <font>
      <u/>
      <sz val="11"/>
      <color theme="10"/>
      <name val="Calibri"/>
    </font>
    <font>
      <u/>
      <sz val="11"/>
      <color theme="10"/>
      <name val="Calibri"/>
    </font>
    <font>
      <sz val="11"/>
      <color theme="1"/>
      <name val="Arial"/>
    </font>
    <font>
      <u/>
      <sz val="11"/>
      <color theme="10"/>
      <name val="Calibri"/>
    </font>
    <font>
      <u/>
      <sz val="11"/>
      <color theme="10"/>
      <name val="Calibri"/>
    </font>
    <font>
      <u/>
      <sz val="11"/>
      <color theme="10"/>
      <name val="Calibri"/>
    </font>
    <font>
      <b/>
      <i/>
      <sz val="10"/>
      <color theme="1"/>
      <name val="Arial Narrow"/>
    </font>
    <font>
      <sz val="10"/>
      <color rgb="FF222222"/>
      <name val="Arial Narrow"/>
    </font>
    <font>
      <u/>
      <sz val="10"/>
      <color theme="10"/>
      <name val="Arial Narrow"/>
    </font>
    <font>
      <u/>
      <sz val="10"/>
      <color theme="10"/>
      <name val="Arial Narrow"/>
    </font>
    <font>
      <u/>
      <sz val="10"/>
      <color theme="1"/>
      <name val="Arial Narrow"/>
    </font>
    <font>
      <u/>
      <sz val="10"/>
      <color rgb="FF0000FF"/>
      <name val="Arial Narrow"/>
    </font>
    <font>
      <u/>
      <sz val="10"/>
      <color theme="10"/>
      <name val="Calibri"/>
    </font>
    <font>
      <sz val="10"/>
      <color rgb="FF000000"/>
      <name val="Arimo"/>
    </font>
    <font>
      <u/>
      <sz val="11"/>
      <color theme="10"/>
      <name val="Calibri"/>
    </font>
    <font>
      <sz val="10"/>
      <color theme="1"/>
      <name val="Arial"/>
    </font>
    <font>
      <u/>
      <sz val="11"/>
      <color rgb="FF0000FF"/>
      <name val="Calibri"/>
    </font>
    <font>
      <u/>
      <sz val="11"/>
      <color rgb="FF0000FF"/>
      <name val="Calibri"/>
    </font>
    <font>
      <u/>
      <sz val="11"/>
      <color theme="10"/>
      <name val="Calibri"/>
    </font>
    <font>
      <u/>
      <sz val="11"/>
      <color rgb="FF0000FF"/>
      <name val="Calibri"/>
    </font>
    <font>
      <u/>
      <sz val="10"/>
      <color theme="1"/>
      <name val="Arial Narrow"/>
    </font>
    <font>
      <u/>
      <sz val="10"/>
      <color rgb="FF0000FF"/>
      <name val="Arial Narrow"/>
    </font>
    <font>
      <u/>
      <sz val="10"/>
      <color rgb="FF0000FF"/>
      <name val="Arial Narrow"/>
    </font>
    <font>
      <sz val="10"/>
      <color rgb="FF333333"/>
      <name val="Arial Narrow"/>
    </font>
    <font>
      <u/>
      <sz val="10"/>
      <color rgb="FF0000FF"/>
      <name val="Arial Narrow"/>
    </font>
    <font>
      <sz val="7"/>
      <color rgb="FF222222"/>
      <name val="Arial"/>
    </font>
    <font>
      <u/>
      <sz val="10"/>
      <color rgb="FF0000FF"/>
      <name val="Arial Narrow"/>
    </font>
    <font>
      <sz val="7"/>
      <color rgb="FF2E2E2E"/>
      <name val="Arial"/>
    </font>
    <font>
      <u/>
      <sz val="10"/>
      <color rgb="FF0000FF"/>
      <name val="Arial Narrow"/>
    </font>
    <font>
      <sz val="9"/>
      <color theme="1"/>
      <name val="Times New Roman"/>
    </font>
    <font>
      <u/>
      <sz val="11"/>
      <color theme="10"/>
      <name val="Calibri"/>
    </font>
    <font>
      <sz val="9"/>
      <color rgb="FF000000"/>
      <name val="Times New Roman"/>
    </font>
    <font>
      <u/>
      <sz val="11"/>
      <color theme="10"/>
      <name val="Arial Narrow"/>
    </font>
    <font>
      <u/>
      <sz val="11"/>
      <color theme="10"/>
      <name val="Arial Narrow"/>
    </font>
    <font>
      <u/>
      <sz val="11"/>
      <color theme="10"/>
      <name val="Calibri"/>
    </font>
    <font>
      <u/>
      <sz val="11"/>
      <color theme="10"/>
      <name val="Calibri"/>
    </font>
    <font>
      <u/>
      <sz val="11"/>
      <color theme="10"/>
      <name val="Calibri"/>
    </font>
    <font>
      <u/>
      <sz val="11"/>
      <color theme="10"/>
      <name val="Calibri"/>
    </font>
    <font>
      <u/>
      <sz val="11"/>
      <color theme="10"/>
      <name val="Calibri"/>
    </font>
    <font>
      <sz val="7"/>
      <color rgb="FF000000"/>
      <name val="Palatino Linotype"/>
    </font>
    <font>
      <u/>
      <sz val="11"/>
      <color theme="10"/>
      <name val="Calibri"/>
    </font>
    <font>
      <sz val="10"/>
      <color rgb="FF000000"/>
      <name val="Palatino Linotype"/>
    </font>
    <font>
      <u/>
      <sz val="11"/>
      <color rgb="FF000000"/>
      <name val="Arial Narrow"/>
    </font>
    <font>
      <sz val="11"/>
      <color rgb="FF000000"/>
      <name val="Arial Narrow"/>
    </font>
    <font>
      <u/>
      <sz val="11"/>
      <color rgb="FF000000"/>
      <name val="Arial Narrow"/>
    </font>
    <font>
      <sz val="8"/>
      <color theme="1"/>
      <name val="Palatino Linotype"/>
    </font>
    <font>
      <sz val="9"/>
      <color rgb="FF000000"/>
      <name val="Palatino Linotype"/>
    </font>
    <font>
      <u/>
      <sz val="8"/>
      <color theme="10"/>
      <name val="Calibri"/>
    </font>
    <font>
      <sz val="8"/>
      <color rgb="FF000000"/>
      <name val="Palatino Linotype"/>
    </font>
    <font>
      <u/>
      <sz val="9"/>
      <color theme="10"/>
      <name val="Calibri"/>
    </font>
    <font>
      <sz val="10"/>
      <color rgb="FF323232"/>
      <name val="Arial"/>
    </font>
    <font>
      <u/>
      <sz val="11"/>
      <color theme="10"/>
      <name val="Calibri"/>
    </font>
    <font>
      <u/>
      <sz val="11"/>
      <color rgb="FF0000FF"/>
      <name val="Calibri"/>
    </font>
    <font>
      <u/>
      <sz val="11"/>
      <color rgb="FF0000FF"/>
      <name val="Calibri"/>
    </font>
    <font>
      <u/>
      <sz val="11"/>
      <color theme="10"/>
      <name val="Calibri"/>
    </font>
    <font>
      <u/>
      <sz val="11"/>
      <color rgb="FF0000FF"/>
      <name val="Calibri"/>
    </font>
    <font>
      <sz val="10"/>
      <color rgb="FF222222"/>
      <name val="Arial"/>
    </font>
    <font>
      <sz val="10"/>
      <color rgb="FF333333"/>
      <name val="Arial"/>
    </font>
    <font>
      <b/>
      <sz val="11"/>
      <color theme="1"/>
      <name val="Arial Narrow"/>
    </font>
    <font>
      <u/>
      <sz val="11"/>
      <color theme="10"/>
      <name val="Calibri"/>
    </font>
    <font>
      <u/>
      <sz val="11"/>
      <color theme="10"/>
      <name val="Calibri"/>
    </font>
    <font>
      <u/>
      <sz val="11"/>
      <color theme="10"/>
      <name val="Calibri"/>
    </font>
    <font>
      <sz val="10"/>
      <color rgb="FF92D050"/>
      <name val="Arial Narrow"/>
    </font>
    <font>
      <u/>
      <sz val="11"/>
      <color rgb="FF0000FF"/>
      <name val="Calibri"/>
    </font>
    <font>
      <u/>
      <sz val="11"/>
      <color rgb="FF0000FF"/>
      <name val="Calibri"/>
    </font>
    <font>
      <u/>
      <sz val="11"/>
      <color theme="10"/>
      <name val="Calibri"/>
    </font>
    <font>
      <u/>
      <sz val="11"/>
      <color rgb="FF0000FF"/>
      <name val="Calibri"/>
    </font>
    <font>
      <u/>
      <sz val="11"/>
      <color rgb="FF0000FF"/>
      <name val="Calibri"/>
    </font>
    <font>
      <u/>
      <sz val="11"/>
      <color rgb="FF0000FF"/>
      <name val="Calibri"/>
    </font>
    <font>
      <sz val="8"/>
      <color theme="1"/>
      <name val="Arial Narrow"/>
    </font>
    <font>
      <b/>
      <sz val="8"/>
      <color theme="1"/>
      <name val="Arial Narrow"/>
    </font>
    <font>
      <u/>
      <sz val="8"/>
      <color theme="10"/>
      <name val="Arial Narrow"/>
    </font>
    <font>
      <u/>
      <sz val="8"/>
      <color theme="10"/>
      <name val="Arial Narrow"/>
    </font>
    <font>
      <u/>
      <sz val="8"/>
      <color theme="10"/>
      <name val="Arial Narrow"/>
    </font>
    <font>
      <u/>
      <sz val="8"/>
      <color theme="1"/>
      <name val="Arial Narrow"/>
    </font>
    <font>
      <u/>
      <sz val="10"/>
      <color theme="1"/>
      <name val="Arial Narrow"/>
    </font>
    <font>
      <u/>
      <sz val="10"/>
      <color rgb="FF0000FF"/>
      <name val="Arial Narrow"/>
    </font>
    <font>
      <u/>
      <sz val="10"/>
      <color rgb="FF0000FF"/>
      <name val="Calibri"/>
    </font>
    <font>
      <u/>
      <sz val="10"/>
      <color theme="1"/>
      <name val="Arial Narrow"/>
    </font>
    <font>
      <u/>
      <sz val="10"/>
      <color rgb="FF0000FF"/>
      <name val="Calibri"/>
    </font>
    <font>
      <u/>
      <sz val="11"/>
      <color theme="10"/>
      <name val="Calibri"/>
    </font>
    <font>
      <u/>
      <sz val="11"/>
      <color theme="10"/>
      <name val="Calibri"/>
    </font>
    <font>
      <u/>
      <sz val="11"/>
      <color theme="10"/>
      <name val="Calibri"/>
    </font>
    <font>
      <u/>
      <sz val="11"/>
      <color theme="1"/>
      <name val="Calibri"/>
    </font>
    <font>
      <u/>
      <sz val="11"/>
      <color rgb="FF0000FF"/>
      <name val="Calibri"/>
    </font>
    <font>
      <u/>
      <sz val="11"/>
      <color theme="1"/>
      <name val="Calibri"/>
    </font>
    <font>
      <u/>
      <sz val="11"/>
      <color rgb="FF0000FF"/>
      <name val="Calibri"/>
    </font>
    <font>
      <u/>
      <sz val="11"/>
      <color rgb="FF0000FF"/>
      <name val="Calibri"/>
    </font>
    <font>
      <u/>
      <sz val="11"/>
      <color rgb="FF0000FF"/>
      <name val="Calibri"/>
    </font>
    <font>
      <u/>
      <sz val="10"/>
      <color theme="10"/>
      <name val="Arial Narrow"/>
    </font>
    <font>
      <u/>
      <sz val="10"/>
      <color theme="10"/>
      <name val="Arial Narrow"/>
    </font>
    <font>
      <sz val="10"/>
      <color rgb="FF424242"/>
      <name val="Arial Narrow"/>
    </font>
    <font>
      <sz val="12"/>
      <color rgb="FF5D33BF"/>
      <name val="Arial Narrow"/>
    </font>
    <font>
      <sz val="10"/>
      <color rgb="FF5D33BF"/>
      <name val="Arial Narrow"/>
    </font>
    <font>
      <u/>
      <sz val="11"/>
      <color rgb="FF5D33BF"/>
      <name val="Arial Narrow"/>
    </font>
    <font>
      <sz val="12"/>
      <color rgb="FF000000"/>
      <name val="Arial Narrow"/>
    </font>
    <font>
      <sz val="11"/>
      <color rgb="FF000000"/>
      <name val="Source sans pro"/>
    </font>
    <font>
      <b/>
      <sz val="12"/>
      <color theme="1"/>
      <name val="Arial Narrow"/>
    </font>
    <font>
      <b/>
      <sz val="11"/>
      <color rgb="FF000000"/>
      <name val="Arial Narrow"/>
    </font>
    <font>
      <sz val="11"/>
      <color rgb="FFDD0806"/>
      <name val="Calibri"/>
    </font>
    <font>
      <sz val="8"/>
      <color rgb="FF1D3C50"/>
      <name val="Verdana"/>
    </font>
    <font>
      <sz val="12"/>
      <color rgb="FF000000"/>
      <name val="Times New Roman"/>
    </font>
    <font>
      <sz val="12"/>
      <color theme="1"/>
      <name val="Times New Roman"/>
    </font>
    <font>
      <u/>
      <sz val="11"/>
      <color theme="10"/>
      <name val="Calibri"/>
    </font>
    <font>
      <sz val="9"/>
      <color theme="1"/>
      <name val="Palatino Linotype"/>
    </font>
    <font>
      <u/>
      <sz val="9"/>
      <color rgb="FF0000FF"/>
      <name val="Palatino Linotype"/>
    </font>
    <font>
      <b/>
      <u/>
      <sz val="10"/>
      <color rgb="FF000000"/>
      <name val="Arial Narrow"/>
    </font>
    <font>
      <u/>
      <sz val="10"/>
      <color theme="10"/>
      <name val="Arial Narrow"/>
    </font>
    <font>
      <u/>
      <sz val="11"/>
      <color theme="10"/>
      <name val="Calibri"/>
    </font>
    <font>
      <u/>
      <sz val="11"/>
      <color theme="10"/>
      <name val="Calibri"/>
    </font>
    <font>
      <u/>
      <sz val="11"/>
      <color theme="10"/>
      <name val="Calibri"/>
    </font>
    <font>
      <sz val="9"/>
      <color rgb="FF333333"/>
      <name val="Montserrat"/>
    </font>
    <font>
      <sz val="9"/>
      <color theme="1"/>
      <name val="Montserrat"/>
    </font>
    <font>
      <b/>
      <i/>
      <sz val="10"/>
      <color theme="1"/>
      <name val="Times New Roman"/>
    </font>
    <font>
      <u/>
      <sz val="11"/>
      <color theme="10"/>
      <name val="Calibri"/>
    </font>
    <font>
      <u/>
      <sz val="11"/>
      <color theme="10"/>
      <name val="Calibri"/>
    </font>
    <font>
      <u/>
      <sz val="11"/>
      <color theme="10"/>
      <name val="Calibri"/>
    </font>
    <font>
      <sz val="11"/>
      <color theme="1"/>
      <name val="Times New Roman"/>
    </font>
    <font>
      <u/>
      <sz val="11"/>
      <color theme="10"/>
      <name val="Arial Narrow"/>
    </font>
    <font>
      <u/>
      <sz val="11"/>
      <color theme="10"/>
      <name val="Arial Narrow"/>
    </font>
    <font>
      <sz val="10"/>
      <color theme="1"/>
      <name val="Calibri"/>
    </font>
    <font>
      <u/>
      <sz val="11"/>
      <color theme="10"/>
      <name val="Calibri"/>
    </font>
    <font>
      <sz val="10"/>
      <color theme="1"/>
      <name val="Times New Roman"/>
    </font>
    <font>
      <u/>
      <sz val="10"/>
      <color theme="10"/>
      <name val="Times New Roman"/>
    </font>
    <font>
      <b/>
      <sz val="10"/>
      <color theme="1"/>
      <name val="Times New Roman"/>
    </font>
    <font>
      <u/>
      <sz val="10"/>
      <color theme="1"/>
      <name val="Times New Roman"/>
    </font>
    <font>
      <u/>
      <sz val="10"/>
      <color theme="10"/>
      <name val="Times New Roman"/>
    </font>
    <font>
      <u/>
      <sz val="10"/>
      <color theme="10"/>
      <name val="Times New Roman"/>
    </font>
    <font>
      <u/>
      <sz val="10"/>
      <color theme="10"/>
      <name val="Times New Roman"/>
    </font>
    <font>
      <u/>
      <sz val="9"/>
      <color theme="10"/>
      <name val="Calibri"/>
    </font>
    <font>
      <u/>
      <sz val="10"/>
      <color theme="10"/>
      <name val="Calibri"/>
    </font>
    <font>
      <u/>
      <sz val="8"/>
      <color theme="10"/>
      <name val="Calibri"/>
    </font>
    <font>
      <u/>
      <sz val="11"/>
      <color theme="1"/>
      <name val="Calibri"/>
    </font>
    <font>
      <u/>
      <sz val="10"/>
      <color theme="10"/>
      <name val="Arial Narrow"/>
    </font>
    <font>
      <u/>
      <sz val="10"/>
      <color theme="10"/>
      <name val="Arial Narrow"/>
    </font>
    <font>
      <u/>
      <sz val="10"/>
      <color theme="10"/>
      <name val="Arial Narrow"/>
    </font>
    <font>
      <u/>
      <sz val="10"/>
      <color rgb="FF0000FF"/>
      <name val="Arial Narrow"/>
    </font>
    <font>
      <u/>
      <sz val="10"/>
      <color theme="10"/>
      <name val="Arial Narrow"/>
    </font>
    <font>
      <u/>
      <sz val="10"/>
      <color theme="10"/>
      <name val="Calibri"/>
    </font>
    <font>
      <u/>
      <sz val="10"/>
      <color theme="10"/>
      <name val="Calibri"/>
    </font>
    <font>
      <u/>
      <sz val="10"/>
      <color rgb="FF0000FF"/>
      <name val="Calibri"/>
    </font>
    <font>
      <u/>
      <sz val="10"/>
      <color theme="10"/>
      <name val="Calibri"/>
    </font>
    <font>
      <u/>
      <sz val="10"/>
      <color rgb="FF0000FF"/>
      <name val="Calibri"/>
    </font>
    <font>
      <u/>
      <sz val="10"/>
      <color rgb="FF0000FF"/>
      <name val="Arial Narrow"/>
    </font>
    <font>
      <u/>
      <sz val="11"/>
      <color theme="10"/>
      <name val="Calibri"/>
    </font>
    <font>
      <u/>
      <sz val="11"/>
      <color rgb="FF0000FF"/>
      <name val="Calibri"/>
    </font>
    <font>
      <u/>
      <sz val="11"/>
      <color theme="10"/>
      <name val="Calibri"/>
    </font>
    <font>
      <u/>
      <sz val="11"/>
      <color theme="10"/>
      <name val="Calibri"/>
    </font>
    <font>
      <u/>
      <sz val="11"/>
      <color theme="10"/>
      <name val="Calibri"/>
    </font>
    <font>
      <u/>
      <sz val="10"/>
      <color rgb="FF000000"/>
      <name val="Arial Narrow"/>
    </font>
    <font>
      <u/>
      <sz val="10"/>
      <color rgb="FF000000"/>
      <name val="Arial Narrow"/>
    </font>
    <font>
      <u/>
      <sz val="11"/>
      <color theme="10"/>
      <name val="Calibri"/>
    </font>
    <font>
      <u/>
      <sz val="11"/>
      <color theme="10"/>
      <name val="Calibri"/>
    </font>
    <font>
      <u/>
      <sz val="11"/>
      <color theme="10"/>
      <name val="Calibri"/>
    </font>
    <font>
      <u/>
      <sz val="10"/>
      <color theme="1"/>
      <name val="Arial"/>
    </font>
    <font>
      <u/>
      <sz val="10"/>
      <color theme="10"/>
      <name val="Arial"/>
    </font>
    <font>
      <u/>
      <sz val="10"/>
      <color theme="1"/>
      <name val="Arial"/>
    </font>
    <font>
      <sz val="12"/>
      <color rgb="FF1F1F1F"/>
      <name val="Roboto"/>
    </font>
    <font>
      <sz val="11"/>
      <color rgb="FF1F1F1F"/>
      <name val="Roboto"/>
    </font>
    <font>
      <u/>
      <sz val="11"/>
      <color theme="10"/>
      <name val="Calibri"/>
    </font>
    <font>
      <u/>
      <sz val="11"/>
      <color theme="10"/>
      <name val="Calibri"/>
    </font>
    <font>
      <u/>
      <sz val="11"/>
      <color theme="10"/>
      <name val="Calibri"/>
    </font>
    <font>
      <u/>
      <sz val="11"/>
      <color theme="10"/>
      <name val="Calibri"/>
    </font>
    <font>
      <u/>
      <sz val="10"/>
      <color theme="1"/>
      <name val="Arial Narrow"/>
    </font>
    <font>
      <sz val="9"/>
      <color theme="1"/>
      <name val="Calibri"/>
    </font>
    <font>
      <u/>
      <sz val="10"/>
      <color rgb="FF0000FF"/>
      <name val="Arial Narrow"/>
    </font>
    <font>
      <u/>
      <sz val="11"/>
      <color rgb="FF0000FF"/>
      <name val="Calibri"/>
    </font>
    <font>
      <u/>
      <sz val="11"/>
      <color rgb="FF0000FF"/>
      <name val="Calibri"/>
    </font>
    <font>
      <u/>
      <sz val="11"/>
      <color rgb="FF0000FF"/>
      <name val="Calibri"/>
    </font>
    <font>
      <u/>
      <sz val="11"/>
      <color theme="10"/>
      <name val="Calibri"/>
    </font>
    <font>
      <u/>
      <sz val="10"/>
      <color theme="10"/>
      <name val="Arial Narrow"/>
    </font>
    <font>
      <u/>
      <sz val="11"/>
      <color theme="10"/>
      <name val="Calibri"/>
    </font>
    <font>
      <sz val="10"/>
      <color rgb="FF6C757D"/>
      <name val="Arial"/>
    </font>
    <font>
      <u/>
      <sz val="11"/>
      <color rgb="FF0000FF"/>
      <name val="Calibri"/>
    </font>
    <font>
      <u/>
      <sz val="11"/>
      <color theme="10"/>
      <name val="Calibri"/>
    </font>
    <font>
      <sz val="10"/>
      <color rgb="FF00B050"/>
      <name val="Arial Narrow"/>
    </font>
    <font>
      <b/>
      <sz val="10"/>
      <color rgb="FF00B050"/>
      <name val="Arial Narrow"/>
    </font>
    <font>
      <sz val="11"/>
      <color rgb="FF1F1F1F"/>
      <name val="Arial"/>
    </font>
    <font>
      <sz val="7"/>
      <color rgb="FF1F1F1F"/>
      <name val="Roboto"/>
    </font>
    <font>
      <sz val="12"/>
      <color theme="1"/>
      <name val="Arial"/>
    </font>
    <font>
      <sz val="10"/>
      <color rgb="FF202124"/>
      <name val="Arial Narrow"/>
    </font>
    <font>
      <sz val="11"/>
      <color rgb="FF1F1F1F"/>
      <name val="Arial Narrow"/>
    </font>
    <font>
      <sz val="11"/>
      <color rgb="FF222222"/>
      <name val="Arial"/>
    </font>
    <font>
      <sz val="7"/>
      <color rgb="FF1F1F1F"/>
      <name val="Arial"/>
    </font>
    <font>
      <sz val="10"/>
      <color rgb="FF1F1F1F"/>
      <name val="Arial"/>
    </font>
    <font>
      <sz val="11"/>
      <color theme="1"/>
      <name val="Calibri"/>
      <scheme val="minor"/>
    </font>
    <font>
      <sz val="11"/>
      <color rgb="FFFF0000"/>
      <name val="Calibri"/>
    </font>
    <font>
      <u/>
      <sz val="10"/>
      <color rgb="FF0066CC"/>
      <name val="Arial Narrow"/>
    </font>
    <font>
      <u/>
      <sz val="10"/>
      <name val="Arial Narrow"/>
    </font>
    <font>
      <sz val="10"/>
      <color rgb="FF0066CC"/>
      <name val="Arial Narrow"/>
    </font>
    <font>
      <i/>
      <sz val="12"/>
      <color rgb="FF333333"/>
      <name val="Segoe UI"/>
    </font>
    <font>
      <sz val="12"/>
      <color rgb="FF333333"/>
      <name val="Segoe UI"/>
    </font>
    <font>
      <b/>
      <sz val="12"/>
      <color rgb="FF333333"/>
      <name val="Segoe UI"/>
    </font>
    <font>
      <i/>
      <sz val="11"/>
      <color theme="1"/>
      <name val="Calibri"/>
    </font>
    <font>
      <i/>
      <sz val="8"/>
      <color rgb="FF222222"/>
      <name val="Arial"/>
    </font>
    <font>
      <i/>
      <sz val="10"/>
      <color rgb="FF222222"/>
      <name val="Arial Narrow"/>
    </font>
    <font>
      <b/>
      <sz val="10"/>
      <color theme="1"/>
      <name val="Arial"/>
    </font>
    <font>
      <i/>
      <sz val="10"/>
      <color theme="1"/>
      <name val="Arial"/>
    </font>
    <font>
      <i/>
      <sz val="10"/>
      <color theme="1"/>
      <name val="Arial Narrow"/>
    </font>
    <font>
      <b/>
      <sz val="9"/>
      <color rgb="FF000000"/>
      <name val="Times New Roman"/>
    </font>
    <font>
      <i/>
      <sz val="8"/>
      <color rgb="FF333333"/>
      <name val="Arial"/>
    </font>
    <font>
      <sz val="8"/>
      <color rgb="FF333333"/>
      <name val="Arial"/>
    </font>
    <font>
      <b/>
      <sz val="10"/>
      <color rgb="FF323232"/>
      <name val="Arial"/>
    </font>
    <font>
      <i/>
      <sz val="10"/>
      <color rgb="FF333333"/>
      <name val="Arial"/>
    </font>
    <font>
      <i/>
      <sz val="10"/>
      <color rgb="FF000000"/>
      <name val="Arial Narrow"/>
    </font>
    <font>
      <sz val="8"/>
      <color rgb="FF000000"/>
      <name val="Arial Narrow"/>
    </font>
    <font>
      <i/>
      <sz val="11"/>
      <color rgb="FF007377"/>
      <name val="Open Sans"/>
    </font>
    <font>
      <u/>
      <sz val="8"/>
      <color rgb="FF000000"/>
      <name val="Arial Narrow"/>
    </font>
    <font>
      <sz val="11"/>
      <color rgb="FF5D33BF"/>
      <name val="Source Sans Pro"/>
    </font>
    <font>
      <i/>
      <sz val="9"/>
      <color rgb="FF222222"/>
      <name val="Arial"/>
    </font>
    <font>
      <sz val="9"/>
      <color rgb="FF222222"/>
      <name val="Arial"/>
    </font>
    <font>
      <u/>
      <sz val="11"/>
      <color rgb="FF1155CC"/>
      <name val="Calibri"/>
    </font>
    <font>
      <vertAlign val="superscript"/>
      <sz val="11"/>
      <color theme="1"/>
      <name val="Calibri"/>
    </font>
    <font>
      <b/>
      <u/>
      <sz val="10"/>
      <color theme="1"/>
      <name val="Arial Narrow"/>
    </font>
    <font>
      <i/>
      <sz val="9"/>
      <color theme="1"/>
      <name val="Open Sans"/>
    </font>
    <font>
      <sz val="9"/>
      <color theme="1"/>
      <name val="Open Sans"/>
    </font>
    <font>
      <i/>
      <sz val="10"/>
      <color rgb="FF222222"/>
      <name val="Arial"/>
    </font>
    <font>
      <i/>
      <sz val="10"/>
      <color rgb="FF222222"/>
      <name val="Times New Roman"/>
    </font>
    <font>
      <sz val="10"/>
      <color rgb="FF222222"/>
      <name val="Times New Roman"/>
    </font>
    <font>
      <b/>
      <sz val="8"/>
      <color theme="1"/>
      <name val="Tahoma"/>
    </font>
    <font>
      <sz val="8"/>
      <color theme="1"/>
      <name val="Tahoma"/>
    </font>
    <font>
      <i/>
      <sz val="8"/>
      <color theme="1"/>
      <name val="Tahoma"/>
    </font>
    <font>
      <i/>
      <sz val="10"/>
      <color theme="1"/>
      <name val="Arial Nova Cond Light"/>
    </font>
    <font>
      <sz val="10"/>
      <color theme="1"/>
      <name val="Arial Nova Cond Light"/>
    </font>
    <font>
      <b/>
      <sz val="10"/>
      <color rgb="FF000000"/>
      <name val="Arial"/>
    </font>
    <font>
      <sz val="10"/>
      <color rgb="FF3C4043"/>
      <name val="Times New Roman"/>
    </font>
  </fonts>
  <fills count="12">
    <fill>
      <patternFill patternType="none"/>
    </fill>
    <fill>
      <patternFill patternType="gray125"/>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
      <patternFill patternType="solid">
        <fgColor rgb="FFFDE9D9"/>
        <bgColor rgb="FFFDE9D9"/>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CCCCCC"/>
      </left>
      <right/>
      <top style="medium">
        <color rgb="FF000000"/>
      </top>
      <bottom style="medium">
        <color rgb="FF000000"/>
      </bottom>
      <diagonal/>
    </border>
    <border>
      <left style="thin">
        <color rgb="FFA6A6A6"/>
      </left>
      <right style="thin">
        <color rgb="FFA6A6A6"/>
      </right>
      <top style="thin">
        <color rgb="FFA6A6A6"/>
      </top>
      <bottom style="thin">
        <color rgb="FFA6A6A6"/>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rgb="FF000000"/>
      </left>
      <right/>
      <top/>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n">
        <color rgb="FF000000"/>
      </left>
      <right/>
      <top/>
      <bottom/>
      <diagonal/>
    </border>
  </borders>
  <cellStyleXfs count="1">
    <xf numFmtId="0" fontId="0" fillId="0" borderId="0"/>
  </cellStyleXfs>
  <cellXfs count="1273">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horizontal="center"/>
    </xf>
    <xf numFmtId="0" fontId="2" fillId="0" borderId="0" xfId="0" applyFont="1" applyAlignment="1">
      <alignment horizontal="center" vertical="center"/>
    </xf>
    <xf numFmtId="0" fontId="3" fillId="2" borderId="1" xfId="0" applyFont="1" applyFill="1" applyBorder="1"/>
    <xf numFmtId="0" fontId="4" fillId="0" borderId="1" xfId="0" applyFont="1" applyBorder="1" applyAlignment="1">
      <alignment horizontal="center"/>
    </xf>
    <xf numFmtId="0" fontId="4"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center" wrapText="1"/>
    </xf>
    <xf numFmtId="0" fontId="2" fillId="0" borderId="0" xfId="0" applyFont="1" applyAlignment="1">
      <alignment horizontal="center" vertical="center" textRotation="90" wrapText="1"/>
    </xf>
    <xf numFmtId="0" fontId="2" fillId="0" borderId="0" xfId="0" applyFont="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0" borderId="0" xfId="0" applyFont="1" applyAlignment="1">
      <alignment horizontal="center" vertical="center"/>
    </xf>
    <xf numFmtId="0" fontId="2" fillId="0" borderId="1" xfId="0" applyFont="1" applyBorder="1" applyAlignment="1">
      <alignment horizontal="center" vertical="center" wrapText="1"/>
    </xf>
    <xf numFmtId="0" fontId="6" fillId="0" borderId="1" xfId="0" applyFont="1" applyBorder="1"/>
    <xf numFmtId="0" fontId="2" fillId="6" borderId="1" xfId="0" applyFont="1" applyFill="1" applyBorder="1" applyAlignment="1">
      <alignment horizontal="center" vertical="center" wrapText="1"/>
    </xf>
    <xf numFmtId="3"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4" fontId="2" fillId="4" borderId="1" xfId="0" applyNumberFormat="1" applyFont="1" applyFill="1" applyBorder="1" applyAlignment="1">
      <alignment horizontal="center" vertical="center"/>
    </xf>
    <xf numFmtId="4" fontId="2" fillId="0" borderId="1" xfId="0" applyNumberFormat="1" applyFont="1" applyBorder="1" applyAlignment="1">
      <alignment horizontal="center" vertical="center"/>
    </xf>
    <xf numFmtId="4" fontId="2" fillId="5" borderId="1" xfId="0" applyNumberFormat="1" applyFont="1" applyFill="1" applyBorder="1" applyAlignment="1">
      <alignment horizontal="center" vertical="center"/>
    </xf>
    <xf numFmtId="3"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0" fontId="1" fillId="0" borderId="1" xfId="0" applyFont="1" applyBorder="1"/>
    <xf numFmtId="0" fontId="2" fillId="0" borderId="1" xfId="0" applyFont="1" applyBorder="1" applyAlignment="1">
      <alignment vertical="center"/>
    </xf>
    <xf numFmtId="0" fontId="2" fillId="0" borderId="1" xfId="0" applyFont="1" applyBorder="1" applyAlignment="1">
      <alignment horizontal="center" vertical="center"/>
    </xf>
    <xf numFmtId="0" fontId="2" fillId="0" borderId="1" xfId="0" applyFont="1" applyBorder="1"/>
    <xf numFmtId="0" fontId="2" fillId="0" borderId="0" xfId="0" applyFont="1" applyAlignment="1">
      <alignment vertical="center"/>
    </xf>
    <xf numFmtId="0" fontId="2" fillId="6" borderId="1" xfId="0" applyFont="1" applyFill="1" applyBorder="1" applyAlignment="1">
      <alignment horizontal="left" vertical="center" wrapText="1"/>
    </xf>
    <xf numFmtId="2" fontId="2" fillId="0" borderId="1" xfId="0" applyNumberFormat="1" applyFont="1" applyBorder="1" applyAlignment="1">
      <alignment horizontal="center" vertical="center"/>
    </xf>
    <xf numFmtId="4"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2" fontId="7" fillId="0" borderId="4"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2" fontId="2" fillId="0" borderId="4" xfId="0" applyNumberFormat="1" applyFont="1" applyBorder="1" applyAlignment="1">
      <alignment horizontal="center" vertical="center"/>
    </xf>
    <xf numFmtId="1" fontId="2" fillId="0" borderId="4" xfId="0" applyNumberFormat="1" applyFont="1" applyBorder="1" applyAlignment="1">
      <alignment horizontal="center" vertical="center"/>
    </xf>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1" fontId="1" fillId="4" borderId="1" xfId="0" applyNumberFormat="1" applyFont="1" applyFill="1" applyBorder="1" applyAlignment="1">
      <alignment horizontal="center" vertical="center"/>
    </xf>
    <xf numFmtId="4" fontId="1" fillId="4" borderId="1" xfId="0" applyNumberFormat="1" applyFont="1" applyFill="1" applyBorder="1" applyAlignment="1">
      <alignment horizontal="center" vertical="center"/>
    </xf>
    <xf numFmtId="4" fontId="2" fillId="0" borderId="0" xfId="0" applyNumberFormat="1" applyFont="1" applyAlignment="1">
      <alignment horizontal="center" vertical="center"/>
    </xf>
    <xf numFmtId="0" fontId="1" fillId="5" borderId="1" xfId="0" applyFont="1" applyFill="1" applyBorder="1" applyAlignment="1">
      <alignment horizontal="center" vertical="center" wrapText="1"/>
    </xf>
    <xf numFmtId="0" fontId="1" fillId="5" borderId="1" xfId="0" applyFont="1" applyFill="1" applyBorder="1"/>
    <xf numFmtId="0" fontId="1" fillId="5" borderId="1" xfId="0" applyFont="1" applyFill="1" applyBorder="1" applyAlignment="1">
      <alignment horizontal="center" vertical="center"/>
    </xf>
    <xf numFmtId="0" fontId="1" fillId="5" borderId="1" xfId="0" applyFont="1" applyFill="1" applyBorder="1" applyAlignment="1">
      <alignment horizontal="center"/>
    </xf>
    <xf numFmtId="4" fontId="1" fillId="5" borderId="1" xfId="0" applyNumberFormat="1" applyFont="1" applyFill="1" applyBorder="1" applyAlignment="1">
      <alignment horizontal="center" vertical="center"/>
    </xf>
    <xf numFmtId="4" fontId="2" fillId="0" borderId="0" xfId="0" applyNumberFormat="1" applyFont="1" applyAlignment="1">
      <alignment horizontal="center" vertical="center" wrapText="1"/>
    </xf>
    <xf numFmtId="1" fontId="2" fillId="0" borderId="0" xfId="0" applyNumberFormat="1" applyFont="1" applyAlignment="1">
      <alignment horizontal="center" vertical="center"/>
    </xf>
    <xf numFmtId="0" fontId="1" fillId="2" borderId="1" xfId="0" applyFont="1" applyFill="1" applyBorder="1" applyAlignment="1">
      <alignment horizontal="left" vertical="center"/>
    </xf>
    <xf numFmtId="0" fontId="1" fillId="0" borderId="1" xfId="0" applyFont="1" applyBorder="1" applyAlignment="1">
      <alignment horizontal="center" vertical="center"/>
    </xf>
    <xf numFmtId="0" fontId="1" fillId="4" borderId="1" xfId="0" applyFont="1" applyFill="1" applyBorder="1" applyAlignment="1">
      <alignment horizontal="left" vertical="center"/>
    </xf>
    <xf numFmtId="0" fontId="1" fillId="5" borderId="1" xfId="0" applyFont="1" applyFill="1" applyBorder="1" applyAlignment="1">
      <alignment horizontal="left" vertical="center"/>
    </xf>
    <xf numFmtId="0" fontId="2" fillId="0" borderId="0" xfId="0" applyFont="1" applyAlignment="1">
      <alignment horizontal="center" wrapText="1"/>
    </xf>
    <xf numFmtId="0" fontId="1" fillId="0" borderId="0" xfId="0" applyFont="1" applyAlignment="1">
      <alignment wrapText="1"/>
    </xf>
    <xf numFmtId="0" fontId="1"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horizontal="left"/>
    </xf>
    <xf numFmtId="0" fontId="10" fillId="0" borderId="0" xfId="0" applyFont="1"/>
    <xf numFmtId="0" fontId="5" fillId="0" borderId="0" xfId="0" applyFont="1"/>
    <xf numFmtId="0" fontId="5" fillId="0" borderId="0" xfId="0" applyFont="1" applyAlignment="1">
      <alignment horizontal="center"/>
    </xf>
    <xf numFmtId="0" fontId="10" fillId="0" borderId="0" xfId="0" applyFont="1" applyAlignment="1">
      <alignment horizontal="left"/>
    </xf>
    <xf numFmtId="0" fontId="5" fillId="0" borderId="0" xfId="0" applyFont="1" applyAlignment="1">
      <alignment horizontal="left"/>
    </xf>
    <xf numFmtId="0" fontId="10" fillId="0" borderId="0" xfId="0" applyFont="1" applyAlignment="1">
      <alignment horizontal="center"/>
    </xf>
    <xf numFmtId="0" fontId="1" fillId="8" borderId="8" xfId="0" applyFont="1" applyFill="1" applyBorder="1" applyAlignment="1">
      <alignment horizontal="left"/>
    </xf>
    <xf numFmtId="0" fontId="10" fillId="8" borderId="8" xfId="0" applyFont="1" applyFill="1" applyBorder="1"/>
    <xf numFmtId="0" fontId="5" fillId="8" borderId="8" xfId="0" applyFont="1" applyFill="1" applyBorder="1"/>
    <xf numFmtId="0" fontId="10" fillId="0" borderId="0" xfId="0" applyFont="1" applyAlignment="1">
      <alignment horizontal="left" wrapText="1"/>
    </xf>
    <xf numFmtId="0" fontId="10" fillId="0" borderId="0" xfId="0" applyFont="1" applyAlignment="1">
      <alignment vertical="top" wrapText="1"/>
    </xf>
    <xf numFmtId="0" fontId="10" fillId="0" borderId="0" xfId="0" applyFont="1" applyAlignment="1">
      <alignment horizontal="center" vertical="top" wrapText="1"/>
    </xf>
    <xf numFmtId="0" fontId="10" fillId="0" borderId="0" xfId="0" applyFont="1" applyAlignment="1">
      <alignment horizontal="center" wrapText="1"/>
    </xf>
    <xf numFmtId="0" fontId="3" fillId="9" borderId="2"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10" fillId="9" borderId="9"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6" fillId="10" borderId="8" xfId="0" applyFont="1" applyFill="1" applyBorder="1" applyAlignment="1">
      <alignment horizontal="center" wrapText="1"/>
    </xf>
    <xf numFmtId="0" fontId="11" fillId="0" borderId="0" xfId="0" applyFont="1" applyAlignment="1">
      <alignment horizontal="center"/>
    </xf>
    <xf numFmtId="0" fontId="12" fillId="0" borderId="0" xfId="0" applyFont="1" applyAlignment="1">
      <alignment horizontal="center"/>
    </xf>
    <xf numFmtId="0" fontId="2" fillId="0" borderId="0" xfId="0" applyFont="1" applyAlignment="1">
      <alignment horizontal="center"/>
    </xf>
    <xf numFmtId="0" fontId="4" fillId="6" borderId="1" xfId="0" applyFont="1" applyFill="1" applyBorder="1" applyAlignment="1">
      <alignment horizontal="left" vertical="top"/>
    </xf>
    <xf numFmtId="0" fontId="4" fillId="6" borderId="1" xfId="0" applyFont="1" applyFill="1" applyBorder="1" applyAlignment="1">
      <alignment vertical="top" wrapText="1"/>
    </xf>
    <xf numFmtId="0" fontId="4" fillId="6" borderId="1" xfId="0" applyFont="1" applyFill="1" applyBorder="1" applyAlignment="1">
      <alignment horizontal="center" vertical="top" wrapText="1"/>
    </xf>
    <xf numFmtId="0" fontId="4" fillId="6" borderId="9" xfId="0" applyFont="1" applyFill="1" applyBorder="1" applyAlignment="1">
      <alignment horizontal="center" vertical="top" wrapText="1"/>
    </xf>
    <xf numFmtId="0" fontId="4" fillId="0" borderId="11" xfId="0" applyFont="1" applyBorder="1" applyAlignment="1">
      <alignment horizontal="center" vertical="top" wrapText="1"/>
    </xf>
    <xf numFmtId="0" fontId="1" fillId="0" borderId="11" xfId="0" applyFont="1" applyBorder="1" applyAlignment="1">
      <alignment horizontal="left" vertical="top" wrapText="1"/>
    </xf>
    <xf numFmtId="0" fontId="13" fillId="0" borderId="11" xfId="0" applyFont="1" applyBorder="1" applyAlignment="1">
      <alignment horizontal="left" vertical="top" wrapText="1"/>
    </xf>
    <xf numFmtId="0" fontId="4" fillId="0" borderId="11" xfId="0" applyFont="1" applyBorder="1" applyAlignment="1">
      <alignment vertical="top" wrapText="1"/>
    </xf>
    <xf numFmtId="49" fontId="4" fillId="0" borderId="11" xfId="0" applyNumberFormat="1" applyFont="1" applyBorder="1" applyAlignment="1">
      <alignment horizontal="left" vertical="top" wrapText="1"/>
    </xf>
    <xf numFmtId="0" fontId="4" fillId="0" borderId="1" xfId="0" applyFont="1" applyBorder="1" applyAlignment="1">
      <alignment horizontal="center" vertical="top" wrapText="1"/>
    </xf>
    <xf numFmtId="1" fontId="3" fillId="0" borderId="1" xfId="0" applyNumberFormat="1" applyFont="1" applyBorder="1" applyAlignment="1">
      <alignment horizontal="center" vertical="top" wrapText="1"/>
    </xf>
    <xf numFmtId="1" fontId="3" fillId="0" borderId="12" xfId="0" applyNumberFormat="1" applyFont="1" applyBorder="1" applyAlignment="1">
      <alignment horizontal="center" vertical="top" wrapText="1"/>
    </xf>
    <xf numFmtId="4" fontId="3" fillId="0" borderId="4" xfId="0" applyNumberFormat="1" applyFont="1" applyBorder="1" applyAlignment="1">
      <alignment horizontal="left" vertical="top" wrapText="1"/>
    </xf>
    <xf numFmtId="0" fontId="1" fillId="0" borderId="1" xfId="0" applyFont="1" applyBorder="1" applyAlignment="1">
      <alignment horizontal="left"/>
    </xf>
    <xf numFmtId="0" fontId="1" fillId="0" borderId="1" xfId="0" applyFont="1" applyBorder="1" applyAlignment="1">
      <alignment horizontal="center"/>
    </xf>
    <xf numFmtId="0" fontId="2" fillId="0" borderId="1" xfId="0" applyFont="1" applyBorder="1" applyAlignment="1">
      <alignment horizontal="left" vertical="top"/>
    </xf>
    <xf numFmtId="0" fontId="1" fillId="0" borderId="3" xfId="0" applyFont="1" applyBorder="1" applyAlignment="1">
      <alignment horizontal="left" vertical="top"/>
    </xf>
    <xf numFmtId="0" fontId="1" fillId="0" borderId="3" xfId="0" applyFont="1" applyBorder="1" applyAlignment="1">
      <alignment vertical="top" wrapText="1"/>
    </xf>
    <xf numFmtId="0" fontId="1" fillId="0" borderId="11" xfId="0" applyFont="1" applyBorder="1" applyAlignment="1">
      <alignment horizontal="center" vertical="top" wrapText="1"/>
    </xf>
    <xf numFmtId="49" fontId="1" fillId="0" borderId="3" xfId="0" applyNumberFormat="1" applyFont="1" applyBorder="1" applyAlignment="1">
      <alignment horizontal="center" vertical="top" wrapText="1"/>
    </xf>
    <xf numFmtId="0" fontId="1" fillId="0" borderId="3" xfId="0" applyFont="1" applyBorder="1" applyAlignment="1">
      <alignment horizontal="center" vertical="top" wrapText="1"/>
    </xf>
    <xf numFmtId="49" fontId="1" fillId="0" borderId="11" xfId="0" applyNumberFormat="1" applyFont="1" applyBorder="1" applyAlignment="1">
      <alignment horizontal="center" vertical="top" wrapText="1"/>
    </xf>
    <xf numFmtId="49" fontId="1" fillId="0" borderId="11" xfId="0" applyNumberFormat="1" applyFont="1" applyBorder="1" applyAlignment="1">
      <alignment horizontal="left" vertical="top" wrapText="1"/>
    </xf>
    <xf numFmtId="4" fontId="10" fillId="0" borderId="3" xfId="0" applyNumberFormat="1" applyFont="1" applyBorder="1" applyAlignment="1">
      <alignment horizontal="center" vertical="top" wrapText="1"/>
    </xf>
    <xf numFmtId="4" fontId="3" fillId="0" borderId="1" xfId="0" applyNumberFormat="1" applyFont="1" applyBorder="1" applyAlignment="1">
      <alignment horizontal="center" vertical="top" wrapText="1"/>
    </xf>
    <xf numFmtId="49" fontId="4" fillId="6" borderId="1" xfId="0" applyNumberFormat="1" applyFont="1" applyFill="1" applyBorder="1" applyAlignment="1">
      <alignment horizontal="left" vertical="top" wrapText="1"/>
    </xf>
    <xf numFmtId="1" fontId="4" fillId="0" borderId="1" xfId="0" applyNumberFormat="1" applyFont="1" applyBorder="1" applyAlignment="1">
      <alignment horizontal="center" vertical="top" wrapText="1"/>
    </xf>
    <xf numFmtId="4" fontId="3" fillId="0" borderId="1" xfId="0" applyNumberFormat="1" applyFont="1" applyBorder="1" applyAlignment="1">
      <alignment horizontal="left" vertical="top" wrapText="1"/>
    </xf>
    <xf numFmtId="0" fontId="4" fillId="6" borderId="1" xfId="0" applyFont="1" applyFill="1" applyBorder="1" applyAlignment="1">
      <alignment horizontal="center" vertical="top"/>
    </xf>
    <xf numFmtId="0" fontId="4" fillId="0" borderId="1" xfId="0" applyFont="1" applyBorder="1" applyAlignment="1">
      <alignment horizontal="center" vertical="top"/>
    </xf>
    <xf numFmtId="0" fontId="14" fillId="0" borderId="1" xfId="0" applyFont="1" applyBorder="1" applyAlignment="1">
      <alignment horizontal="left" vertical="top"/>
    </xf>
    <xf numFmtId="0" fontId="4" fillId="0" borderId="1" xfId="0" applyFont="1" applyBorder="1" applyAlignment="1">
      <alignment horizontal="left" vertical="top"/>
    </xf>
    <xf numFmtId="1" fontId="2" fillId="0" borderId="1" xfId="0" applyNumberFormat="1" applyFont="1" applyBorder="1" applyAlignment="1">
      <alignment horizontal="left"/>
    </xf>
    <xf numFmtId="49" fontId="4" fillId="0" borderId="1" xfId="0" applyNumberFormat="1" applyFont="1" applyBorder="1" applyAlignment="1">
      <alignment horizontal="left" vertical="top"/>
    </xf>
    <xf numFmtId="4" fontId="3" fillId="0" borderId="1" xfId="0" applyNumberFormat="1" applyFont="1" applyBorder="1" applyAlignment="1">
      <alignment horizontal="left" vertical="top"/>
    </xf>
    <xf numFmtId="3" fontId="3" fillId="0" borderId="1" xfId="0" applyNumberFormat="1" applyFont="1" applyBorder="1" applyAlignment="1">
      <alignment horizontal="center" vertical="top" wrapText="1"/>
    </xf>
    <xf numFmtId="49" fontId="4" fillId="6" borderId="1" xfId="0" applyNumberFormat="1" applyFont="1" applyFill="1" applyBorder="1" applyAlignment="1">
      <alignment horizontal="left" vertical="top"/>
    </xf>
    <xf numFmtId="0" fontId="4" fillId="0" borderId="11" xfId="0" applyFont="1" applyBorder="1" applyAlignment="1">
      <alignment horizontal="left" vertical="top" wrapText="1"/>
    </xf>
    <xf numFmtId="1" fontId="4" fillId="0" borderId="12" xfId="0" applyNumberFormat="1" applyFont="1" applyBorder="1" applyAlignment="1">
      <alignment horizontal="center" vertical="top" wrapText="1"/>
    </xf>
    <xf numFmtId="0" fontId="1" fillId="0" borderId="1" xfId="0" applyFont="1" applyBorder="1" applyAlignment="1">
      <alignment horizontal="center" vertical="top"/>
    </xf>
    <xf numFmtId="0" fontId="15" fillId="0" borderId="1" xfId="0" applyFont="1" applyBorder="1" applyAlignment="1">
      <alignment horizontal="left" vertical="top" wrapText="1"/>
    </xf>
    <xf numFmtId="0" fontId="4" fillId="6" borderId="1" xfId="0" applyFont="1" applyFill="1" applyBorder="1" applyAlignment="1">
      <alignment horizontal="left" vertical="top" wrapText="1"/>
    </xf>
    <xf numFmtId="1" fontId="4" fillId="0" borderId="5" xfId="0" applyNumberFormat="1" applyFont="1" applyBorder="1" applyAlignment="1">
      <alignment horizontal="center" vertical="top" wrapText="1"/>
    </xf>
    <xf numFmtId="0" fontId="4" fillId="0" borderId="1" xfId="0" applyFont="1" applyBorder="1" applyAlignment="1">
      <alignment horizontal="left" vertical="top" wrapText="1"/>
    </xf>
    <xf numFmtId="0" fontId="4" fillId="0" borderId="1" xfId="0" applyFont="1" applyBorder="1" applyAlignment="1">
      <alignment vertical="top" wrapText="1"/>
    </xf>
    <xf numFmtId="49" fontId="4" fillId="0" borderId="1" xfId="0" applyNumberFormat="1" applyFont="1" applyBorder="1" applyAlignment="1">
      <alignment horizontal="left" vertical="top" wrapText="1"/>
    </xf>
    <xf numFmtId="4" fontId="4" fillId="0" borderId="1" xfId="0" applyNumberFormat="1" applyFont="1" applyBorder="1" applyAlignment="1">
      <alignment horizontal="left" vertical="top" wrapText="1"/>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4" fillId="0" borderId="0" xfId="0" applyFont="1" applyAlignment="1">
      <alignment horizontal="center" vertical="top" wrapText="1"/>
    </xf>
    <xf numFmtId="1" fontId="3" fillId="0" borderId="5" xfId="0" applyNumberFormat="1" applyFont="1" applyBorder="1" applyAlignment="1">
      <alignment horizontal="center" vertical="top" wrapText="1"/>
    </xf>
    <xf numFmtId="1" fontId="4" fillId="0" borderId="1" xfId="0" applyNumberFormat="1" applyFont="1" applyBorder="1" applyAlignment="1">
      <alignment horizontal="left" vertical="top" wrapText="1"/>
    </xf>
    <xf numFmtId="0" fontId="16" fillId="6" borderId="1" xfId="0" applyFont="1" applyFill="1" applyBorder="1" applyAlignment="1">
      <alignment horizontal="left" vertical="top" wrapText="1"/>
    </xf>
    <xf numFmtId="0" fontId="4" fillId="6" borderId="13" xfId="0" applyFont="1" applyFill="1" applyBorder="1" applyAlignment="1">
      <alignment horizontal="center" vertical="top" wrapText="1"/>
    </xf>
    <xf numFmtId="0" fontId="1" fillId="0" borderId="11" xfId="0" applyFont="1" applyBorder="1" applyAlignment="1">
      <alignment vertical="top" wrapText="1"/>
    </xf>
    <xf numFmtId="0" fontId="17" fillId="0" borderId="5" xfId="0" applyFont="1" applyBorder="1" applyAlignment="1">
      <alignment horizontal="left" vertical="top" wrapText="1"/>
    </xf>
    <xf numFmtId="0" fontId="18" fillId="0" borderId="1" xfId="0" applyFont="1" applyBorder="1" applyAlignment="1">
      <alignment horizontal="left" vertical="top" wrapText="1"/>
    </xf>
    <xf numFmtId="49" fontId="4" fillId="6" borderId="14" xfId="0" applyNumberFormat="1" applyFont="1" applyFill="1" applyBorder="1" applyAlignment="1">
      <alignment horizontal="left" vertical="top" wrapText="1"/>
    </xf>
    <xf numFmtId="0" fontId="2" fillId="0" borderId="0" xfId="0" applyFont="1" applyAlignment="1">
      <alignment horizontal="left" vertical="top" wrapText="1"/>
    </xf>
    <xf numFmtId="1" fontId="3" fillId="0" borderId="1" xfId="0" applyNumberFormat="1" applyFont="1" applyBorder="1" applyAlignment="1">
      <alignment horizontal="left" vertical="top" wrapText="1"/>
    </xf>
    <xf numFmtId="0" fontId="19" fillId="0" borderId="1" xfId="0" applyFont="1" applyBorder="1" applyAlignment="1">
      <alignment horizontal="left" vertical="top" wrapText="1"/>
    </xf>
    <xf numFmtId="0" fontId="20" fillId="0" borderId="0" xfId="0" applyFont="1" applyAlignment="1">
      <alignment horizontal="left" vertical="top" wrapText="1"/>
    </xf>
    <xf numFmtId="4" fontId="4" fillId="0" borderId="4" xfId="0" applyNumberFormat="1" applyFont="1" applyBorder="1" applyAlignment="1">
      <alignment horizontal="left" vertical="top" wrapText="1"/>
    </xf>
    <xf numFmtId="0" fontId="4" fillId="0" borderId="4" xfId="0" applyFont="1" applyBorder="1" applyAlignment="1">
      <alignment horizontal="left" vertical="top"/>
    </xf>
    <xf numFmtId="0" fontId="4" fillId="0" borderId="4" xfId="0" applyFont="1" applyBorder="1" applyAlignment="1">
      <alignment horizontal="center" vertical="top"/>
    </xf>
    <xf numFmtId="0" fontId="4" fillId="6" borderId="1" xfId="0" applyFont="1" applyFill="1" applyBorder="1" applyAlignment="1">
      <alignment horizontal="left" vertical="center"/>
    </xf>
    <xf numFmtId="0" fontId="4" fillId="6"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2" fillId="0" borderId="1" xfId="0" applyFont="1" applyBorder="1" applyAlignment="1">
      <alignment horizontal="left" vertical="center" wrapText="1"/>
    </xf>
    <xf numFmtId="0" fontId="2" fillId="0" borderId="1" xfId="0" applyFont="1" applyBorder="1" applyAlignment="1">
      <alignment horizontal="left"/>
    </xf>
    <xf numFmtId="0" fontId="21" fillId="0" borderId="1" xfId="0" applyFont="1" applyBorder="1" applyAlignment="1">
      <alignment horizontal="left" vertical="center"/>
    </xf>
    <xf numFmtId="0" fontId="21" fillId="0" borderId="1" xfId="0" applyFont="1" applyBorder="1" applyAlignment="1">
      <alignment horizontal="center" vertical="center"/>
    </xf>
    <xf numFmtId="0" fontId="4" fillId="0" borderId="1" xfId="0" applyFont="1" applyBorder="1" applyAlignment="1">
      <alignment horizontal="center" vertical="center" wrapText="1"/>
    </xf>
    <xf numFmtId="1" fontId="3" fillId="0" borderId="1" xfId="0" applyNumberFormat="1" applyFont="1" applyBorder="1" applyAlignment="1">
      <alignment horizontal="center" vertical="center" wrapText="1"/>
    </xf>
    <xf numFmtId="1" fontId="3" fillId="0" borderId="5" xfId="0" applyNumberFormat="1" applyFont="1" applyBorder="1" applyAlignment="1">
      <alignment horizontal="center" vertical="center" wrapText="1"/>
    </xf>
    <xf numFmtId="4" fontId="3" fillId="0" borderId="7" xfId="0" applyNumberFormat="1" applyFont="1" applyBorder="1" applyAlignment="1">
      <alignment horizontal="left" vertical="center" wrapText="1"/>
    </xf>
    <xf numFmtId="0" fontId="10" fillId="0" borderId="1" xfId="0" applyFont="1" applyBorder="1" applyAlignment="1">
      <alignment horizontal="center" vertical="center"/>
    </xf>
    <xf numFmtId="0" fontId="1" fillId="0" borderId="4" xfId="0" applyFont="1" applyBorder="1" applyAlignment="1">
      <alignment horizontal="left" vertical="top"/>
    </xf>
    <xf numFmtId="0" fontId="1" fillId="0" borderId="15" xfId="0" applyFont="1" applyBorder="1" applyAlignment="1">
      <alignment horizontal="center" vertical="top" wrapText="1"/>
    </xf>
    <xf numFmtId="0" fontId="23" fillId="0" borderId="15" xfId="0" applyFont="1" applyBorder="1" applyAlignment="1">
      <alignment horizontal="left" vertical="top" wrapText="1"/>
    </xf>
    <xf numFmtId="0" fontId="1" fillId="0" borderId="15" xfId="0" applyFont="1" applyBorder="1" applyAlignment="1">
      <alignment horizontal="left" vertical="top" wrapText="1"/>
    </xf>
    <xf numFmtId="49" fontId="1" fillId="0" borderId="15" xfId="0" applyNumberFormat="1" applyFont="1" applyBorder="1" applyAlignment="1">
      <alignment vertical="top" wrapText="1"/>
    </xf>
    <xf numFmtId="49" fontId="1" fillId="0" borderId="15" xfId="0" applyNumberFormat="1" applyFont="1" applyBorder="1" applyAlignment="1">
      <alignment horizontal="left" vertical="top" wrapText="1"/>
    </xf>
    <xf numFmtId="0" fontId="1" fillId="6" borderId="2" xfId="0" applyFont="1" applyFill="1" applyBorder="1" applyAlignment="1">
      <alignment horizontal="left" vertical="top"/>
    </xf>
    <xf numFmtId="0" fontId="1" fillId="6" borderId="9" xfId="0" applyFont="1" applyFill="1" applyBorder="1" applyAlignment="1">
      <alignment vertical="top" wrapText="1"/>
    </xf>
    <xf numFmtId="0" fontId="1" fillId="6" borderId="9" xfId="0" applyFont="1" applyFill="1" applyBorder="1" applyAlignment="1">
      <alignment horizontal="center" vertical="top" wrapText="1"/>
    </xf>
    <xf numFmtId="49" fontId="1" fillId="0" borderId="11" xfId="0" applyNumberFormat="1" applyFont="1" applyBorder="1" applyAlignment="1">
      <alignment vertical="top" wrapText="1"/>
    </xf>
    <xf numFmtId="0" fontId="4" fillId="0" borderId="3" xfId="0" applyFont="1" applyBorder="1" applyAlignment="1">
      <alignment horizontal="center" vertical="top" wrapText="1"/>
    </xf>
    <xf numFmtId="1" fontId="3" fillId="0" borderId="3" xfId="0" applyNumberFormat="1" applyFont="1" applyBorder="1" applyAlignment="1">
      <alignment horizontal="center" vertical="top" wrapText="1"/>
    </xf>
    <xf numFmtId="4" fontId="3" fillId="0" borderId="3" xfId="0" applyNumberFormat="1" applyFont="1" applyBorder="1" applyAlignment="1">
      <alignment horizontal="center" vertical="top" wrapText="1"/>
    </xf>
    <xf numFmtId="0" fontId="1" fillId="0" borderId="7" xfId="0" applyFont="1" applyBorder="1" applyAlignment="1">
      <alignment vertical="top" wrapText="1"/>
    </xf>
    <xf numFmtId="0" fontId="1" fillId="0" borderId="7" xfId="0" applyFont="1" applyBorder="1" applyAlignment="1">
      <alignment horizontal="center" vertical="top" wrapText="1"/>
    </xf>
    <xf numFmtId="0" fontId="24" fillId="0" borderId="7" xfId="0" applyFont="1" applyBorder="1" applyAlignment="1">
      <alignment horizontal="left" vertical="top" wrapText="1"/>
    </xf>
    <xf numFmtId="0" fontId="1" fillId="0" borderId="7" xfId="0" applyFont="1" applyBorder="1" applyAlignment="1">
      <alignment horizontal="left" vertical="top" wrapText="1"/>
    </xf>
    <xf numFmtId="49" fontId="1" fillId="0" borderId="7" xfId="0" applyNumberFormat="1" applyFont="1" applyBorder="1" applyAlignment="1">
      <alignment vertical="top" wrapText="1"/>
    </xf>
    <xf numFmtId="0" fontId="3" fillId="0" borderId="1" xfId="0" applyFont="1" applyBorder="1" applyAlignment="1">
      <alignment horizontal="center" vertical="top" wrapText="1"/>
    </xf>
    <xf numFmtId="2" fontId="3" fillId="0" borderId="1" xfId="0" applyNumberFormat="1" applyFont="1" applyBorder="1" applyAlignment="1">
      <alignment horizontal="center" vertical="top" wrapText="1"/>
    </xf>
    <xf numFmtId="0" fontId="4" fillId="0" borderId="4" xfId="0" applyFont="1" applyBorder="1" applyAlignment="1">
      <alignment horizontal="center" vertical="top" wrapText="1"/>
    </xf>
    <xf numFmtId="1" fontId="3" fillId="0" borderId="4" xfId="0" applyNumberFormat="1" applyFont="1" applyBorder="1" applyAlignment="1">
      <alignment horizontal="center" vertical="top" wrapText="1"/>
    </xf>
    <xf numFmtId="4" fontId="3" fillId="0" borderId="4" xfId="0" applyNumberFormat="1" applyFont="1" applyBorder="1" applyAlignment="1">
      <alignment horizontal="center" vertical="top" wrapText="1"/>
    </xf>
    <xf numFmtId="0" fontId="1" fillId="0" borderId="16" xfId="0" applyFont="1" applyBorder="1" applyAlignment="1">
      <alignment horizontal="left" vertical="top"/>
    </xf>
    <xf numFmtId="0" fontId="25" fillId="0" borderId="1" xfId="0" applyFont="1" applyBorder="1" applyAlignment="1">
      <alignment horizontal="left" vertical="top"/>
    </xf>
    <xf numFmtId="0" fontId="6" fillId="0" borderId="0" xfId="0" applyFont="1" applyAlignment="1">
      <alignment horizontal="left" vertical="top" wrapText="1"/>
    </xf>
    <xf numFmtId="49" fontId="1" fillId="0" borderId="4" xfId="0" applyNumberFormat="1" applyFont="1" applyBorder="1" applyAlignment="1">
      <alignment vertical="top" wrapText="1"/>
    </xf>
    <xf numFmtId="0" fontId="1" fillId="6" borderId="17" xfId="0" applyFont="1" applyFill="1" applyBorder="1" applyAlignment="1">
      <alignment horizontal="left" vertical="top"/>
    </xf>
    <xf numFmtId="0" fontId="1" fillId="6" borderId="18" xfId="0" applyFont="1" applyFill="1" applyBorder="1" applyAlignment="1">
      <alignment vertical="top" wrapText="1"/>
    </xf>
    <xf numFmtId="0" fontId="1" fillId="6" borderId="18" xfId="0" applyFont="1" applyFill="1" applyBorder="1" applyAlignment="1">
      <alignment horizontal="center" vertical="top" wrapText="1"/>
    </xf>
    <xf numFmtId="0" fontId="1" fillId="6" borderId="14" xfId="0" applyFont="1" applyFill="1" applyBorder="1" applyAlignment="1">
      <alignment horizontal="left" vertical="top" wrapText="1"/>
    </xf>
    <xf numFmtId="49" fontId="1" fillId="6" borderId="18" xfId="0" applyNumberFormat="1" applyFont="1" applyFill="1" applyBorder="1" applyAlignment="1">
      <alignment vertical="top" wrapText="1"/>
    </xf>
    <xf numFmtId="49" fontId="1" fillId="6" borderId="18" xfId="0" applyNumberFormat="1" applyFont="1" applyFill="1" applyBorder="1" applyAlignment="1">
      <alignment horizontal="left" vertical="top" wrapText="1"/>
    </xf>
    <xf numFmtId="0" fontId="4" fillId="0" borderId="19" xfId="0" applyFont="1" applyBorder="1" applyAlignment="1">
      <alignment horizontal="left" vertical="top"/>
    </xf>
    <xf numFmtId="0" fontId="4" fillId="0" borderId="20" xfId="0" applyFont="1" applyBorder="1" applyAlignment="1">
      <alignment vertical="top"/>
    </xf>
    <xf numFmtId="0" fontId="4" fillId="0" borderId="20" xfId="0" applyFont="1" applyBorder="1" applyAlignment="1">
      <alignment horizontal="center" vertical="top"/>
    </xf>
    <xf numFmtId="0" fontId="26" fillId="6" borderId="20" xfId="0" applyFont="1" applyFill="1" applyBorder="1" applyAlignment="1">
      <alignment horizontal="left" vertical="top"/>
    </xf>
    <xf numFmtId="0" fontId="27" fillId="0" borderId="20" xfId="0" applyFont="1" applyBorder="1" applyAlignment="1">
      <alignment horizontal="left" vertical="top"/>
    </xf>
    <xf numFmtId="0" fontId="2" fillId="6" borderId="20" xfId="0" applyFont="1" applyFill="1" applyBorder="1" applyAlignment="1">
      <alignment horizontal="left" vertical="top"/>
    </xf>
    <xf numFmtId="0" fontId="2" fillId="0" borderId="20" xfId="0" applyFont="1" applyBorder="1" applyAlignment="1">
      <alignment vertical="top"/>
    </xf>
    <xf numFmtId="0" fontId="4" fillId="0" borderId="20" xfId="0" applyFont="1" applyBorder="1" applyAlignment="1">
      <alignment horizontal="left" vertical="top"/>
    </xf>
    <xf numFmtId="0" fontId="3" fillId="0" borderId="20" xfId="0" applyFont="1" applyBorder="1" applyAlignment="1">
      <alignment horizontal="center" vertical="top"/>
    </xf>
    <xf numFmtId="0" fontId="3" fillId="0" borderId="20" xfId="0" applyFont="1" applyBorder="1" applyAlignment="1">
      <alignment horizontal="left" vertical="top"/>
    </xf>
    <xf numFmtId="0" fontId="2" fillId="0" borderId="20" xfId="0" applyFont="1" applyBorder="1" applyAlignment="1">
      <alignment horizontal="left" vertical="top"/>
    </xf>
    <xf numFmtId="0" fontId="28" fillId="0" borderId="20" xfId="0" applyFont="1" applyBorder="1" applyAlignment="1">
      <alignment horizontal="left" vertical="center"/>
    </xf>
    <xf numFmtId="0" fontId="3" fillId="0" borderId="21" xfId="0" applyFont="1" applyBorder="1" applyAlignment="1">
      <alignment horizontal="center" vertical="top"/>
    </xf>
    <xf numFmtId="0" fontId="6" fillId="10" borderId="1" xfId="0" applyFont="1" applyFill="1" applyBorder="1" applyAlignment="1">
      <alignment horizontal="left" wrapText="1"/>
    </xf>
    <xf numFmtId="0" fontId="11" fillId="0" borderId="0" xfId="0" applyFont="1"/>
    <xf numFmtId="0" fontId="12" fillId="0" borderId="0" xfId="0" applyFont="1"/>
    <xf numFmtId="0" fontId="2" fillId="0" borderId="0" xfId="0" applyFont="1"/>
    <xf numFmtId="0" fontId="1" fillId="0" borderId="1" xfId="0" applyFont="1" applyBorder="1" applyAlignment="1">
      <alignment horizontal="left" wrapText="1"/>
    </xf>
    <xf numFmtId="0" fontId="1" fillId="0" borderId="1" xfId="0" applyFont="1" applyBorder="1" applyAlignment="1">
      <alignment horizontal="center" wrapText="1"/>
    </xf>
    <xf numFmtId="0" fontId="11" fillId="0" borderId="0" xfId="0" applyFont="1" applyAlignment="1">
      <alignment wrapText="1"/>
    </xf>
    <xf numFmtId="0" fontId="12" fillId="0" borderId="0" xfId="0" applyFont="1" applyAlignment="1">
      <alignment wrapText="1"/>
    </xf>
    <xf numFmtId="0" fontId="2" fillId="0" borderId="0" xfId="0" applyFont="1" applyAlignment="1">
      <alignment wrapText="1"/>
    </xf>
    <xf numFmtId="0" fontId="1" fillId="6" borderId="1" xfId="0" applyFont="1" applyFill="1" applyBorder="1" applyAlignment="1">
      <alignment horizontal="left" vertical="top" wrapText="1"/>
    </xf>
    <xf numFmtId="0" fontId="1" fillId="6" borderId="1" xfId="0" applyFont="1" applyFill="1" applyBorder="1" applyAlignment="1">
      <alignment vertical="top" wrapText="1"/>
    </xf>
    <xf numFmtId="0" fontId="1" fillId="6" borderId="1" xfId="0" applyFont="1" applyFill="1" applyBorder="1" applyAlignment="1">
      <alignment horizontal="center" vertical="top" wrapText="1"/>
    </xf>
    <xf numFmtId="49" fontId="29" fillId="7" borderId="22" xfId="0" applyNumberFormat="1" applyFont="1" applyFill="1" applyBorder="1" applyAlignment="1">
      <alignment horizontal="center" vertical="center" shrinkToFit="1"/>
    </xf>
    <xf numFmtId="0" fontId="29" fillId="0" borderId="11" xfId="0" applyFont="1" applyBorder="1" applyAlignment="1">
      <alignment horizontal="left" vertical="top" wrapText="1"/>
    </xf>
    <xf numFmtId="0" fontId="29" fillId="0" borderId="11" xfId="0" applyFont="1" applyBorder="1" applyAlignment="1">
      <alignment vertical="top" wrapText="1"/>
    </xf>
    <xf numFmtId="0" fontId="1" fillId="0" borderId="1" xfId="0" applyFont="1" applyBorder="1" applyAlignment="1">
      <alignment horizontal="center" vertical="top" wrapText="1"/>
    </xf>
    <xf numFmtId="1" fontId="10" fillId="0" borderId="1" xfId="0" applyNumberFormat="1" applyFont="1" applyBorder="1" applyAlignment="1">
      <alignment horizontal="center" vertical="top" wrapText="1"/>
    </xf>
    <xf numFmtId="1" fontId="10" fillId="0" borderId="12" xfId="0" applyNumberFormat="1" applyFont="1" applyBorder="1" applyAlignment="1">
      <alignment horizontal="center" vertical="top" wrapText="1"/>
    </xf>
    <xf numFmtId="4" fontId="10" fillId="0" borderId="4" xfId="0" applyNumberFormat="1" applyFont="1" applyBorder="1" applyAlignment="1">
      <alignment horizontal="left" vertical="top" wrapText="1"/>
    </xf>
    <xf numFmtId="0" fontId="30" fillId="0" borderId="1" xfId="0" applyFont="1" applyBorder="1" applyAlignment="1">
      <alignment horizontal="left" vertical="top" wrapText="1"/>
    </xf>
    <xf numFmtId="0" fontId="2" fillId="0" borderId="1" xfId="0" applyFont="1" applyBorder="1" applyAlignment="1">
      <alignment horizontal="left" wrapText="1"/>
    </xf>
    <xf numFmtId="0" fontId="31" fillId="0" borderId="11" xfId="0" applyFont="1" applyBorder="1" applyAlignment="1">
      <alignment horizontal="left" vertical="top" wrapText="1"/>
    </xf>
    <xf numFmtId="1" fontId="4" fillId="0" borderId="5" xfId="0" applyNumberFormat="1" applyFont="1" applyBorder="1" applyAlignment="1">
      <alignment horizontal="left" vertical="top" wrapText="1"/>
    </xf>
    <xf numFmtId="0" fontId="32" fillId="6" borderId="1" xfId="0" applyFont="1" applyFill="1" applyBorder="1" applyAlignment="1">
      <alignment horizontal="left" vertical="top" wrapText="1"/>
    </xf>
    <xf numFmtId="0" fontId="10" fillId="0" borderId="1" xfId="0" applyFont="1" applyBorder="1" applyAlignment="1">
      <alignment horizontal="center" vertical="top" wrapText="1"/>
    </xf>
    <xf numFmtId="49" fontId="4" fillId="0" borderId="1" xfId="0" applyNumberFormat="1" applyFont="1" applyBorder="1" applyAlignment="1">
      <alignment horizontal="center" vertical="top" wrapText="1"/>
    </xf>
    <xf numFmtId="0" fontId="4" fillId="6" borderId="9" xfId="0" applyFont="1" applyFill="1" applyBorder="1" applyAlignment="1">
      <alignment horizontal="left" vertical="top" wrapText="1"/>
    </xf>
    <xf numFmtId="0" fontId="33" fillId="0" borderId="1" xfId="0" applyFont="1" applyBorder="1" applyAlignment="1">
      <alignment horizontal="left" vertical="top" wrapText="1"/>
    </xf>
    <xf numFmtId="2" fontId="10" fillId="0" borderId="1" xfId="0" applyNumberFormat="1" applyFont="1" applyBorder="1" applyAlignment="1">
      <alignment horizontal="center" vertical="top" wrapText="1"/>
    </xf>
    <xf numFmtId="0" fontId="10" fillId="0" borderId="1" xfId="0" applyFont="1" applyBorder="1" applyAlignment="1">
      <alignment horizontal="center" vertical="top"/>
    </xf>
    <xf numFmtId="49" fontId="4" fillId="0" borderId="11" xfId="0" applyNumberFormat="1" applyFont="1" applyBorder="1" applyAlignment="1">
      <alignment vertical="top" wrapText="1"/>
    </xf>
    <xf numFmtId="49" fontId="4" fillId="6" borderId="1" xfId="0" applyNumberFormat="1" applyFont="1" applyFill="1" applyBorder="1" applyAlignment="1">
      <alignment vertical="top" wrapText="1"/>
    </xf>
    <xf numFmtId="49" fontId="4" fillId="0" borderId="1" xfId="0" applyNumberFormat="1" applyFont="1" applyBorder="1" applyAlignment="1">
      <alignment vertical="top" wrapText="1"/>
    </xf>
    <xf numFmtId="0" fontId="2" fillId="0" borderId="0" xfId="0" applyFont="1" applyAlignment="1">
      <alignment horizontal="left"/>
    </xf>
    <xf numFmtId="0" fontId="34" fillId="0" borderId="1" xfId="0" applyFont="1" applyBorder="1" applyAlignment="1">
      <alignment horizontal="left" vertical="top" wrapText="1"/>
    </xf>
    <xf numFmtId="2" fontId="1" fillId="0" borderId="1" xfId="0" applyNumberFormat="1" applyFont="1" applyBorder="1" applyAlignment="1">
      <alignment horizontal="center" vertical="top"/>
    </xf>
    <xf numFmtId="1" fontId="4" fillId="0" borderId="11" xfId="0" applyNumberFormat="1" applyFont="1" applyBorder="1" applyAlignment="1">
      <alignment horizontal="center" vertical="top" wrapText="1"/>
    </xf>
    <xf numFmtId="0" fontId="35" fillId="0" borderId="0" xfId="0" applyFont="1" applyAlignment="1">
      <alignment horizontal="left" vertical="top"/>
    </xf>
    <xf numFmtId="4" fontId="4" fillId="0" borderId="4" xfId="0" quotePrefix="1" applyNumberFormat="1" applyFont="1" applyBorder="1" applyAlignment="1">
      <alignment horizontal="left" vertical="top" wrapText="1"/>
    </xf>
    <xf numFmtId="4" fontId="4" fillId="0" borderId="1" xfId="0" quotePrefix="1" applyNumberFormat="1" applyFont="1" applyBorder="1" applyAlignment="1">
      <alignment horizontal="left" vertical="top" wrapText="1"/>
    </xf>
    <xf numFmtId="0" fontId="4" fillId="0" borderId="3" xfId="0" applyFont="1" applyBorder="1" applyAlignment="1">
      <alignment horizontal="left" vertical="top"/>
    </xf>
    <xf numFmtId="0" fontId="4" fillId="6" borderId="2" xfId="0" applyFont="1" applyFill="1" applyBorder="1" applyAlignment="1">
      <alignment vertical="top" wrapText="1"/>
    </xf>
    <xf numFmtId="0" fontId="36" fillId="0" borderId="3" xfId="0" applyFont="1" applyBorder="1" applyAlignment="1">
      <alignment horizontal="left" vertical="top" wrapText="1"/>
    </xf>
    <xf numFmtId="0" fontId="4" fillId="0" borderId="3" xfId="0" applyFont="1" applyBorder="1" applyAlignment="1">
      <alignment vertical="top" wrapText="1"/>
    </xf>
    <xf numFmtId="49" fontId="4" fillId="0" borderId="3" xfId="0" applyNumberFormat="1" applyFont="1" applyBorder="1" applyAlignment="1">
      <alignment horizontal="left" vertical="top" wrapText="1"/>
    </xf>
    <xf numFmtId="4" fontId="4" fillId="0" borderId="16" xfId="0" quotePrefix="1"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23" xfId="0" applyNumberFormat="1" applyFont="1" applyBorder="1" applyAlignment="1">
      <alignment horizontal="center" vertical="top" wrapText="1"/>
    </xf>
    <xf numFmtId="4" fontId="4" fillId="0" borderId="16" xfId="0" quotePrefix="1" applyNumberFormat="1" applyFont="1" applyBorder="1" applyAlignment="1">
      <alignment horizontal="left" vertical="top" wrapText="1"/>
    </xf>
    <xf numFmtId="4" fontId="4" fillId="0" borderId="1" xfId="0" quotePrefix="1" applyNumberFormat="1" applyFont="1" applyBorder="1" applyAlignment="1">
      <alignment horizontal="center" vertical="top" wrapText="1"/>
    </xf>
    <xf numFmtId="49" fontId="4" fillId="6" borderId="1" xfId="0" applyNumberFormat="1" applyFont="1" applyFill="1" applyBorder="1" applyAlignment="1">
      <alignment horizontal="center" vertical="top" wrapText="1"/>
    </xf>
    <xf numFmtId="0" fontId="37" fillId="0" borderId="0" xfId="0" applyFont="1" applyAlignment="1">
      <alignment horizontal="left" vertical="top" wrapText="1"/>
    </xf>
    <xf numFmtId="2" fontId="10" fillId="0" borderId="1" xfId="0" applyNumberFormat="1" applyFont="1" applyBorder="1" applyAlignment="1">
      <alignment horizontal="center" vertical="top"/>
    </xf>
    <xf numFmtId="2" fontId="10" fillId="0" borderId="1" xfId="0" applyNumberFormat="1" applyFont="1" applyBorder="1" applyAlignment="1">
      <alignment horizontal="center" vertical="center"/>
    </xf>
    <xf numFmtId="0" fontId="1" fillId="0" borderId="1" xfId="0" applyFont="1" applyBorder="1" applyAlignment="1">
      <alignment horizontal="left" vertical="center" wrapText="1"/>
    </xf>
    <xf numFmtId="2" fontId="1" fillId="0" borderId="1" xfId="0" applyNumberFormat="1" applyFont="1" applyBorder="1" applyAlignment="1">
      <alignment horizontal="center"/>
    </xf>
    <xf numFmtId="0" fontId="38" fillId="0" borderId="0" xfId="0" applyFont="1" applyAlignment="1">
      <alignment horizontal="left" vertical="top" wrapText="1"/>
    </xf>
    <xf numFmtId="0" fontId="39" fillId="0" borderId="1" xfId="0" applyFont="1" applyBorder="1" applyAlignment="1">
      <alignment horizontal="left" vertical="top" wrapText="1"/>
    </xf>
    <xf numFmtId="0" fontId="4" fillId="0" borderId="1" xfId="0" applyFont="1" applyBorder="1" applyAlignment="1">
      <alignment horizontal="left"/>
    </xf>
    <xf numFmtId="0" fontId="3" fillId="0" borderId="1" xfId="0" applyFont="1" applyBorder="1" applyAlignment="1">
      <alignment horizontal="center" vertical="top"/>
    </xf>
    <xf numFmtId="0" fontId="4" fillId="0" borderId="0" xfId="0" applyFont="1" applyAlignment="1">
      <alignment horizontal="left" vertical="top"/>
    </xf>
    <xf numFmtId="0" fontId="40" fillId="0" borderId="11" xfId="0" applyFont="1" applyBorder="1" applyAlignment="1">
      <alignment horizontal="left" vertical="top" wrapText="1"/>
    </xf>
    <xf numFmtId="0" fontId="4" fillId="0" borderId="23" xfId="0" applyFont="1" applyBorder="1" applyAlignment="1">
      <alignment horizontal="left" vertical="top" wrapText="1"/>
    </xf>
    <xf numFmtId="0" fontId="2" fillId="0" borderId="3" xfId="0" applyFont="1" applyBorder="1" applyAlignment="1">
      <alignment horizontal="left"/>
    </xf>
    <xf numFmtId="0" fontId="2" fillId="0" borderId="3" xfId="0" applyFont="1" applyBorder="1"/>
    <xf numFmtId="1" fontId="3" fillId="0" borderId="3" xfId="0" applyNumberFormat="1" applyFont="1" applyBorder="1" applyAlignment="1">
      <alignment horizontal="left" vertical="top" wrapText="1"/>
    </xf>
    <xf numFmtId="4" fontId="3" fillId="0" borderId="3" xfId="0" applyNumberFormat="1" applyFont="1" applyBorder="1" applyAlignment="1">
      <alignment horizontal="left" vertical="top" wrapText="1"/>
    </xf>
    <xf numFmtId="0" fontId="1" fillId="0" borderId="3" xfId="0" applyFont="1" applyBorder="1" applyAlignment="1">
      <alignment horizontal="left"/>
    </xf>
    <xf numFmtId="2" fontId="1" fillId="0" borderId="3" xfId="0" applyNumberFormat="1" applyFont="1" applyBorder="1" applyAlignment="1">
      <alignment horizontal="center" vertical="top"/>
    </xf>
    <xf numFmtId="0" fontId="41" fillId="0" borderId="4" xfId="0" applyFont="1" applyBorder="1" applyAlignment="1">
      <alignment horizontal="left" vertical="top" wrapText="1"/>
    </xf>
    <xf numFmtId="0" fontId="42" fillId="0" borderId="4" xfId="0" applyFont="1" applyBorder="1" applyAlignment="1">
      <alignment horizontal="left" vertical="top" wrapText="1"/>
    </xf>
    <xf numFmtId="0" fontId="4" fillId="0" borderId="4" xfId="0" applyFont="1" applyBorder="1" applyAlignment="1">
      <alignment vertical="top" wrapText="1"/>
    </xf>
    <xf numFmtId="49" fontId="4" fillId="0" borderId="4" xfId="0" applyNumberFormat="1" applyFont="1" applyBorder="1" applyAlignment="1">
      <alignment horizontal="left" vertical="top" wrapText="1"/>
    </xf>
    <xf numFmtId="1" fontId="4" fillId="0" borderId="4" xfId="0" applyNumberFormat="1" applyFont="1" applyBorder="1" applyAlignment="1">
      <alignment horizontal="center" vertical="top" wrapText="1"/>
    </xf>
    <xf numFmtId="0" fontId="2" fillId="0" borderId="4" xfId="0" applyFont="1" applyBorder="1" applyAlignment="1">
      <alignment horizontal="center" vertical="top"/>
    </xf>
    <xf numFmtId="2" fontId="4" fillId="0" borderId="4" xfId="0" applyNumberFormat="1" applyFont="1" applyBorder="1" applyAlignment="1">
      <alignment horizontal="center" vertical="top"/>
    </xf>
    <xf numFmtId="0" fontId="4" fillId="8" borderId="1" xfId="0" applyFont="1" applyFill="1" applyBorder="1" applyAlignment="1">
      <alignment horizontal="left" vertical="top"/>
    </xf>
    <xf numFmtId="0" fontId="4" fillId="8" borderId="1" xfId="0" applyFont="1" applyFill="1" applyBorder="1" applyAlignment="1">
      <alignment horizontal="center" vertical="top" wrapText="1"/>
    </xf>
    <xf numFmtId="0" fontId="4" fillId="8" borderId="9" xfId="0" applyFont="1" applyFill="1" applyBorder="1" applyAlignment="1">
      <alignment horizontal="center" vertical="top" wrapText="1"/>
    </xf>
    <xf numFmtId="0" fontId="4" fillId="8" borderId="9" xfId="0" applyFont="1" applyFill="1" applyBorder="1" applyAlignment="1">
      <alignment horizontal="left" vertical="top" wrapText="1"/>
    </xf>
    <xf numFmtId="0" fontId="43" fillId="8" borderId="9" xfId="0" applyFont="1" applyFill="1" applyBorder="1" applyAlignment="1">
      <alignment horizontal="left" vertical="top" wrapText="1"/>
    </xf>
    <xf numFmtId="0" fontId="4" fillId="8" borderId="9" xfId="0" applyFont="1" applyFill="1" applyBorder="1" applyAlignment="1">
      <alignment vertical="top" wrapText="1"/>
    </xf>
    <xf numFmtId="49" fontId="4" fillId="8" borderId="9" xfId="0" applyNumberFormat="1" applyFont="1" applyFill="1" applyBorder="1" applyAlignment="1">
      <alignment horizontal="left" vertical="top" wrapText="1"/>
    </xf>
    <xf numFmtId="1" fontId="3" fillId="8" borderId="1" xfId="0" applyNumberFormat="1" applyFont="1" applyFill="1" applyBorder="1" applyAlignment="1">
      <alignment horizontal="center" vertical="top" wrapText="1"/>
    </xf>
    <xf numFmtId="1" fontId="3" fillId="8" borderId="24" xfId="0" applyNumberFormat="1" applyFont="1" applyFill="1" applyBorder="1" applyAlignment="1">
      <alignment horizontal="center" vertical="top" wrapText="1"/>
    </xf>
    <xf numFmtId="4" fontId="3" fillId="8" borderId="17" xfId="0" applyNumberFormat="1" applyFont="1" applyFill="1" applyBorder="1" applyAlignment="1">
      <alignment horizontal="left" vertical="top" wrapText="1"/>
    </xf>
    <xf numFmtId="0" fontId="4" fillId="8" borderId="1" xfId="0" applyFont="1" applyFill="1" applyBorder="1" applyAlignment="1">
      <alignment horizontal="left" wrapText="1"/>
    </xf>
    <xf numFmtId="0" fontId="4" fillId="8" borderId="1" xfId="0" applyFont="1" applyFill="1" applyBorder="1" applyAlignment="1">
      <alignment wrapText="1"/>
    </xf>
    <xf numFmtId="0" fontId="4" fillId="8" borderId="1" xfId="0" applyFont="1" applyFill="1" applyBorder="1" applyAlignment="1">
      <alignment horizontal="left" vertical="top" wrapText="1"/>
    </xf>
    <xf numFmtId="0" fontId="4" fillId="8" borderId="1" xfId="0" applyFont="1" applyFill="1" applyBorder="1" applyAlignment="1">
      <alignment vertical="top" wrapText="1"/>
    </xf>
    <xf numFmtId="49" fontId="4" fillId="8" borderId="8" xfId="0" applyNumberFormat="1" applyFont="1" applyFill="1" applyBorder="1" applyAlignment="1">
      <alignment horizontal="left" vertical="top" wrapText="1"/>
    </xf>
    <xf numFmtId="1" fontId="4" fillId="8" borderId="1" xfId="0" applyNumberFormat="1" applyFont="1" applyFill="1" applyBorder="1" applyAlignment="1">
      <alignment horizontal="center" vertical="top" wrapText="1"/>
    </xf>
    <xf numFmtId="1" fontId="4" fillId="8" borderId="13" xfId="0" applyNumberFormat="1" applyFont="1" applyFill="1" applyBorder="1" applyAlignment="1">
      <alignment horizontal="center" vertical="top" wrapText="1"/>
    </xf>
    <xf numFmtId="4" fontId="3" fillId="8" borderId="1" xfId="0" applyNumberFormat="1" applyFont="1" applyFill="1" applyBorder="1" applyAlignment="1">
      <alignment horizontal="left" vertical="top" wrapText="1"/>
    </xf>
    <xf numFmtId="49" fontId="4" fillId="8" borderId="1" xfId="0" applyNumberFormat="1" applyFont="1" applyFill="1" applyBorder="1" applyAlignment="1">
      <alignment horizontal="left" vertical="top" wrapText="1"/>
    </xf>
    <xf numFmtId="1" fontId="4" fillId="8" borderId="8" xfId="0" applyNumberFormat="1" applyFont="1" applyFill="1" applyBorder="1" applyAlignment="1">
      <alignment horizontal="center" vertical="top" wrapText="1"/>
    </xf>
    <xf numFmtId="0" fontId="4" fillId="8" borderId="8" xfId="0" applyFont="1" applyFill="1" applyBorder="1" applyAlignment="1">
      <alignment vertical="top" wrapText="1"/>
    </xf>
    <xf numFmtId="0" fontId="4" fillId="8" borderId="8" xfId="0" applyFont="1" applyFill="1" applyBorder="1" applyAlignment="1">
      <alignment horizontal="center" vertical="top" wrapText="1"/>
    </xf>
    <xf numFmtId="0" fontId="44" fillId="8" borderId="1" xfId="0" applyFont="1" applyFill="1" applyBorder="1" applyAlignment="1">
      <alignment horizontal="left" vertical="top" wrapText="1"/>
    </xf>
    <xf numFmtId="0" fontId="4" fillId="8" borderId="1" xfId="0" applyFont="1" applyFill="1" applyBorder="1" applyAlignment="1">
      <alignment horizontal="center" wrapText="1"/>
    </xf>
    <xf numFmtId="0" fontId="4" fillId="8" borderId="8" xfId="0" applyFont="1" applyFill="1" applyBorder="1" applyAlignment="1">
      <alignment horizontal="left" vertical="top" wrapText="1"/>
    </xf>
    <xf numFmtId="0" fontId="4" fillId="8" borderId="8" xfId="0" applyFont="1" applyFill="1" applyBorder="1" applyAlignment="1">
      <alignment wrapText="1"/>
    </xf>
    <xf numFmtId="0" fontId="4" fillId="8" borderId="8" xfId="0" applyFont="1" applyFill="1" applyBorder="1" applyAlignment="1">
      <alignment horizontal="left" vertical="top"/>
    </xf>
    <xf numFmtId="0" fontId="4" fillId="8" borderId="2" xfId="0" applyFont="1" applyFill="1" applyBorder="1" applyAlignment="1">
      <alignment horizontal="center" vertical="top" wrapText="1"/>
    </xf>
    <xf numFmtId="0" fontId="4" fillId="8" borderId="25" xfId="0" applyFont="1" applyFill="1" applyBorder="1" applyAlignment="1">
      <alignment horizontal="center" vertical="top" wrapText="1"/>
    </xf>
    <xf numFmtId="0" fontId="4" fillId="8" borderId="14" xfId="0" applyFont="1" applyFill="1" applyBorder="1" applyAlignment="1">
      <alignment horizontal="center" vertical="top" wrapText="1"/>
    </xf>
    <xf numFmtId="0" fontId="45" fillId="8" borderId="8" xfId="0" applyFont="1" applyFill="1" applyBorder="1" applyAlignment="1">
      <alignment horizontal="left" vertical="top" wrapText="1"/>
    </xf>
    <xf numFmtId="49" fontId="4" fillId="8" borderId="13" xfId="0" applyNumberFormat="1" applyFont="1" applyFill="1" applyBorder="1" applyAlignment="1">
      <alignment horizontal="left" vertical="top" wrapText="1"/>
    </xf>
    <xf numFmtId="0" fontId="46" fillId="8" borderId="8" xfId="0" applyFont="1" applyFill="1" applyBorder="1" applyAlignment="1">
      <alignment horizontal="left" vertical="top" wrapText="1"/>
    </xf>
    <xf numFmtId="1" fontId="4" fillId="8" borderId="2" xfId="0" applyNumberFormat="1" applyFont="1" applyFill="1" applyBorder="1" applyAlignment="1">
      <alignment horizontal="center" vertical="top" wrapText="1"/>
    </xf>
    <xf numFmtId="4" fontId="4" fillId="8" borderId="1" xfId="0" applyNumberFormat="1" applyFont="1" applyFill="1" applyBorder="1" applyAlignment="1">
      <alignment horizontal="left" vertical="top" wrapText="1"/>
    </xf>
    <xf numFmtId="3" fontId="4" fillId="8" borderId="25" xfId="0" applyNumberFormat="1" applyFont="1" applyFill="1" applyBorder="1" applyAlignment="1">
      <alignment horizontal="center" vertical="top" wrapText="1"/>
    </xf>
    <xf numFmtId="1" fontId="4" fillId="8" borderId="25" xfId="0" applyNumberFormat="1" applyFont="1" applyFill="1" applyBorder="1" applyAlignment="1">
      <alignment horizontal="center" vertical="top" wrapText="1"/>
    </xf>
    <xf numFmtId="0" fontId="4" fillId="8" borderId="17" xfId="0" applyFont="1" applyFill="1" applyBorder="1" applyAlignment="1">
      <alignment horizontal="center" vertical="top" wrapText="1"/>
    </xf>
    <xf numFmtId="1" fontId="3" fillId="8" borderId="17" xfId="0" applyNumberFormat="1" applyFont="1" applyFill="1" applyBorder="1" applyAlignment="1">
      <alignment horizontal="center" vertical="top" wrapText="1"/>
    </xf>
    <xf numFmtId="1" fontId="3" fillId="8" borderId="13" xfId="0" applyNumberFormat="1" applyFont="1" applyFill="1" applyBorder="1" applyAlignment="1">
      <alignment horizontal="center" vertical="top" wrapText="1"/>
    </xf>
    <xf numFmtId="0" fontId="4" fillId="8" borderId="17" xfId="0" applyFont="1" applyFill="1" applyBorder="1" applyAlignment="1">
      <alignment vertical="top" wrapText="1"/>
    </xf>
    <xf numFmtId="0" fontId="47" fillId="8" borderId="1" xfId="0" applyFont="1" applyFill="1" applyBorder="1" applyAlignment="1">
      <alignment horizontal="left"/>
    </xf>
    <xf numFmtId="0" fontId="48" fillId="8" borderId="1" xfId="0" applyFont="1" applyFill="1" applyBorder="1" applyAlignment="1">
      <alignment horizontal="left" wrapText="1"/>
    </xf>
    <xf numFmtId="0" fontId="49" fillId="0" borderId="0" xfId="0" applyFont="1"/>
    <xf numFmtId="0" fontId="49" fillId="0" borderId="0" xfId="0" applyFont="1" applyAlignment="1">
      <alignment horizontal="center"/>
    </xf>
    <xf numFmtId="0" fontId="50" fillId="7" borderId="8" xfId="0" applyFont="1" applyFill="1" applyBorder="1" applyAlignment="1">
      <alignment horizontal="center" vertical="top" wrapText="1"/>
    </xf>
    <xf numFmtId="0" fontId="50" fillId="7" borderId="8" xfId="0" applyFont="1" applyFill="1" applyBorder="1" applyAlignment="1">
      <alignment horizontal="left" vertical="top" wrapText="1"/>
    </xf>
    <xf numFmtId="0" fontId="5" fillId="10" borderId="8" xfId="0" applyFont="1" applyFill="1" applyBorder="1" applyAlignment="1">
      <alignment wrapText="1"/>
    </xf>
    <xf numFmtId="1" fontId="3" fillId="0" borderId="1" xfId="0" applyNumberFormat="1" applyFont="1" applyBorder="1" applyAlignment="1">
      <alignment horizontal="left" vertical="top"/>
    </xf>
    <xf numFmtId="0" fontId="49" fillId="0" borderId="1" xfId="0" applyFont="1" applyBorder="1" applyAlignment="1">
      <alignment vertical="top"/>
    </xf>
    <xf numFmtId="1" fontId="4" fillId="0" borderId="1" xfId="0" applyNumberFormat="1" applyFont="1" applyBorder="1" applyAlignment="1">
      <alignment horizontal="left" vertical="top"/>
    </xf>
    <xf numFmtId="49" fontId="4" fillId="0" borderId="11" xfId="0" applyNumberFormat="1" applyFont="1" applyBorder="1" applyAlignment="1">
      <alignment horizontal="center" vertical="top" wrapText="1"/>
    </xf>
    <xf numFmtId="0" fontId="51" fillId="0" borderId="1" xfId="0" applyFont="1" applyBorder="1" applyAlignment="1">
      <alignment vertical="top" wrapText="1"/>
    </xf>
    <xf numFmtId="0" fontId="52" fillId="0" borderId="1" xfId="0" applyFont="1" applyBorder="1" applyAlignment="1">
      <alignment vertical="top"/>
    </xf>
    <xf numFmtId="0" fontId="51" fillId="0" borderId="1" xfId="0" applyFont="1" applyBorder="1" applyAlignment="1">
      <alignment vertical="top"/>
    </xf>
    <xf numFmtId="0" fontId="5" fillId="10" borderId="26" xfId="0" applyFont="1" applyFill="1" applyBorder="1" applyAlignment="1">
      <alignment wrapText="1"/>
    </xf>
    <xf numFmtId="4" fontId="49" fillId="0" borderId="0" xfId="0" applyNumberFormat="1" applyFont="1"/>
    <xf numFmtId="0" fontId="2" fillId="0" borderId="6" xfId="0" applyFont="1" applyBorder="1"/>
    <xf numFmtId="0" fontId="2" fillId="0" borderId="7" xfId="0" applyFont="1" applyBorder="1"/>
    <xf numFmtId="0" fontId="53" fillId="0" borderId="0" xfId="0" applyFont="1"/>
    <xf numFmtId="0" fontId="1" fillId="0" borderId="0" xfId="0" applyFont="1" applyAlignment="1">
      <alignment horizontal="left" wrapText="1"/>
    </xf>
    <xf numFmtId="0" fontId="10" fillId="9" borderId="2" xfId="0" applyFont="1" applyFill="1" applyBorder="1" applyAlignment="1">
      <alignment horizontal="center" vertical="center" wrapText="1"/>
    </xf>
    <xf numFmtId="164" fontId="10" fillId="9" borderId="2" xfId="0" applyNumberFormat="1" applyFont="1" applyFill="1" applyBorder="1" applyAlignment="1">
      <alignment horizontal="center" vertical="center" wrapText="1"/>
    </xf>
    <xf numFmtId="0" fontId="10" fillId="0" borderId="3" xfId="0" applyFont="1" applyBorder="1" applyAlignment="1">
      <alignment horizontal="center" vertical="center" wrapText="1"/>
    </xf>
    <xf numFmtId="0" fontId="10" fillId="0" borderId="11" xfId="0" applyFont="1" applyBorder="1" applyAlignment="1">
      <alignment horizontal="center" vertical="center" wrapText="1"/>
    </xf>
    <xf numFmtId="0" fontId="54" fillId="0" borderId="3" xfId="0" applyFont="1" applyBorder="1" applyAlignment="1">
      <alignment horizontal="center" vertical="center" wrapText="1"/>
    </xf>
    <xf numFmtId="164" fontId="10" fillId="0" borderId="3" xfId="0" applyNumberFormat="1" applyFont="1" applyBorder="1" applyAlignment="1">
      <alignment horizontal="center" vertical="center" wrapText="1"/>
    </xf>
    <xf numFmtId="164" fontId="10" fillId="2" borderId="2" xfId="0" applyNumberFormat="1" applyFont="1" applyFill="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4" fontId="1"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3" fontId="1" fillId="0" borderId="3" xfId="0" applyNumberFormat="1" applyFont="1" applyBorder="1" applyAlignment="1">
      <alignment horizontal="center" vertical="top" wrapText="1"/>
    </xf>
    <xf numFmtId="2" fontId="1" fillId="0" borderId="3" xfId="0" applyNumberFormat="1" applyFont="1" applyBorder="1" applyAlignment="1">
      <alignment horizontal="center" vertical="top" wrapText="1"/>
    </xf>
    <xf numFmtId="164" fontId="1" fillId="0" borderId="3" xfId="0" applyNumberFormat="1" applyFont="1" applyBorder="1" applyAlignment="1">
      <alignment horizontal="center" vertical="top" wrapText="1"/>
    </xf>
    <xf numFmtId="0" fontId="10" fillId="0" borderId="1" xfId="0" applyFont="1" applyBorder="1" applyAlignment="1">
      <alignment horizontal="center" vertical="center" wrapText="1"/>
    </xf>
    <xf numFmtId="0" fontId="55" fillId="0" borderId="1" xfId="0" applyFont="1" applyBorder="1" applyAlignment="1">
      <alignment horizontal="center" vertical="center" wrapText="1"/>
    </xf>
    <xf numFmtId="164" fontId="10" fillId="0" borderId="1" xfId="0" applyNumberFormat="1"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10" fillId="0" borderId="3" xfId="0" applyFont="1" applyBorder="1" applyAlignment="1">
      <alignment horizontal="center" vertical="top" wrapText="1"/>
    </xf>
    <xf numFmtId="0" fontId="10" fillId="0" borderId="11" xfId="0" applyFont="1" applyBorder="1" applyAlignment="1">
      <alignment horizontal="center" vertical="top" wrapText="1"/>
    </xf>
    <xf numFmtId="0" fontId="56" fillId="0" borderId="3" xfId="0" applyFont="1" applyBorder="1" applyAlignment="1">
      <alignment horizontal="center" vertical="top" wrapText="1"/>
    </xf>
    <xf numFmtId="164" fontId="10" fillId="0" borderId="3" xfId="0" applyNumberFormat="1" applyFont="1" applyBorder="1" applyAlignment="1">
      <alignment horizontal="center" vertical="top" wrapText="1"/>
    </xf>
    <xf numFmtId="0" fontId="2" fillId="0" borderId="0" xfId="0" applyFont="1" applyAlignment="1">
      <alignment vertical="top"/>
    </xf>
    <xf numFmtId="164" fontId="49" fillId="0" borderId="0" xfId="0" applyNumberFormat="1" applyFont="1"/>
    <xf numFmtId="0" fontId="8" fillId="0" borderId="0" xfId="0" applyFont="1" applyAlignment="1">
      <alignment horizontal="center" wrapText="1"/>
    </xf>
    <xf numFmtId="0" fontId="10" fillId="9" borderId="14"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58" fillId="0" borderId="1" xfId="0" applyFont="1" applyBorder="1" applyAlignment="1">
      <alignment vertical="top" wrapText="1"/>
    </xf>
    <xf numFmtId="0" fontId="4" fillId="0" borderId="1" xfId="0" applyFont="1" applyBorder="1" applyAlignment="1">
      <alignment vertical="top"/>
    </xf>
    <xf numFmtId="0" fontId="59" fillId="0" borderId="1" xfId="0" applyFont="1" applyBorder="1" applyAlignment="1">
      <alignment horizontal="center" vertical="top" wrapText="1"/>
    </xf>
    <xf numFmtId="0" fontId="3" fillId="0" borderId="1" xfId="0" applyFont="1" applyBorder="1" applyAlignment="1">
      <alignment vertical="top" wrapText="1"/>
    </xf>
    <xf numFmtId="0" fontId="60" fillId="0" borderId="1" xfId="0" applyFont="1" applyBorder="1" applyAlignment="1">
      <alignment horizontal="center" vertical="top" wrapText="1"/>
    </xf>
    <xf numFmtId="3" fontId="4" fillId="0" borderId="1" xfId="0" applyNumberFormat="1" applyFont="1" applyBorder="1" applyAlignment="1">
      <alignment horizontal="center" vertical="top"/>
    </xf>
    <xf numFmtId="0" fontId="61" fillId="0" borderId="1" xfId="0" applyFont="1" applyBorder="1" applyAlignment="1">
      <alignment vertical="top" wrapText="1"/>
    </xf>
    <xf numFmtId="3" fontId="3" fillId="0" borderId="1" xfId="0" applyNumberFormat="1" applyFont="1" applyBorder="1" applyAlignment="1">
      <alignment horizontal="center" vertical="top"/>
    </xf>
    <xf numFmtId="0" fontId="4" fillId="0" borderId="1" xfId="0" applyFont="1" applyBorder="1"/>
    <xf numFmtId="0" fontId="4" fillId="8" borderId="1" xfId="0" applyFont="1" applyFill="1" applyBorder="1"/>
    <xf numFmtId="0" fontId="4" fillId="0" borderId="1" xfId="0" applyFont="1" applyBorder="1" applyAlignment="1">
      <alignment vertical="center"/>
    </xf>
    <xf numFmtId="0" fontId="4" fillId="0" borderId="0" xfId="0" applyFont="1" applyAlignment="1">
      <alignment vertical="center"/>
    </xf>
    <xf numFmtId="0" fontId="4" fillId="6" borderId="1" xfId="0" applyFont="1" applyFill="1" applyBorder="1" applyAlignment="1">
      <alignment vertical="top"/>
    </xf>
    <xf numFmtId="0" fontId="62" fillId="0" borderId="1" xfId="0" applyFont="1" applyBorder="1" applyAlignment="1">
      <alignment vertical="top"/>
    </xf>
    <xf numFmtId="0" fontId="63" fillId="0" borderId="1" xfId="0" applyFont="1" applyBorder="1" applyAlignment="1">
      <alignment horizontal="center" vertical="top"/>
    </xf>
    <xf numFmtId="49" fontId="4" fillId="0" borderId="1" xfId="0" applyNumberFormat="1" applyFont="1" applyBorder="1" applyAlignment="1">
      <alignment horizontal="center" vertical="top"/>
    </xf>
    <xf numFmtId="0" fontId="4" fillId="0" borderId="11" xfId="0" applyFont="1" applyBorder="1" applyAlignment="1">
      <alignment horizontal="center" vertical="top"/>
    </xf>
    <xf numFmtId="4" fontId="3" fillId="0" borderId="1" xfId="0" applyNumberFormat="1" applyFont="1" applyBorder="1" applyAlignment="1">
      <alignment horizontal="center" vertical="top"/>
    </xf>
    <xf numFmtId="0" fontId="4" fillId="0" borderId="3" xfId="0" applyFont="1" applyBorder="1" applyAlignment="1">
      <alignment vertical="top"/>
    </xf>
    <xf numFmtId="0" fontId="64" fillId="0" borderId="0" xfId="0" applyFont="1" applyAlignment="1">
      <alignment vertical="center"/>
    </xf>
    <xf numFmtId="0" fontId="4" fillId="0" borderId="1" xfId="0" applyFont="1" applyBorder="1" applyAlignment="1">
      <alignment horizontal="right" vertical="top" wrapText="1"/>
    </xf>
    <xf numFmtId="0" fontId="4" fillId="0" borderId="0" xfId="0" applyFont="1" applyAlignment="1">
      <alignment vertical="top" wrapText="1"/>
    </xf>
    <xf numFmtId="0" fontId="2" fillId="0" borderId="0" xfId="0" applyFont="1" applyAlignment="1">
      <alignment vertical="center" wrapText="1"/>
    </xf>
    <xf numFmtId="0" fontId="65" fillId="0" borderId="1" xfId="0" applyFont="1" applyBorder="1" applyAlignment="1">
      <alignment vertical="top" wrapText="1"/>
    </xf>
    <xf numFmtId="0" fontId="65" fillId="0" borderId="1" xfId="0" applyFont="1" applyBorder="1" applyAlignment="1">
      <alignment horizontal="center" vertical="top" wrapText="1"/>
    </xf>
    <xf numFmtId="0" fontId="65" fillId="0" borderId="1" xfId="0" applyFont="1" applyBorder="1" applyAlignment="1">
      <alignment horizontal="left" vertical="top" wrapText="1"/>
    </xf>
    <xf numFmtId="0" fontId="66" fillId="0" borderId="0" xfId="0" applyFont="1" applyAlignment="1">
      <alignment vertical="center" wrapText="1"/>
    </xf>
    <xf numFmtId="49" fontId="67" fillId="0" borderId="1" xfId="0" applyNumberFormat="1" applyFont="1" applyBorder="1" applyAlignment="1">
      <alignment horizontal="center" vertical="top" wrapText="1"/>
    </xf>
    <xf numFmtId="1" fontId="65" fillId="0" borderId="1" xfId="0" applyNumberFormat="1" applyFont="1" applyBorder="1" applyAlignment="1">
      <alignment horizontal="center" vertical="top" wrapText="1"/>
    </xf>
    <xf numFmtId="1" fontId="68" fillId="0" borderId="1" xfId="0" applyNumberFormat="1" applyFont="1" applyBorder="1" applyAlignment="1">
      <alignment horizontal="center" vertical="top" wrapText="1"/>
    </xf>
    <xf numFmtId="49" fontId="65" fillId="0" borderId="1" xfId="0" applyNumberFormat="1" applyFont="1" applyBorder="1" applyAlignment="1">
      <alignment horizontal="center" vertical="top" wrapText="1"/>
    </xf>
    <xf numFmtId="0" fontId="69" fillId="0" borderId="1" xfId="0" applyFont="1" applyBorder="1" applyAlignment="1">
      <alignment horizontal="left" vertical="top" wrapText="1"/>
    </xf>
    <xf numFmtId="0" fontId="4" fillId="0" borderId="1" xfId="0" applyFont="1" applyBorder="1" applyAlignment="1">
      <alignment horizontal="right" vertical="top"/>
    </xf>
    <xf numFmtId="0" fontId="3" fillId="0" borderId="1" xfId="0" applyFont="1" applyBorder="1" applyAlignment="1">
      <alignment horizontal="right" vertical="top"/>
    </xf>
    <xf numFmtId="2" fontId="4" fillId="0" borderId="1" xfId="0" applyNumberFormat="1" applyFont="1" applyBorder="1" applyAlignment="1">
      <alignment horizontal="right" vertical="top" wrapText="1"/>
    </xf>
    <xf numFmtId="0" fontId="4" fillId="0" borderId="1" xfId="0" applyFont="1" applyBorder="1" applyAlignment="1">
      <alignment horizontal="left" wrapText="1"/>
    </xf>
    <xf numFmtId="49" fontId="4" fillId="0" borderId="1" xfId="0" applyNumberFormat="1" applyFont="1" applyBorder="1" applyAlignment="1">
      <alignment horizontal="right" vertical="top" wrapText="1"/>
    </xf>
    <xf numFmtId="0" fontId="70" fillId="0" borderId="1" xfId="0" applyFont="1" applyBorder="1" applyAlignment="1">
      <alignment horizontal="left" wrapText="1"/>
    </xf>
    <xf numFmtId="0" fontId="70" fillId="0" borderId="1" xfId="0" applyFont="1" applyBorder="1" applyAlignment="1">
      <alignment horizontal="left" vertical="top" wrapText="1"/>
    </xf>
    <xf numFmtId="3" fontId="3" fillId="0" borderId="1" xfId="0" applyNumberFormat="1" applyFont="1" applyBorder="1" applyAlignment="1">
      <alignment horizontal="right" vertical="top" wrapText="1"/>
    </xf>
    <xf numFmtId="2" fontId="3" fillId="0" borderId="1" xfId="0" applyNumberFormat="1" applyFont="1" applyBorder="1" applyAlignment="1">
      <alignment horizontal="right" vertical="top" wrapText="1"/>
    </xf>
    <xf numFmtId="0" fontId="69" fillId="0" borderId="1" xfId="0" applyFont="1" applyBorder="1" applyAlignment="1">
      <alignment vertical="top" wrapText="1"/>
    </xf>
    <xf numFmtId="0" fontId="70" fillId="0" borderId="1" xfId="0" applyFont="1" applyBorder="1" applyAlignment="1">
      <alignment wrapText="1"/>
    </xf>
    <xf numFmtId="0" fontId="71" fillId="0" borderId="1" xfId="0" applyFont="1" applyBorder="1" applyAlignment="1">
      <alignment vertical="top" wrapText="1"/>
    </xf>
    <xf numFmtId="0" fontId="4" fillId="6" borderId="2" xfId="0" applyFont="1" applyFill="1" applyBorder="1" applyAlignment="1">
      <alignment horizontal="center" vertical="top" wrapText="1"/>
    </xf>
    <xf numFmtId="0" fontId="2" fillId="0" borderId="0" xfId="0" applyFont="1" applyAlignment="1">
      <alignment vertical="top" shrinkToFit="1"/>
    </xf>
    <xf numFmtId="49" fontId="4" fillId="0" borderId="3" xfId="0" applyNumberFormat="1" applyFont="1" applyBorder="1" applyAlignment="1">
      <alignment horizontal="center" vertical="top" wrapText="1"/>
    </xf>
    <xf numFmtId="3" fontId="3" fillId="0" borderId="3" xfId="0" applyNumberFormat="1" applyFont="1" applyBorder="1" applyAlignment="1">
      <alignment horizontal="center" vertical="top" wrapText="1"/>
    </xf>
    <xf numFmtId="0" fontId="72" fillId="0" borderId="1" xfId="0" applyFont="1" applyBorder="1" applyAlignment="1">
      <alignment horizontal="center" vertical="top" wrapText="1"/>
    </xf>
    <xf numFmtId="0" fontId="4" fillId="0" borderId="1" xfId="0" applyFont="1" applyBorder="1" applyAlignment="1">
      <alignment wrapText="1"/>
    </xf>
    <xf numFmtId="4" fontId="3" fillId="0" borderId="16" xfId="0" applyNumberFormat="1" applyFont="1" applyBorder="1" applyAlignment="1">
      <alignment horizontal="center" vertical="top" wrapText="1"/>
    </xf>
    <xf numFmtId="0" fontId="73" fillId="0" borderId="4" xfId="0" applyFont="1" applyBorder="1" applyAlignment="1">
      <alignment vertical="top" wrapText="1"/>
    </xf>
    <xf numFmtId="0" fontId="74" fillId="6" borderId="8" xfId="0" applyFont="1" applyFill="1" applyBorder="1" applyAlignment="1">
      <alignment vertical="top" wrapText="1"/>
    </xf>
    <xf numFmtId="0" fontId="3" fillId="0" borderId="4" xfId="0" applyFont="1" applyBorder="1" applyAlignment="1">
      <alignment horizontal="center" vertical="top"/>
    </xf>
    <xf numFmtId="0" fontId="3" fillId="0" borderId="4" xfId="0" applyFont="1" applyBorder="1" applyAlignment="1">
      <alignment horizontal="center" vertical="top" wrapText="1"/>
    </xf>
    <xf numFmtId="49" fontId="4" fillId="0" borderId="4" xfId="0" applyNumberFormat="1" applyFont="1" applyBorder="1" applyAlignment="1">
      <alignment horizontal="center" vertical="top" wrapText="1"/>
    </xf>
    <xf numFmtId="3" fontId="3" fillId="0" borderId="4" xfId="0" applyNumberFormat="1" applyFont="1" applyBorder="1" applyAlignment="1">
      <alignment horizontal="center" vertical="top"/>
    </xf>
    <xf numFmtId="0" fontId="75" fillId="0" borderId="1" xfId="0" applyFont="1" applyBorder="1" applyAlignment="1">
      <alignment horizontal="center" vertical="top" wrapText="1"/>
    </xf>
    <xf numFmtId="0" fontId="51" fillId="0" borderId="0" xfId="0" applyFont="1"/>
    <xf numFmtId="0" fontId="76" fillId="0" borderId="0" xfId="0" applyFont="1" applyAlignment="1">
      <alignment vertical="center"/>
    </xf>
    <xf numFmtId="0" fontId="1" fillId="0" borderId="1" xfId="0" applyFont="1" applyBorder="1" applyAlignment="1">
      <alignment vertical="top" wrapText="1"/>
    </xf>
    <xf numFmtId="0" fontId="77" fillId="0" borderId="0" xfId="0" applyFont="1" applyAlignment="1">
      <alignment horizontal="center" vertical="top" wrapText="1"/>
    </xf>
    <xf numFmtId="49" fontId="4" fillId="0" borderId="0" xfId="0" applyNumberFormat="1" applyFont="1" applyAlignment="1">
      <alignment horizontal="center" vertical="top" wrapText="1"/>
    </xf>
    <xf numFmtId="3" fontId="3" fillId="0" borderId="0" xfId="0" applyNumberFormat="1" applyFont="1" applyAlignment="1">
      <alignment horizontal="center" vertical="top"/>
    </xf>
    <xf numFmtId="4" fontId="3" fillId="0" borderId="0" xfId="0" applyNumberFormat="1" applyFont="1" applyAlignment="1">
      <alignment horizontal="center" vertical="top" wrapText="1"/>
    </xf>
    <xf numFmtId="0" fontId="78" fillId="0" borderId="1" xfId="0" applyFont="1" applyBorder="1" applyAlignment="1">
      <alignment horizontal="center" vertical="center" wrapText="1"/>
    </xf>
    <xf numFmtId="49" fontId="79" fillId="0" borderId="1"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78" fillId="0" borderId="0" xfId="0" applyFont="1" applyAlignment="1">
      <alignment horizontal="center" vertical="center" wrapText="1"/>
    </xf>
    <xf numFmtId="0" fontId="3" fillId="0" borderId="1" xfId="0" applyFont="1" applyBorder="1" applyAlignment="1">
      <alignment horizontal="center" vertical="center" wrapText="1"/>
    </xf>
    <xf numFmtId="0" fontId="80" fillId="0" borderId="1" xfId="0" applyFont="1" applyBorder="1" applyAlignment="1">
      <alignment horizontal="center" vertical="center" wrapText="1"/>
    </xf>
    <xf numFmtId="0" fontId="4" fillId="0" borderId="6" xfId="0" applyFont="1" applyBorder="1" applyAlignment="1">
      <alignment horizontal="center" vertical="center" wrapText="1"/>
    </xf>
    <xf numFmtId="0" fontId="81" fillId="0" borderId="7" xfId="0" applyFont="1" applyBorder="1" applyAlignment="1">
      <alignment horizontal="center" vertical="top" wrapText="1"/>
    </xf>
    <xf numFmtId="0" fontId="4" fillId="0" borderId="5" xfId="0" applyFont="1" applyBorder="1" applyAlignment="1">
      <alignment horizontal="center" vertical="center" wrapText="1"/>
    </xf>
    <xf numFmtId="0" fontId="82" fillId="0" borderId="0" xfId="0" applyFont="1" applyAlignment="1">
      <alignment horizontal="center" vertical="center" wrapText="1"/>
    </xf>
    <xf numFmtId="0" fontId="78" fillId="0" borderId="4" xfId="0" applyFont="1" applyBorder="1" applyAlignment="1">
      <alignment horizontal="center" vertical="top" wrapText="1"/>
    </xf>
    <xf numFmtId="49" fontId="4" fillId="0" borderId="1" xfId="0" applyNumberFormat="1" applyFont="1" applyBorder="1" applyAlignment="1">
      <alignment horizontal="center" vertical="center" wrapText="1"/>
    </xf>
    <xf numFmtId="3" fontId="3" fillId="0" borderId="1" xfId="0" applyNumberFormat="1" applyFont="1" applyBorder="1" applyAlignment="1">
      <alignment horizontal="center" vertical="center"/>
    </xf>
    <xf numFmtId="4" fontId="3" fillId="0" borderId="1"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left" vertical="center" wrapText="1"/>
    </xf>
    <xf numFmtId="0" fontId="4" fillId="0" borderId="1" xfId="0" applyFont="1" applyBorder="1" applyAlignment="1">
      <alignment horizontal="left" vertical="center" wrapText="1"/>
    </xf>
    <xf numFmtId="0" fontId="4" fillId="0" borderId="7" xfId="0" applyFont="1" applyBorder="1" applyAlignment="1">
      <alignment horizontal="left" vertical="center" wrapText="1"/>
    </xf>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4" fillId="0" borderId="16" xfId="0" applyFont="1" applyBorder="1" applyAlignment="1">
      <alignment horizontal="left" vertical="center" wrapText="1"/>
    </xf>
    <xf numFmtId="0" fontId="4" fillId="0" borderId="1" xfId="0" applyFont="1" applyBorder="1" applyAlignment="1">
      <alignment vertical="center" wrapText="1"/>
    </xf>
    <xf numFmtId="0" fontId="83" fillId="0" borderId="1" xfId="0" applyFont="1" applyBorder="1" applyAlignment="1">
      <alignment horizontal="center" vertical="top" wrapText="1"/>
    </xf>
    <xf numFmtId="0" fontId="84" fillId="0" borderId="3" xfId="0" applyFont="1" applyBorder="1" applyAlignment="1">
      <alignment horizontal="left" vertical="top" wrapText="1"/>
    </xf>
    <xf numFmtId="3" fontId="3" fillId="0" borderId="3" xfId="0" applyNumberFormat="1" applyFont="1" applyBorder="1" applyAlignment="1">
      <alignment horizontal="center" vertical="top"/>
    </xf>
    <xf numFmtId="0" fontId="85" fillId="0" borderId="0" xfId="0" applyFont="1" applyAlignment="1">
      <alignment vertical="top" wrapText="1"/>
    </xf>
    <xf numFmtId="0" fontId="4" fillId="0" borderId="3" xfId="0" applyFont="1" applyBorder="1" applyAlignment="1">
      <alignment horizontal="left" vertical="top" wrapText="1"/>
    </xf>
    <xf numFmtId="0" fontId="86" fillId="0" borderId="1" xfId="0" applyFont="1" applyBorder="1" applyAlignment="1">
      <alignment vertical="top" wrapText="1"/>
    </xf>
    <xf numFmtId="0" fontId="87" fillId="0" borderId="1" xfId="0" applyFont="1" applyBorder="1" applyAlignment="1">
      <alignment vertical="top" wrapText="1"/>
    </xf>
    <xf numFmtId="0" fontId="1" fillId="0" borderId="0" xfId="0" applyFont="1" applyAlignment="1">
      <alignment vertical="center" wrapText="1"/>
    </xf>
    <xf numFmtId="0" fontId="88" fillId="0" borderId="0" xfId="0" applyFont="1"/>
    <xf numFmtId="0" fontId="70" fillId="0" borderId="0" xfId="0" applyFont="1" applyAlignment="1">
      <alignment vertical="top" wrapText="1"/>
    </xf>
    <xf numFmtId="0" fontId="89" fillId="6" borderId="1" xfId="0" applyFont="1" applyFill="1" applyBorder="1" applyAlignment="1">
      <alignment horizontal="left" vertical="top" wrapText="1"/>
    </xf>
    <xf numFmtId="0" fontId="90" fillId="0" borderId="0" xfId="0" applyFont="1"/>
    <xf numFmtId="0" fontId="91" fillId="0" borderId="0" xfId="0" applyFont="1" applyAlignment="1">
      <alignment vertical="center" wrapText="1"/>
    </xf>
    <xf numFmtId="0" fontId="9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93" fillId="6" borderId="1"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 fontId="4" fillId="6" borderId="13" xfId="0" applyNumberFormat="1"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94" fillId="0" borderId="1" xfId="0" applyFont="1" applyBorder="1" applyAlignment="1">
      <alignment horizontal="center" vertical="center" wrapText="1"/>
    </xf>
    <xf numFmtId="0" fontId="6" fillId="0" borderId="1" xfId="0" applyFont="1" applyBorder="1" applyAlignment="1">
      <alignment horizontal="center" vertical="center"/>
    </xf>
    <xf numFmtId="0" fontId="70" fillId="0" borderId="0" xfId="0" applyFont="1" applyAlignment="1">
      <alignment horizontal="left" vertical="top" wrapText="1"/>
    </xf>
    <xf numFmtId="0" fontId="95" fillId="0" borderId="1" xfId="0" applyFont="1" applyBorder="1" applyAlignment="1">
      <alignment vertical="top" wrapText="1"/>
    </xf>
    <xf numFmtId="0" fontId="96" fillId="0" borderId="1" xfId="0" applyFont="1" applyBorder="1" applyAlignment="1">
      <alignment horizontal="center" vertical="top" wrapText="1"/>
    </xf>
    <xf numFmtId="0" fontId="4" fillId="0" borderId="0" xfId="0" applyFont="1" applyAlignment="1">
      <alignment horizontal="left" vertical="top" wrapText="1"/>
    </xf>
    <xf numFmtId="0" fontId="97" fillId="8" borderId="1" xfId="0" applyFont="1" applyFill="1" applyBorder="1" applyAlignment="1">
      <alignment horizontal="center" vertical="top" wrapText="1"/>
    </xf>
    <xf numFmtId="0" fontId="2" fillId="8" borderId="2" xfId="0" applyFont="1" applyFill="1" applyBorder="1" applyAlignment="1">
      <alignment horizontal="center" vertical="top" wrapText="1"/>
    </xf>
    <xf numFmtId="0" fontId="98" fillId="8" borderId="13" xfId="0" applyFont="1" applyFill="1" applyBorder="1" applyAlignment="1">
      <alignment horizontal="center" vertical="top" wrapText="1"/>
    </xf>
    <xf numFmtId="0" fontId="2" fillId="8" borderId="1" xfId="0" applyFont="1" applyFill="1" applyBorder="1" applyAlignment="1">
      <alignment horizontal="center" vertical="top" wrapText="1"/>
    </xf>
    <xf numFmtId="0" fontId="4" fillId="0" borderId="6" xfId="0" applyFont="1" applyBorder="1" applyAlignment="1">
      <alignment horizontal="right" vertical="top" wrapText="1"/>
    </xf>
    <xf numFmtId="0" fontId="4" fillId="0" borderId="5" xfId="0" applyFont="1" applyBorder="1" applyAlignment="1">
      <alignment horizontal="right" vertical="top" wrapText="1"/>
    </xf>
    <xf numFmtId="0" fontId="99" fillId="8" borderId="30" xfId="0" applyFont="1" applyFill="1" applyBorder="1" applyAlignment="1">
      <alignment horizontal="center" vertical="top" wrapText="1"/>
    </xf>
    <xf numFmtId="0" fontId="4" fillId="0" borderId="31" xfId="0" applyFont="1" applyBorder="1" applyAlignment="1">
      <alignment horizontal="right" vertical="top" wrapText="1"/>
    </xf>
    <xf numFmtId="0" fontId="4" fillId="0" borderId="23" xfId="0" applyFont="1" applyBorder="1" applyAlignment="1">
      <alignment horizontal="right" vertical="top" wrapText="1"/>
    </xf>
    <xf numFmtId="0" fontId="4" fillId="0" borderId="3" xfId="0" applyFont="1" applyBorder="1" applyAlignment="1">
      <alignment horizontal="right" vertical="top" wrapText="1"/>
    </xf>
    <xf numFmtId="0" fontId="4" fillId="0" borderId="5" xfId="0" applyFont="1" applyBorder="1" applyAlignment="1">
      <alignment horizontal="center" vertical="top" wrapText="1"/>
    </xf>
    <xf numFmtId="0" fontId="100" fillId="8" borderId="17" xfId="0" applyFont="1" applyFill="1" applyBorder="1" applyAlignment="1">
      <alignment horizontal="center" vertical="top" wrapText="1"/>
    </xf>
    <xf numFmtId="0" fontId="2" fillId="8" borderId="17" xfId="0" applyFont="1" applyFill="1" applyBorder="1" applyAlignment="1">
      <alignment horizontal="center" vertical="top" wrapText="1"/>
    </xf>
    <xf numFmtId="0" fontId="4" fillId="0" borderId="4" xfId="0" applyFont="1" applyBorder="1" applyAlignment="1">
      <alignment vertical="top"/>
    </xf>
    <xf numFmtId="0" fontId="4" fillId="8" borderId="2" xfId="0" applyFont="1" applyFill="1" applyBorder="1" applyAlignment="1">
      <alignment vertical="top" wrapText="1"/>
    </xf>
    <xf numFmtId="0" fontId="101" fillId="8" borderId="2" xfId="0" applyFont="1" applyFill="1" applyBorder="1" applyAlignment="1">
      <alignment horizontal="center" vertical="top" wrapText="1"/>
    </xf>
    <xf numFmtId="0" fontId="3" fillId="0" borderId="3" xfId="0" applyFont="1" applyBorder="1" applyAlignment="1">
      <alignment horizontal="center" vertical="top"/>
    </xf>
    <xf numFmtId="0" fontId="10" fillId="0" borderId="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 xfId="0" applyFont="1" applyBorder="1" applyAlignment="1">
      <alignment horizontal="center" vertical="center" wrapText="1"/>
    </xf>
    <xf numFmtId="0" fontId="5" fillId="0" borderId="0" xfId="0" applyFont="1" applyAlignment="1">
      <alignment wrapText="1"/>
    </xf>
    <xf numFmtId="0" fontId="6" fillId="0" borderId="0" xfId="0" applyFont="1" applyAlignment="1">
      <alignment wrapText="1"/>
    </xf>
    <xf numFmtId="0" fontId="4" fillId="8" borderId="1" xfId="0" applyFont="1" applyFill="1" applyBorder="1" applyAlignment="1">
      <alignment horizontal="center" vertical="top"/>
    </xf>
    <xf numFmtId="2" fontId="4" fillId="8" borderId="1" xfId="0" applyNumberFormat="1" applyFont="1" applyFill="1" applyBorder="1" applyAlignment="1">
      <alignment horizontal="center" vertical="top" wrapText="1"/>
    </xf>
    <xf numFmtId="0" fontId="1" fillId="8" borderId="1" xfId="0" applyFont="1" applyFill="1" applyBorder="1" applyAlignment="1">
      <alignment vertical="top" wrapText="1"/>
    </xf>
    <xf numFmtId="0" fontId="1" fillId="8" borderId="1" xfId="0" applyFont="1" applyFill="1" applyBorder="1" applyAlignment="1">
      <alignment horizontal="left" vertical="top" wrapText="1"/>
    </xf>
    <xf numFmtId="0" fontId="1" fillId="8" borderId="1" xfId="0" applyFont="1" applyFill="1" applyBorder="1" applyAlignment="1">
      <alignment horizontal="center" vertical="top"/>
    </xf>
    <xf numFmtId="2" fontId="1" fillId="8" borderId="1" xfId="0" applyNumberFormat="1" applyFont="1" applyFill="1" applyBorder="1" applyAlignment="1">
      <alignment horizontal="center" vertical="top" wrapText="1"/>
    </xf>
    <xf numFmtId="2" fontId="1" fillId="8" borderId="1" xfId="0" applyNumberFormat="1" applyFont="1" applyFill="1" applyBorder="1" applyAlignment="1">
      <alignment horizontal="center" vertical="top"/>
    </xf>
    <xf numFmtId="0" fontId="1" fillId="8" borderId="1" xfId="0" applyFont="1" applyFill="1" applyBorder="1" applyAlignment="1">
      <alignment horizontal="center" vertical="top" wrapText="1"/>
    </xf>
    <xf numFmtId="1" fontId="1" fillId="8" borderId="1" xfId="0" applyNumberFormat="1" applyFont="1" applyFill="1" applyBorder="1" applyAlignment="1">
      <alignment horizontal="center" vertical="top" wrapText="1"/>
    </xf>
    <xf numFmtId="0" fontId="5" fillId="0" borderId="1" xfId="0" applyFont="1" applyBorder="1" applyAlignment="1">
      <alignment horizontal="center" vertical="top"/>
    </xf>
    <xf numFmtId="2" fontId="5" fillId="0" borderId="1" xfId="0" applyNumberFormat="1" applyFont="1" applyBorder="1" applyAlignment="1">
      <alignment horizontal="center" vertical="top"/>
    </xf>
    <xf numFmtId="0" fontId="102" fillId="0" borderId="1" xfId="0" applyFont="1" applyBorder="1"/>
    <xf numFmtId="0" fontId="103" fillId="0" borderId="1" xfId="0" applyFont="1" applyBorder="1"/>
    <xf numFmtId="0" fontId="104" fillId="0" borderId="1" xfId="0" applyFont="1" applyBorder="1"/>
    <xf numFmtId="2" fontId="1" fillId="0" borderId="1" xfId="0" applyNumberFormat="1" applyFont="1" applyBorder="1"/>
    <xf numFmtId="0" fontId="105" fillId="0" borderId="0" xfId="0" applyFont="1" applyAlignment="1">
      <alignment vertical="top" wrapText="1"/>
    </xf>
    <xf numFmtId="2" fontId="4" fillId="0" borderId="1" xfId="0" applyNumberFormat="1" applyFont="1" applyBorder="1" applyAlignment="1">
      <alignment horizontal="center" vertical="top" wrapText="1"/>
    </xf>
    <xf numFmtId="49" fontId="106" fillId="0" borderId="1" xfId="0" applyNumberFormat="1" applyFont="1" applyBorder="1" applyAlignment="1">
      <alignment horizontal="center" vertical="top"/>
    </xf>
    <xf numFmtId="0" fontId="107" fillId="0" borderId="1" xfId="0" applyFont="1" applyBorder="1" applyAlignment="1">
      <alignment horizontal="center" vertical="top" wrapText="1"/>
    </xf>
    <xf numFmtId="49" fontId="106" fillId="0" borderId="7" xfId="0" applyNumberFormat="1" applyFont="1" applyBorder="1" applyAlignment="1">
      <alignment horizontal="center" vertical="top"/>
    </xf>
    <xf numFmtId="2" fontId="4" fillId="0" borderId="1" xfId="0" applyNumberFormat="1" applyFont="1" applyBorder="1" applyAlignment="1">
      <alignment vertical="top"/>
    </xf>
    <xf numFmtId="3" fontId="3" fillId="0" borderId="16" xfId="0" applyNumberFormat="1" applyFont="1" applyBorder="1" applyAlignment="1">
      <alignment horizontal="center" vertical="top"/>
    </xf>
    <xf numFmtId="0" fontId="4" fillId="0" borderId="23" xfId="0" applyFont="1" applyBorder="1" applyAlignment="1">
      <alignment horizontal="center" vertical="top" wrapText="1"/>
    </xf>
    <xf numFmtId="0" fontId="108" fillId="0" borderId="1" xfId="0" applyFont="1" applyBorder="1" applyAlignment="1">
      <alignment horizontal="left" vertical="top" wrapText="1"/>
    </xf>
    <xf numFmtId="0" fontId="109" fillId="0" borderId="1" xfId="0" applyFont="1" applyBorder="1" applyAlignment="1">
      <alignment horizontal="center" vertical="center" wrapText="1"/>
    </xf>
    <xf numFmtId="0" fontId="110" fillId="0" borderId="1" xfId="0" applyFont="1" applyBorder="1" applyAlignment="1">
      <alignment vertical="top" wrapText="1"/>
    </xf>
    <xf numFmtId="2" fontId="111" fillId="0" borderId="1" xfId="0" applyNumberFormat="1" applyFont="1" applyBorder="1" applyAlignment="1">
      <alignment horizontal="left" vertical="top" wrapText="1"/>
    </xf>
    <xf numFmtId="2" fontId="109" fillId="0" borderId="1" xfId="0" applyNumberFormat="1" applyFont="1" applyBorder="1" applyAlignment="1">
      <alignment horizontal="center" vertical="center" wrapText="1"/>
    </xf>
    <xf numFmtId="0" fontId="108" fillId="0" borderId="0" xfId="0" applyFont="1" applyAlignment="1">
      <alignment horizontal="left" vertical="top" wrapText="1"/>
    </xf>
    <xf numFmtId="0" fontId="112" fillId="0" borderId="1" xfId="0" applyFont="1" applyBorder="1" applyAlignment="1">
      <alignment vertical="top" wrapText="1"/>
    </xf>
    <xf numFmtId="2" fontId="109" fillId="0" borderId="0" xfId="0" applyNumberFormat="1" applyFont="1" applyAlignment="1">
      <alignment horizontal="center" vertical="center" wrapText="1"/>
    </xf>
    <xf numFmtId="0" fontId="113" fillId="0" borderId="0" xfId="0" applyFont="1" applyAlignment="1">
      <alignment vertical="top" wrapText="1"/>
    </xf>
    <xf numFmtId="0" fontId="114" fillId="0" borderId="0" xfId="0" applyFont="1" applyAlignment="1">
      <alignment vertical="top" wrapText="1"/>
    </xf>
    <xf numFmtId="0" fontId="115" fillId="0" borderId="1" xfId="0" applyFont="1" applyBorder="1" applyAlignment="1">
      <alignment vertical="top" wrapText="1"/>
    </xf>
    <xf numFmtId="0" fontId="116" fillId="0" borderId="0" xfId="0" applyFont="1" applyAlignment="1">
      <alignment vertical="top" wrapText="1"/>
    </xf>
    <xf numFmtId="4" fontId="4" fillId="0" borderId="1" xfId="0" applyNumberFormat="1" applyFont="1" applyBorder="1" applyAlignment="1">
      <alignment horizontal="center" vertical="top" wrapText="1"/>
    </xf>
    <xf numFmtId="0" fontId="117" fillId="0" borderId="0" xfId="0" applyFont="1" applyAlignment="1">
      <alignment wrapText="1"/>
    </xf>
    <xf numFmtId="0" fontId="4" fillId="0" borderId="16" xfId="0" applyFont="1" applyBorder="1" applyAlignment="1">
      <alignment vertical="top" wrapText="1"/>
    </xf>
    <xf numFmtId="0" fontId="118" fillId="0" borderId="1" xfId="0" applyFont="1" applyBorder="1" applyAlignment="1">
      <alignment horizontal="center" vertical="top" wrapText="1"/>
    </xf>
    <xf numFmtId="0" fontId="119" fillId="0" borderId="0" xfId="0" applyFont="1" applyAlignment="1">
      <alignment vertical="top" wrapText="1"/>
    </xf>
    <xf numFmtId="0" fontId="120" fillId="0" borderId="0" xfId="0" applyFont="1" applyAlignment="1">
      <alignment vertical="top" wrapText="1"/>
    </xf>
    <xf numFmtId="0" fontId="38" fillId="0" borderId="19" xfId="0" applyFont="1" applyBorder="1" applyAlignment="1">
      <alignment vertical="top" wrapText="1"/>
    </xf>
    <xf numFmtId="0" fontId="38" fillId="0" borderId="20" xfId="0" applyFont="1" applyBorder="1" applyAlignment="1">
      <alignment vertical="top" wrapText="1"/>
    </xf>
    <xf numFmtId="0" fontId="38" fillId="0" borderId="20" xfId="0" applyFont="1" applyBorder="1" applyAlignment="1">
      <alignment horizontal="center" vertical="top" wrapText="1"/>
    </xf>
    <xf numFmtId="0" fontId="121" fillId="0" borderId="20" xfId="0" applyFont="1" applyBorder="1" applyAlignment="1">
      <alignment horizontal="center" vertical="top" wrapText="1"/>
    </xf>
    <xf numFmtId="0" fontId="38" fillId="0" borderId="32" xfId="0" applyFont="1" applyBorder="1" applyAlignment="1">
      <alignment vertical="top" wrapText="1"/>
    </xf>
    <xf numFmtId="0" fontId="38" fillId="0" borderId="33" xfId="0" applyFont="1" applyBorder="1" applyAlignment="1">
      <alignment vertical="top" wrapText="1"/>
    </xf>
    <xf numFmtId="0" fontId="38" fillId="0" borderId="33" xfId="0" applyFont="1" applyBorder="1" applyAlignment="1">
      <alignment horizontal="center" vertical="top" wrapText="1"/>
    </xf>
    <xf numFmtId="0" fontId="49" fillId="0" borderId="33" xfId="0" applyFont="1" applyBorder="1" applyAlignment="1">
      <alignment horizontal="center" vertical="top" wrapText="1"/>
    </xf>
    <xf numFmtId="0" fontId="4" fillId="0" borderId="19" xfId="0" applyFont="1" applyBorder="1" applyAlignment="1">
      <alignment horizontal="center" vertical="top" wrapText="1"/>
    </xf>
    <xf numFmtId="0" fontId="4" fillId="0" borderId="32" xfId="0" applyFont="1" applyBorder="1" applyAlignment="1">
      <alignment horizontal="center" vertical="top" wrapText="1"/>
    </xf>
    <xf numFmtId="0" fontId="49" fillId="0" borderId="32" xfId="0" applyFont="1" applyBorder="1" applyAlignment="1">
      <alignment horizontal="center" vertical="center" wrapText="1"/>
    </xf>
    <xf numFmtId="2" fontId="4" fillId="0" borderId="1" xfId="0" applyNumberFormat="1" applyFont="1" applyBorder="1" applyAlignment="1">
      <alignment vertical="top" wrapText="1"/>
    </xf>
    <xf numFmtId="0" fontId="122" fillId="8" borderId="1" xfId="0" applyFont="1" applyFill="1" applyBorder="1" applyAlignment="1">
      <alignment vertical="top" wrapText="1"/>
    </xf>
    <xf numFmtId="0" fontId="4" fillId="8" borderId="1" xfId="0" applyFont="1" applyFill="1" applyBorder="1" applyAlignment="1">
      <alignment vertical="top"/>
    </xf>
    <xf numFmtId="0" fontId="1" fillId="8" borderId="2" xfId="0" applyFont="1" applyFill="1" applyBorder="1" applyAlignment="1">
      <alignment horizontal="left" vertical="top" wrapText="1"/>
    </xf>
    <xf numFmtId="0" fontId="1" fillId="8" borderId="34" xfId="0" applyFont="1" applyFill="1" applyBorder="1" applyAlignment="1">
      <alignment horizontal="left" vertical="top" wrapText="1"/>
    </xf>
    <xf numFmtId="3" fontId="4" fillId="8" borderId="1" xfId="0" applyNumberFormat="1" applyFont="1" applyFill="1" applyBorder="1" applyAlignment="1">
      <alignment horizontal="center" vertical="top"/>
    </xf>
    <xf numFmtId="0" fontId="1" fillId="8" borderId="2" xfId="0" applyFont="1" applyFill="1" applyBorder="1" applyAlignment="1">
      <alignment vertical="top" wrapText="1"/>
    </xf>
    <xf numFmtId="0" fontId="4" fillId="8" borderId="2" xfId="0" applyFont="1" applyFill="1" applyBorder="1" applyAlignment="1">
      <alignment horizontal="left" vertical="top" wrapText="1"/>
    </xf>
    <xf numFmtId="0" fontId="2" fillId="8" borderId="8" xfId="0" applyFont="1" applyFill="1" applyBorder="1" applyAlignment="1">
      <alignment vertical="top"/>
    </xf>
    <xf numFmtId="0" fontId="123" fillId="8" borderId="30" xfId="0" applyFont="1" applyFill="1" applyBorder="1" applyAlignment="1">
      <alignment horizontal="left" vertical="top" wrapText="1"/>
    </xf>
    <xf numFmtId="0" fontId="2" fillId="8" borderId="1" xfId="0" applyFont="1" applyFill="1" applyBorder="1" applyAlignment="1">
      <alignment vertical="top"/>
    </xf>
    <xf numFmtId="0" fontId="4" fillId="8" borderId="14" xfId="0" applyFont="1" applyFill="1" applyBorder="1" applyAlignment="1">
      <alignment vertical="top"/>
    </xf>
    <xf numFmtId="0" fontId="124" fillId="8" borderId="1" xfId="0" applyFont="1" applyFill="1" applyBorder="1" applyAlignment="1">
      <alignment horizontal="left" vertical="top" wrapText="1"/>
    </xf>
    <xf numFmtId="0" fontId="125" fillId="6" borderId="2" xfId="0" applyFont="1" applyFill="1" applyBorder="1" applyAlignment="1">
      <alignment vertical="top" wrapText="1"/>
    </xf>
    <xf numFmtId="49" fontId="57" fillId="0" borderId="1" xfId="0" applyNumberFormat="1" applyFont="1" applyBorder="1" applyAlignment="1">
      <alignment horizontal="center" vertical="top" wrapText="1"/>
    </xf>
    <xf numFmtId="0" fontId="4" fillId="0" borderId="7" xfId="0" applyFont="1" applyBorder="1" applyAlignment="1">
      <alignment horizontal="center" vertical="top" wrapText="1"/>
    </xf>
    <xf numFmtId="0" fontId="125" fillId="0" borderId="4" xfId="0" applyFont="1" applyBorder="1" applyAlignment="1">
      <alignment vertical="top" wrapText="1"/>
    </xf>
    <xf numFmtId="0" fontId="3" fillId="8" borderId="1" xfId="0" applyFont="1" applyFill="1" applyBorder="1" applyAlignment="1">
      <alignment horizontal="center" vertical="top"/>
    </xf>
    <xf numFmtId="2" fontId="4" fillId="8" borderId="1" xfId="0" applyNumberFormat="1" applyFont="1" applyFill="1" applyBorder="1" applyAlignment="1">
      <alignment vertical="top" wrapText="1"/>
    </xf>
    <xf numFmtId="0" fontId="4" fillId="6" borderId="2" xfId="0" applyFont="1" applyFill="1" applyBorder="1" applyAlignment="1">
      <alignment horizontal="left" vertical="top" wrapText="1"/>
    </xf>
    <xf numFmtId="0" fontId="126" fillId="6" borderId="2" xfId="0" applyFont="1" applyFill="1" applyBorder="1" applyAlignment="1">
      <alignment horizontal="left" vertical="top" wrapText="1"/>
    </xf>
    <xf numFmtId="0" fontId="127" fillId="6" borderId="1" xfId="0" applyFont="1" applyFill="1" applyBorder="1" applyAlignment="1">
      <alignment horizontal="left" vertical="top" wrapText="1"/>
    </xf>
    <xf numFmtId="0" fontId="4" fillId="0" borderId="5" xfId="0" applyFont="1" applyBorder="1" applyAlignment="1">
      <alignment horizontal="left" vertical="top" wrapText="1"/>
    </xf>
    <xf numFmtId="2" fontId="4" fillId="0" borderId="3" xfId="0" applyNumberFormat="1" applyFont="1" applyBorder="1" applyAlignment="1">
      <alignment vertical="top" wrapText="1"/>
    </xf>
    <xf numFmtId="0" fontId="1" fillId="8" borderId="17" xfId="0" applyFont="1" applyFill="1" applyBorder="1" applyAlignment="1">
      <alignment vertical="top" wrapText="1"/>
    </xf>
    <xf numFmtId="0" fontId="1" fillId="8" borderId="17" xfId="0" applyFont="1" applyFill="1" applyBorder="1" applyAlignment="1">
      <alignment horizontal="center" vertical="top" wrapText="1"/>
    </xf>
    <xf numFmtId="0" fontId="1" fillId="8" borderId="17" xfId="0" applyFont="1" applyFill="1" applyBorder="1" applyAlignment="1">
      <alignment horizontal="left" vertical="top" wrapText="1"/>
    </xf>
    <xf numFmtId="0" fontId="4" fillId="8" borderId="17" xfId="0" applyFont="1" applyFill="1" applyBorder="1" applyAlignment="1">
      <alignment horizontal="left" vertical="top" wrapText="1"/>
    </xf>
    <xf numFmtId="0" fontId="128" fillId="8" borderId="17" xfId="0" applyFont="1" applyFill="1" applyBorder="1" applyAlignment="1">
      <alignment horizontal="left" vertical="top" wrapText="1"/>
    </xf>
    <xf numFmtId="0" fontId="4" fillId="8" borderId="18" xfId="0" applyFont="1" applyFill="1" applyBorder="1" applyAlignment="1">
      <alignment vertical="top"/>
    </xf>
    <xf numFmtId="0" fontId="4" fillId="8" borderId="17" xfId="0" applyFont="1" applyFill="1" applyBorder="1" applyAlignment="1">
      <alignment vertical="top"/>
    </xf>
    <xf numFmtId="0" fontId="129" fillId="8" borderId="1" xfId="0" applyFont="1" applyFill="1" applyBorder="1" applyAlignment="1">
      <alignment vertical="top" wrapText="1"/>
    </xf>
    <xf numFmtId="0" fontId="130" fillId="8" borderId="1" xfId="0" applyFont="1" applyFill="1" applyBorder="1" applyAlignment="1">
      <alignment horizontal="center" vertical="top" wrapText="1"/>
    </xf>
    <xf numFmtId="49" fontId="4" fillId="8" borderId="1" xfId="0" applyNumberFormat="1" applyFont="1" applyFill="1" applyBorder="1" applyAlignment="1">
      <alignment horizontal="center" vertical="top" wrapText="1"/>
    </xf>
    <xf numFmtId="0" fontId="131" fillId="8" borderId="1" xfId="0" applyFont="1" applyFill="1" applyBorder="1" applyAlignment="1">
      <alignment horizontal="left" vertical="top" wrapText="1"/>
    </xf>
    <xf numFmtId="1" fontId="4" fillId="8" borderId="1" xfId="0" applyNumberFormat="1" applyFont="1" applyFill="1" applyBorder="1" applyAlignment="1">
      <alignment horizontal="center" vertical="top"/>
    </xf>
    <xf numFmtId="2" fontId="4" fillId="8" borderId="13" xfId="0" applyNumberFormat="1" applyFont="1" applyFill="1" applyBorder="1" applyAlignment="1">
      <alignment horizontal="center" vertical="top"/>
    </xf>
    <xf numFmtId="0" fontId="2" fillId="8" borderId="1" xfId="0" applyFont="1" applyFill="1" applyBorder="1" applyAlignment="1">
      <alignment horizontal="center" vertical="top"/>
    </xf>
    <xf numFmtId="0" fontId="49" fillId="8" borderId="1" xfId="0" applyFont="1" applyFill="1" applyBorder="1" applyAlignment="1">
      <alignment horizontal="center" vertical="top"/>
    </xf>
    <xf numFmtId="1" fontId="3" fillId="8" borderId="1" xfId="0" applyNumberFormat="1" applyFont="1" applyFill="1" applyBorder="1" applyAlignment="1">
      <alignment horizontal="center" vertical="top"/>
    </xf>
    <xf numFmtId="4" fontId="4" fillId="8" borderId="1" xfId="0" applyNumberFormat="1" applyFont="1" applyFill="1" applyBorder="1" applyAlignment="1">
      <alignment horizontal="center" vertical="top"/>
    </xf>
    <xf numFmtId="1" fontId="3" fillId="8" borderId="2" xfId="0" applyNumberFormat="1" applyFont="1" applyFill="1" applyBorder="1" applyAlignment="1">
      <alignment horizontal="center" vertical="top"/>
    </xf>
    <xf numFmtId="4" fontId="4" fillId="8" borderId="2" xfId="0" applyNumberFormat="1" applyFont="1" applyFill="1" applyBorder="1" applyAlignment="1">
      <alignment horizontal="center" vertical="top"/>
    </xf>
    <xf numFmtId="4" fontId="4" fillId="8" borderId="9" xfId="0" applyNumberFormat="1" applyFont="1" applyFill="1" applyBorder="1" applyAlignment="1">
      <alignment horizontal="center" vertical="top"/>
    </xf>
    <xf numFmtId="3" fontId="3" fillId="8" borderId="1" xfId="0" applyNumberFormat="1" applyFont="1" applyFill="1" applyBorder="1" applyAlignment="1">
      <alignment horizontal="center" vertical="top"/>
    </xf>
    <xf numFmtId="1" fontId="3" fillId="8" borderId="17" xfId="0" applyNumberFormat="1" applyFont="1" applyFill="1" applyBorder="1" applyAlignment="1">
      <alignment horizontal="center" vertical="top"/>
    </xf>
    <xf numFmtId="3" fontId="3" fillId="8" borderId="17" xfId="0" applyNumberFormat="1" applyFont="1" applyFill="1" applyBorder="1" applyAlignment="1">
      <alignment horizontal="center" vertical="top"/>
    </xf>
    <xf numFmtId="3" fontId="3" fillId="8" borderId="35" xfId="0" applyNumberFormat="1" applyFont="1" applyFill="1" applyBorder="1" applyAlignment="1">
      <alignment horizontal="center" vertical="top"/>
    </xf>
    <xf numFmtId="2" fontId="4" fillId="8" borderId="1" xfId="0" applyNumberFormat="1" applyFont="1" applyFill="1" applyBorder="1" applyAlignment="1">
      <alignment horizontal="center" vertical="top"/>
    </xf>
    <xf numFmtId="0" fontId="4" fillId="8" borderId="13" xfId="0" applyFont="1" applyFill="1" applyBorder="1" applyAlignment="1">
      <alignment horizontal="center" vertical="top"/>
    </xf>
    <xf numFmtId="0" fontId="132" fillId="6" borderId="1" xfId="0" applyFont="1" applyFill="1" applyBorder="1" applyAlignment="1">
      <alignment vertical="top" wrapText="1"/>
    </xf>
    <xf numFmtId="0" fontId="132" fillId="0" borderId="1" xfId="0" applyFont="1" applyBorder="1" applyAlignment="1">
      <alignment vertical="top" wrapText="1"/>
    </xf>
    <xf numFmtId="0" fontId="132" fillId="0" borderId="1" xfId="0" applyFont="1" applyBorder="1" applyAlignment="1">
      <alignment horizontal="left" vertical="top" wrapText="1"/>
    </xf>
    <xf numFmtId="0" fontId="132" fillId="0" borderId="1" xfId="0" applyFont="1" applyBorder="1" applyAlignment="1">
      <alignment horizontal="center" vertical="top" wrapText="1"/>
    </xf>
    <xf numFmtId="49" fontId="132" fillId="0" borderId="1" xfId="0" applyNumberFormat="1" applyFont="1" applyBorder="1" applyAlignment="1">
      <alignment horizontal="center" vertical="top" wrapText="1"/>
    </xf>
    <xf numFmtId="0" fontId="132" fillId="0" borderId="7" xfId="0" applyFont="1" applyBorder="1" applyAlignment="1">
      <alignment horizontal="center" vertical="top" wrapText="1"/>
    </xf>
    <xf numFmtId="3" fontId="133" fillId="0" borderId="1" xfId="0" applyNumberFormat="1" applyFont="1" applyBorder="1" applyAlignment="1">
      <alignment horizontal="center" vertical="top"/>
    </xf>
    <xf numFmtId="4" fontId="133" fillId="0" borderId="1" xfId="0" applyNumberFormat="1" applyFont="1" applyBorder="1" applyAlignment="1">
      <alignment horizontal="center" vertical="top" wrapText="1"/>
    </xf>
    <xf numFmtId="0" fontId="134" fillId="0" borderId="1" xfId="0" applyFont="1" applyBorder="1" applyAlignment="1">
      <alignment vertical="top" wrapText="1"/>
    </xf>
    <xf numFmtId="0" fontId="132" fillId="0" borderId="1" xfId="0" applyFont="1" applyBorder="1" applyAlignment="1">
      <alignment horizontal="center" vertical="top"/>
    </xf>
    <xf numFmtId="0" fontId="132" fillId="0" borderId="11" xfId="0" applyFont="1" applyBorder="1" applyAlignment="1">
      <alignment horizontal="center" vertical="top"/>
    </xf>
    <xf numFmtId="0" fontId="133" fillId="0" borderId="1" xfId="0" applyFont="1" applyBorder="1" applyAlignment="1">
      <alignment horizontal="center" vertical="top"/>
    </xf>
    <xf numFmtId="0" fontId="135" fillId="0" borderId="1" xfId="0" applyFont="1" applyBorder="1" applyAlignment="1">
      <alignment horizontal="center" vertical="top" wrapText="1"/>
    </xf>
    <xf numFmtId="0" fontId="132" fillId="0" borderId="4" xfId="0" applyFont="1" applyBorder="1" applyAlignment="1">
      <alignment horizontal="left" vertical="top" wrapText="1"/>
    </xf>
    <xf numFmtId="0" fontId="132" fillId="0" borderId="4" xfId="0" applyFont="1" applyBorder="1" applyAlignment="1">
      <alignment vertical="top" wrapText="1"/>
    </xf>
    <xf numFmtId="0" fontId="132" fillId="0" borderId="11" xfId="0" applyFont="1" applyBorder="1" applyAlignment="1">
      <alignment horizontal="center" vertical="top" wrapText="1"/>
    </xf>
    <xf numFmtId="3" fontId="133" fillId="0" borderId="3" xfId="0" applyNumberFormat="1" applyFont="1" applyBorder="1" applyAlignment="1">
      <alignment horizontal="center" vertical="top"/>
    </xf>
    <xf numFmtId="4" fontId="133" fillId="0" borderId="3" xfId="0" applyNumberFormat="1" applyFont="1" applyBorder="1" applyAlignment="1">
      <alignment horizontal="center" vertical="top" wrapText="1"/>
    </xf>
    <xf numFmtId="0" fontId="132" fillId="0" borderId="3" xfId="0" applyFont="1" applyBorder="1" applyAlignment="1">
      <alignment horizontal="center" vertical="top" wrapText="1"/>
    </xf>
    <xf numFmtId="0" fontId="132" fillId="0" borderId="15" xfId="0" applyFont="1" applyBorder="1" applyAlignment="1">
      <alignment horizontal="center" vertical="top" wrapText="1"/>
    </xf>
    <xf numFmtId="3" fontId="133" fillId="0" borderId="4" xfId="0" applyNumberFormat="1" applyFont="1" applyBorder="1" applyAlignment="1">
      <alignment horizontal="center" vertical="top"/>
    </xf>
    <xf numFmtId="4" fontId="133" fillId="0" borderId="4" xfId="0" applyNumberFormat="1" applyFont="1" applyBorder="1" applyAlignment="1">
      <alignment horizontal="center" vertical="top" wrapText="1"/>
    </xf>
    <xf numFmtId="0" fontId="136" fillId="0" borderId="4" xfId="0" applyFont="1" applyBorder="1" applyAlignment="1">
      <alignment horizontal="center" vertical="top" wrapText="1"/>
    </xf>
    <xf numFmtId="49" fontId="132" fillId="0" borderId="4" xfId="0" applyNumberFormat="1" applyFont="1" applyBorder="1" applyAlignment="1">
      <alignment horizontal="center" vertical="top" wrapText="1"/>
    </xf>
    <xf numFmtId="0" fontId="132" fillId="0" borderId="4" xfId="0" applyFont="1" applyBorder="1" applyAlignment="1">
      <alignment horizontal="center" vertical="top" wrapText="1"/>
    </xf>
    <xf numFmtId="0" fontId="137" fillId="0" borderId="4" xfId="0" applyFont="1" applyBorder="1" applyAlignment="1">
      <alignment vertical="top" wrapText="1"/>
    </xf>
    <xf numFmtId="49" fontId="138" fillId="0" borderId="1" xfId="0" applyNumberFormat="1" applyFont="1" applyBorder="1" applyAlignment="1">
      <alignment horizontal="center" vertical="top" wrapText="1"/>
    </xf>
    <xf numFmtId="0" fontId="139" fillId="8" borderId="1" xfId="0" applyFont="1" applyFill="1" applyBorder="1" applyAlignment="1">
      <alignment horizontal="center" vertical="top" wrapText="1"/>
    </xf>
    <xf numFmtId="4" fontId="3" fillId="8" borderId="1" xfId="0" applyNumberFormat="1" applyFont="1" applyFill="1" applyBorder="1" applyAlignment="1">
      <alignment horizontal="center" vertical="top" wrapText="1"/>
    </xf>
    <xf numFmtId="2" fontId="2" fillId="8" borderId="1" xfId="0" applyNumberFormat="1" applyFont="1" applyFill="1" applyBorder="1" applyAlignment="1">
      <alignment horizontal="center" vertical="top" wrapText="1"/>
    </xf>
    <xf numFmtId="0" fontId="140" fillId="8" borderId="17" xfId="0" applyFont="1" applyFill="1" applyBorder="1" applyAlignment="1">
      <alignment horizontal="left" vertical="top" wrapText="1"/>
    </xf>
    <xf numFmtId="0" fontId="141" fillId="8" borderId="1" xfId="0" applyFont="1" applyFill="1" applyBorder="1" applyAlignment="1">
      <alignment horizontal="center" vertical="top" wrapText="1"/>
    </xf>
    <xf numFmtId="0" fontId="142" fillId="8" borderId="1" xfId="0" applyFont="1" applyFill="1" applyBorder="1" applyAlignment="1">
      <alignment horizontal="left" vertical="top" wrapText="1"/>
    </xf>
    <xf numFmtId="0" fontId="143" fillId="0" borderId="7" xfId="0" applyFont="1" applyBorder="1" applyAlignment="1">
      <alignment vertical="top" wrapText="1"/>
    </xf>
    <xf numFmtId="0" fontId="4" fillId="8" borderId="13" xfId="0" applyFont="1" applyFill="1" applyBorder="1" applyAlignment="1">
      <alignment horizontal="left" vertical="top" wrapText="1"/>
    </xf>
    <xf numFmtId="0" fontId="4" fillId="0" borderId="11" xfId="0" applyFont="1" applyBorder="1" applyAlignment="1">
      <alignment vertical="top"/>
    </xf>
    <xf numFmtId="3" fontId="3" fillId="0" borderId="1" xfId="0" applyNumberFormat="1" applyFont="1" applyBorder="1" applyAlignment="1">
      <alignment vertical="top" wrapText="1"/>
    </xf>
    <xf numFmtId="4" fontId="4" fillId="0" borderId="1" xfId="0" applyNumberFormat="1" applyFont="1" applyBorder="1" applyAlignment="1">
      <alignment vertical="top" wrapText="1"/>
    </xf>
    <xf numFmtId="0" fontId="144" fillId="0" borderId="11" xfId="0" applyFont="1" applyBorder="1" applyAlignment="1">
      <alignment vertical="top" wrapText="1"/>
    </xf>
    <xf numFmtId="49" fontId="4" fillId="0" borderId="3" xfId="0" applyNumberFormat="1" applyFont="1" applyBorder="1" applyAlignment="1">
      <alignment vertical="top" wrapText="1"/>
    </xf>
    <xf numFmtId="3" fontId="3" fillId="0" borderId="3" xfId="0" applyNumberFormat="1" applyFont="1" applyBorder="1" applyAlignment="1">
      <alignment vertical="top" wrapText="1"/>
    </xf>
    <xf numFmtId="4" fontId="4" fillId="0" borderId="3" xfId="0" applyNumberFormat="1" applyFont="1" applyBorder="1" applyAlignment="1">
      <alignment vertical="top" wrapText="1"/>
    </xf>
    <xf numFmtId="4" fontId="3" fillId="0" borderId="3" xfId="0" applyNumberFormat="1" applyFont="1" applyBorder="1" applyAlignment="1">
      <alignment vertical="top" wrapText="1"/>
    </xf>
    <xf numFmtId="4" fontId="3" fillId="0" borderId="1" xfId="0" applyNumberFormat="1" applyFont="1" applyBorder="1" applyAlignment="1">
      <alignment vertical="top" wrapText="1"/>
    </xf>
    <xf numFmtId="0" fontId="2" fillId="0" borderId="1" xfId="0" applyFont="1" applyBorder="1" applyAlignment="1">
      <alignment vertical="top" wrapText="1"/>
    </xf>
    <xf numFmtId="0" fontId="1" fillId="0" borderId="3" xfId="0" applyFont="1" applyBorder="1" applyAlignment="1">
      <alignment horizontal="left" vertical="top" wrapText="1"/>
    </xf>
    <xf numFmtId="0" fontId="1" fillId="0" borderId="23" xfId="0" applyFont="1" applyBorder="1" applyAlignment="1">
      <alignment horizontal="left" vertical="top" wrapText="1"/>
    </xf>
    <xf numFmtId="1" fontId="4" fillId="0" borderId="3" xfId="0" applyNumberFormat="1" applyFont="1" applyBorder="1" applyAlignment="1">
      <alignment horizontal="left" vertical="top" wrapText="1"/>
    </xf>
    <xf numFmtId="0" fontId="145" fillId="8" borderId="14" xfId="0" applyFont="1" applyFill="1" applyBorder="1" applyAlignment="1">
      <alignment horizontal="left" vertical="top" wrapText="1"/>
    </xf>
    <xf numFmtId="1" fontId="4" fillId="8" borderId="1" xfId="0" applyNumberFormat="1" applyFont="1" applyFill="1" applyBorder="1" applyAlignment="1">
      <alignment horizontal="left" vertical="top" wrapText="1"/>
    </xf>
    <xf numFmtId="0" fontId="1" fillId="8" borderId="13" xfId="0" applyFont="1" applyFill="1" applyBorder="1" applyAlignment="1">
      <alignment horizontal="left" vertical="top" wrapText="1"/>
    </xf>
    <xf numFmtId="3" fontId="4" fillId="0" borderId="1" xfId="0" applyNumberFormat="1" applyFont="1" applyBorder="1" applyAlignment="1">
      <alignment horizontal="center" vertical="top" wrapText="1"/>
    </xf>
    <xf numFmtId="2" fontId="3" fillId="0" borderId="1" xfId="0" applyNumberFormat="1" applyFont="1" applyBorder="1" applyAlignment="1">
      <alignment vertical="top" wrapText="1"/>
    </xf>
    <xf numFmtId="0" fontId="4" fillId="8" borderId="30" xfId="0" applyFont="1" applyFill="1" applyBorder="1" applyAlignment="1">
      <alignment horizontal="left" vertical="top" wrapText="1"/>
    </xf>
    <xf numFmtId="1" fontId="4" fillId="8" borderId="2" xfId="0" applyNumberFormat="1" applyFont="1" applyFill="1" applyBorder="1" applyAlignment="1">
      <alignment horizontal="left" vertical="top" wrapText="1"/>
    </xf>
    <xf numFmtId="3" fontId="3" fillId="8" borderId="2" xfId="0" applyNumberFormat="1" applyFont="1" applyFill="1" applyBorder="1" applyAlignment="1">
      <alignment horizontal="center" vertical="top"/>
    </xf>
    <xf numFmtId="4" fontId="3" fillId="8" borderId="2" xfId="0" applyNumberFormat="1" applyFont="1" applyFill="1" applyBorder="1" applyAlignment="1">
      <alignment horizontal="center" vertical="top" wrapText="1"/>
    </xf>
    <xf numFmtId="0" fontId="146" fillId="8" borderId="1" xfId="0" applyFont="1" applyFill="1" applyBorder="1" applyAlignment="1">
      <alignment horizontal="left" vertical="top" wrapText="1"/>
    </xf>
    <xf numFmtId="2" fontId="121" fillId="8" borderId="1" xfId="0" applyNumberFormat="1" applyFont="1" applyFill="1" applyBorder="1" applyAlignment="1">
      <alignment horizontal="center" vertical="top" wrapText="1"/>
    </xf>
    <xf numFmtId="0" fontId="147" fillId="8" borderId="14" xfId="0" applyFont="1" applyFill="1" applyBorder="1" applyAlignment="1">
      <alignment vertical="top" wrapText="1"/>
    </xf>
    <xf numFmtId="0" fontId="4" fillId="8" borderId="9" xfId="0" applyFont="1" applyFill="1" applyBorder="1" applyAlignment="1">
      <alignment vertical="top"/>
    </xf>
    <xf numFmtId="0" fontId="148" fillId="8" borderId="1" xfId="0" applyFont="1" applyFill="1" applyBorder="1" applyAlignment="1">
      <alignment horizontal="center" vertical="top" wrapText="1"/>
    </xf>
    <xf numFmtId="0" fontId="149" fillId="8" borderId="1" xfId="0" applyFont="1" applyFill="1" applyBorder="1" applyAlignment="1">
      <alignment wrapText="1"/>
    </xf>
    <xf numFmtId="0" fontId="150" fillId="8" borderId="14" xfId="0" applyFont="1" applyFill="1" applyBorder="1" applyAlignment="1">
      <alignment horizontal="left" vertical="top" wrapText="1"/>
    </xf>
    <xf numFmtId="0" fontId="151" fillId="8" borderId="8" xfId="0" applyFont="1" applyFill="1" applyBorder="1" applyAlignment="1">
      <alignment horizontal="center" vertical="top" wrapText="1"/>
    </xf>
    <xf numFmtId="49" fontId="4" fillId="8" borderId="2" xfId="0" applyNumberFormat="1" applyFont="1" applyFill="1" applyBorder="1" applyAlignment="1">
      <alignment horizontal="center" vertical="top" wrapText="1"/>
    </xf>
    <xf numFmtId="0" fontId="152" fillId="8" borderId="1" xfId="0" applyFont="1" applyFill="1" applyBorder="1" applyAlignment="1">
      <alignment vertical="top" wrapText="1"/>
    </xf>
    <xf numFmtId="0" fontId="153" fillId="8" borderId="1" xfId="0" applyFont="1" applyFill="1" applyBorder="1" applyAlignment="1">
      <alignment horizontal="center" vertical="top" wrapText="1"/>
    </xf>
    <xf numFmtId="0" fontId="1" fillId="8" borderId="8" xfId="0" applyFont="1" applyFill="1" applyBorder="1" applyAlignment="1">
      <alignment vertical="top" wrapText="1"/>
    </xf>
    <xf numFmtId="0" fontId="4" fillId="8" borderId="13" xfId="0" applyFont="1" applyFill="1" applyBorder="1" applyAlignment="1">
      <alignment vertical="top" wrapText="1"/>
    </xf>
    <xf numFmtId="0" fontId="154" fillId="0" borderId="0" xfId="0" applyFont="1" applyAlignment="1">
      <alignment vertical="top" wrapText="1"/>
    </xf>
    <xf numFmtId="0" fontId="155" fillId="0" borderId="0" xfId="0" applyFont="1" applyAlignment="1">
      <alignment vertical="top" wrapText="1"/>
    </xf>
    <xf numFmtId="0" fontId="155" fillId="0" borderId="1" xfId="0" applyFont="1" applyBorder="1" applyAlignment="1">
      <alignment vertical="top" wrapText="1"/>
    </xf>
    <xf numFmtId="0" fontId="154" fillId="0" borderId="3" xfId="0" applyFont="1" applyBorder="1" applyAlignment="1">
      <alignment vertical="top" wrapText="1"/>
    </xf>
    <xf numFmtId="0" fontId="155" fillId="0" borderId="3" xfId="0" applyFont="1" applyBorder="1" applyAlignment="1">
      <alignment vertical="top" wrapText="1"/>
    </xf>
    <xf numFmtId="0" fontId="154" fillId="0" borderId="1" xfId="0" applyFont="1" applyBorder="1" applyAlignment="1">
      <alignment vertical="top" wrapText="1"/>
    </xf>
    <xf numFmtId="0" fontId="38" fillId="0" borderId="1" xfId="0" applyFont="1" applyBorder="1" applyAlignment="1">
      <alignment vertical="top" wrapText="1"/>
    </xf>
    <xf numFmtId="0" fontId="7" fillId="0" borderId="1" xfId="0" applyFont="1" applyBorder="1" applyAlignment="1">
      <alignment vertical="top" wrapText="1"/>
    </xf>
    <xf numFmtId="0" fontId="38" fillId="0" borderId="1" xfId="0" applyFont="1" applyBorder="1" applyAlignment="1">
      <alignment wrapText="1"/>
    </xf>
    <xf numFmtId="0" fontId="156" fillId="0" borderId="1" xfId="0" applyFont="1" applyBorder="1" applyAlignment="1">
      <alignment vertical="top" wrapText="1"/>
    </xf>
    <xf numFmtId="0" fontId="1" fillId="0" borderId="1" xfId="0" applyFont="1" applyBorder="1" applyAlignment="1">
      <alignment wrapText="1"/>
    </xf>
    <xf numFmtId="0" fontId="157" fillId="0" borderId="1" xfId="0" applyFont="1" applyBorder="1" applyAlignment="1">
      <alignment vertical="top" wrapText="1"/>
    </xf>
    <xf numFmtId="0" fontId="158" fillId="0" borderId="1" xfId="0" applyFont="1" applyBorder="1" applyAlignment="1">
      <alignment vertical="top" wrapText="1"/>
    </xf>
    <xf numFmtId="0" fontId="155" fillId="0" borderId="1" xfId="0" applyFont="1" applyBorder="1" applyAlignment="1">
      <alignment vertical="center" wrapText="1"/>
    </xf>
    <xf numFmtId="0" fontId="159" fillId="0" borderId="1" xfId="0" applyFont="1" applyBorder="1" applyAlignment="1">
      <alignment vertical="top" wrapText="1"/>
    </xf>
    <xf numFmtId="0" fontId="49" fillId="0" borderId="16" xfId="0" applyFont="1" applyBorder="1" applyAlignment="1">
      <alignment vertical="top"/>
    </xf>
    <xf numFmtId="49" fontId="4" fillId="0" borderId="0" xfId="0" applyNumberFormat="1" applyFont="1" applyAlignment="1">
      <alignment wrapText="1"/>
    </xf>
    <xf numFmtId="49" fontId="4" fillId="0" borderId="0" xfId="0" applyNumberFormat="1" applyFont="1" applyAlignment="1">
      <alignment vertical="top" wrapText="1"/>
    </xf>
    <xf numFmtId="0" fontId="4" fillId="0" borderId="0" xfId="0" applyFont="1"/>
    <xf numFmtId="2" fontId="4" fillId="0" borderId="0" xfId="0" applyNumberFormat="1" applyFont="1"/>
    <xf numFmtId="49" fontId="3" fillId="0" borderId="0" xfId="0" applyNumberFormat="1" applyFont="1" applyAlignment="1">
      <alignment horizontal="center" wrapText="1"/>
    </xf>
    <xf numFmtId="0" fontId="3" fillId="0" borderId="0" xfId="0" applyFont="1" applyAlignment="1">
      <alignment horizontal="center" wrapText="1"/>
    </xf>
    <xf numFmtId="2" fontId="3" fillId="0" borderId="0" xfId="0" applyNumberFormat="1" applyFont="1" applyAlignment="1">
      <alignment horizontal="center" wrapText="1"/>
    </xf>
    <xf numFmtId="49" fontId="3" fillId="0" borderId="0" xfId="0" applyNumberFormat="1" applyFont="1" applyAlignment="1">
      <alignment horizontal="left" wrapText="1"/>
    </xf>
    <xf numFmtId="49" fontId="3" fillId="0" borderId="0" xfId="0" applyNumberFormat="1" applyFont="1" applyAlignment="1">
      <alignment vertical="top" wrapText="1"/>
    </xf>
    <xf numFmtId="0" fontId="3" fillId="0" borderId="0" xfId="0" applyFont="1" applyAlignment="1">
      <alignment vertical="top" wrapText="1"/>
    </xf>
    <xf numFmtId="0" fontId="3" fillId="0" borderId="0" xfId="0" applyFont="1" applyAlignment="1">
      <alignment horizontal="left" wrapText="1"/>
    </xf>
    <xf numFmtId="2" fontId="3" fillId="0" borderId="0" xfId="0" applyNumberFormat="1" applyFont="1" applyAlignment="1">
      <alignment horizontal="left" wrapText="1"/>
    </xf>
    <xf numFmtId="2" fontId="3" fillId="0" borderId="0" xfId="0" applyNumberFormat="1" applyFont="1"/>
    <xf numFmtId="0" fontId="3" fillId="0" borderId="0" xfId="0" applyFont="1"/>
    <xf numFmtId="49" fontId="3" fillId="9" borderId="2" xfId="0" applyNumberFormat="1" applyFont="1" applyFill="1" applyBorder="1" applyAlignment="1">
      <alignment horizontal="center" vertical="center" wrapText="1"/>
    </xf>
    <xf numFmtId="2" fontId="10" fillId="9" borderId="9" xfId="0" applyNumberFormat="1" applyFont="1" applyFill="1" applyBorder="1" applyAlignment="1">
      <alignment horizontal="center" vertical="center" wrapText="1"/>
    </xf>
    <xf numFmtId="0" fontId="21" fillId="0" borderId="0" xfId="0" applyFont="1"/>
    <xf numFmtId="14" fontId="4" fillId="0" borderId="1" xfId="0" applyNumberFormat="1" applyFont="1" applyBorder="1" applyAlignment="1">
      <alignment vertical="top" wrapText="1"/>
    </xf>
    <xf numFmtId="14" fontId="4" fillId="0" borderId="1" xfId="0" applyNumberFormat="1" applyFont="1" applyBorder="1" applyAlignment="1">
      <alignment horizontal="center" vertical="top" wrapText="1"/>
    </xf>
    <xf numFmtId="4" fontId="3" fillId="0" borderId="1" xfId="0" applyNumberFormat="1" applyFont="1" applyBorder="1" applyAlignment="1">
      <alignment horizontal="right" vertical="top" wrapText="1"/>
    </xf>
    <xf numFmtId="0" fontId="161" fillId="0" borderId="0" xfId="0" applyFont="1"/>
    <xf numFmtId="0" fontId="10" fillId="0" borderId="0" xfId="0" applyFont="1" applyAlignment="1">
      <alignment wrapText="1"/>
    </xf>
    <xf numFmtId="0" fontId="161" fillId="0" borderId="0" xfId="0" applyFont="1" applyAlignment="1">
      <alignment wrapText="1"/>
    </xf>
    <xf numFmtId="0" fontId="162" fillId="0" borderId="0" xfId="0" applyFont="1"/>
    <xf numFmtId="0" fontId="163" fillId="0" borderId="0" xfId="0" applyFont="1" applyAlignment="1">
      <alignment vertical="top" wrapText="1"/>
    </xf>
    <xf numFmtId="0" fontId="164" fillId="0" borderId="1" xfId="0" applyFont="1" applyBorder="1" applyAlignment="1">
      <alignment horizontal="left" vertical="top" wrapText="1"/>
    </xf>
    <xf numFmtId="0" fontId="165" fillId="0" borderId="1" xfId="0" applyFont="1" applyBorder="1" applyAlignment="1">
      <alignment horizontal="left" vertical="top" wrapText="1"/>
    </xf>
    <xf numFmtId="0" fontId="165" fillId="0" borderId="1" xfId="0" applyFont="1" applyBorder="1" applyAlignment="1">
      <alignment horizontal="center" vertical="top" wrapText="1"/>
    </xf>
    <xf numFmtId="0" fontId="165" fillId="0" borderId="5" xfId="0" applyFont="1" applyBorder="1" applyAlignment="1">
      <alignment horizontal="center" vertical="top" wrapText="1"/>
    </xf>
    <xf numFmtId="0" fontId="165" fillId="0" borderId="1" xfId="0" applyFont="1" applyBorder="1" applyAlignment="1">
      <alignment vertical="top" wrapText="1"/>
    </xf>
    <xf numFmtId="1" fontId="165" fillId="0" borderId="1" xfId="0" applyNumberFormat="1" applyFont="1" applyBorder="1" applyAlignment="1">
      <alignment horizontal="center" vertical="top" wrapText="1"/>
    </xf>
    <xf numFmtId="0" fontId="164" fillId="0" borderId="1" xfId="0" applyFont="1" applyBorder="1" applyAlignment="1">
      <alignment vertical="top" wrapText="1"/>
    </xf>
    <xf numFmtId="0" fontId="165" fillId="0" borderId="1" xfId="0" applyFont="1" applyBorder="1" applyAlignment="1">
      <alignment horizontal="center" vertical="center" wrapText="1"/>
    </xf>
    <xf numFmtId="0" fontId="164" fillId="0" borderId="1" xfId="0" applyFont="1" applyBorder="1" applyAlignment="1">
      <alignment vertical="center" wrapText="1"/>
    </xf>
    <xf numFmtId="0" fontId="165" fillId="0" borderId="0" xfId="0" applyFont="1" applyAlignment="1">
      <alignment vertical="top" wrapText="1"/>
    </xf>
    <xf numFmtId="0" fontId="4" fillId="0" borderId="7" xfId="0" applyFont="1" applyBorder="1" applyAlignment="1">
      <alignment vertical="top" wrapText="1"/>
    </xf>
    <xf numFmtId="2" fontId="4" fillId="0" borderId="7" xfId="0" applyNumberFormat="1" applyFont="1" applyBorder="1" applyAlignment="1">
      <alignment horizontal="center" vertical="top" wrapText="1"/>
    </xf>
    <xf numFmtId="1" fontId="4" fillId="0" borderId="1" xfId="0" applyNumberFormat="1" applyFont="1" applyBorder="1" applyAlignment="1">
      <alignment horizontal="center" vertical="center" wrapText="1"/>
    </xf>
    <xf numFmtId="1" fontId="166" fillId="0" borderId="5" xfId="0" applyNumberFormat="1" applyFont="1" applyBorder="1" applyAlignment="1">
      <alignment horizontal="center" vertical="center" wrapText="1"/>
    </xf>
    <xf numFmtId="1" fontId="3" fillId="0" borderId="15" xfId="0" applyNumberFormat="1" applyFont="1" applyBorder="1" applyAlignment="1">
      <alignment horizontal="center" vertical="center" wrapText="1"/>
    </xf>
    <xf numFmtId="1" fontId="3" fillId="0" borderId="4"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1" fontId="3" fillId="0" borderId="1" xfId="0" quotePrefix="1" applyNumberFormat="1" applyFont="1" applyBorder="1" applyAlignment="1">
      <alignment horizontal="center" vertical="top" wrapText="1"/>
    </xf>
    <xf numFmtId="0" fontId="167" fillId="0" borderId="1" xfId="0" applyFont="1" applyBorder="1" applyAlignment="1">
      <alignment horizontal="left" vertical="top" wrapText="1"/>
    </xf>
    <xf numFmtId="0" fontId="168" fillId="0" borderId="1" xfId="0" applyFont="1" applyBorder="1" applyAlignment="1">
      <alignment horizontal="left" vertical="top" wrapText="1"/>
    </xf>
    <xf numFmtId="0" fontId="2" fillId="0" borderId="0" xfId="0" applyFont="1" applyAlignment="1">
      <alignment vertical="top" wrapText="1"/>
    </xf>
    <xf numFmtId="1" fontId="169" fillId="0" borderId="1" xfId="0" applyNumberFormat="1" applyFont="1" applyBorder="1" applyAlignment="1">
      <alignment horizontal="center" vertical="top" wrapText="1"/>
    </xf>
    <xf numFmtId="1" fontId="10" fillId="0" borderId="4" xfId="0" applyNumberFormat="1" applyFont="1" applyBorder="1" applyAlignment="1">
      <alignment horizontal="center" vertical="top" wrapText="1"/>
    </xf>
    <xf numFmtId="4" fontId="10" fillId="0" borderId="1" xfId="0" applyNumberFormat="1" applyFont="1" applyBorder="1" applyAlignment="1">
      <alignment horizontal="center" vertical="top" wrapText="1"/>
    </xf>
    <xf numFmtId="1" fontId="4" fillId="0" borderId="1" xfId="0" quotePrefix="1" applyNumberFormat="1" applyFont="1" applyBorder="1" applyAlignment="1">
      <alignment horizontal="center" vertical="top" wrapText="1"/>
    </xf>
    <xf numFmtId="4" fontId="4" fillId="0" borderId="7" xfId="0" applyNumberFormat="1" applyFont="1" applyBorder="1" applyAlignment="1">
      <alignment horizontal="center" vertical="top" wrapText="1"/>
    </xf>
    <xf numFmtId="1" fontId="170" fillId="0" borderId="1" xfId="0" applyNumberFormat="1" applyFont="1" applyBorder="1" applyAlignment="1">
      <alignment horizontal="center" vertical="top" wrapText="1"/>
    </xf>
    <xf numFmtId="0" fontId="4" fillId="0" borderId="19" xfId="0" applyFont="1" applyBorder="1" applyAlignment="1">
      <alignment vertical="top" wrapText="1"/>
    </xf>
    <xf numFmtId="0" fontId="4" fillId="0" borderId="20" xfId="0" applyFont="1" applyBorder="1" applyAlignment="1">
      <alignment vertical="top" wrapText="1"/>
    </xf>
    <xf numFmtId="0" fontId="4" fillId="0" borderId="20" xfId="0" applyFont="1" applyBorder="1" applyAlignment="1">
      <alignment horizontal="center" vertical="top" wrapText="1"/>
    </xf>
    <xf numFmtId="0" fontId="171" fillId="0" borderId="20" xfId="0" applyFont="1" applyBorder="1" applyAlignment="1">
      <alignment horizontal="center" vertical="top" wrapText="1"/>
    </xf>
    <xf numFmtId="0" fontId="3" fillId="0" borderId="20" xfId="0" applyFont="1" applyBorder="1" applyAlignment="1">
      <alignment horizontal="center" vertical="top" wrapText="1"/>
    </xf>
    <xf numFmtId="0" fontId="1" fillId="6" borderId="10" xfId="0" applyFont="1" applyFill="1" applyBorder="1" applyAlignment="1">
      <alignment horizontal="center" vertical="top" wrapText="1"/>
    </xf>
    <xf numFmtId="0" fontId="1" fillId="6" borderId="39" xfId="0" applyFont="1" applyFill="1" applyBorder="1" applyAlignment="1">
      <alignment horizontal="center" vertical="top" wrapText="1"/>
    </xf>
    <xf numFmtId="1" fontId="173" fillId="0" borderId="4" xfId="0" applyNumberFormat="1" applyFont="1" applyBorder="1" applyAlignment="1">
      <alignment horizontal="center" vertical="top" wrapText="1"/>
    </xf>
    <xf numFmtId="0" fontId="10" fillId="9" borderId="13" xfId="0" applyFont="1" applyFill="1" applyBorder="1" applyAlignment="1">
      <alignment horizontal="center" vertical="center" wrapText="1"/>
    </xf>
    <xf numFmtId="2" fontId="3" fillId="0" borderId="5" xfId="0" applyNumberFormat="1" applyFont="1" applyBorder="1" applyAlignment="1">
      <alignment horizontal="center" vertical="top" wrapText="1"/>
    </xf>
    <xf numFmtId="0" fontId="174" fillId="0" borderId="0" xfId="0" applyFont="1"/>
    <xf numFmtId="0" fontId="4" fillId="8" borderId="1" xfId="0" applyFont="1" applyFill="1" applyBorder="1" applyAlignment="1">
      <alignment horizontal="left"/>
    </xf>
    <xf numFmtId="0" fontId="175" fillId="0" borderId="0" xfId="0" applyFont="1" applyAlignment="1">
      <alignment horizontal="left"/>
    </xf>
    <xf numFmtId="2" fontId="3" fillId="0" borderId="5" xfId="0" applyNumberFormat="1" applyFont="1" applyBorder="1" applyAlignment="1">
      <alignment horizontal="left" vertical="top"/>
    </xf>
    <xf numFmtId="2" fontId="3" fillId="0" borderId="1" xfId="0" applyNumberFormat="1" applyFont="1" applyBorder="1" applyAlignment="1">
      <alignment horizontal="left" vertical="top"/>
    </xf>
    <xf numFmtId="0" fontId="2" fillId="0" borderId="1" xfId="0" applyFont="1" applyBorder="1" applyAlignment="1">
      <alignment vertical="top"/>
    </xf>
    <xf numFmtId="2" fontId="4" fillId="0" borderId="5" xfId="0" applyNumberFormat="1" applyFont="1" applyBorder="1" applyAlignment="1">
      <alignment horizontal="center" vertical="top" wrapText="1"/>
    </xf>
    <xf numFmtId="1" fontId="49" fillId="0" borderId="0" xfId="0" applyNumberFormat="1" applyFont="1"/>
    <xf numFmtId="0" fontId="1" fillId="6" borderId="14" xfId="0" applyFont="1" applyFill="1" applyBorder="1" applyAlignment="1">
      <alignment horizontal="center" vertical="top" wrapText="1"/>
    </xf>
    <xf numFmtId="0" fontId="10" fillId="6" borderId="14" xfId="0" applyFont="1" applyFill="1" applyBorder="1" applyAlignment="1">
      <alignment horizontal="center" vertical="top" wrapText="1"/>
    </xf>
    <xf numFmtId="0" fontId="10" fillId="6" borderId="25" xfId="0" applyFont="1" applyFill="1" applyBorder="1" applyAlignment="1">
      <alignment horizontal="center" vertical="top" wrapText="1"/>
    </xf>
    <xf numFmtId="0" fontId="6" fillId="6" borderId="1" xfId="0" applyFont="1" applyFill="1" applyBorder="1" applyAlignment="1">
      <alignment horizontal="right"/>
    </xf>
    <xf numFmtId="0" fontId="6" fillId="6" borderId="14" xfId="0" applyFont="1" applyFill="1" applyBorder="1" applyAlignment="1">
      <alignment horizontal="right"/>
    </xf>
    <xf numFmtId="0" fontId="3" fillId="0" borderId="1" xfId="0" applyFont="1" applyBorder="1" applyAlignment="1">
      <alignment horizontal="right" vertical="top" wrapText="1"/>
    </xf>
    <xf numFmtId="0" fontId="3" fillId="0" borderId="5" xfId="0" applyFont="1" applyBorder="1" applyAlignment="1">
      <alignment horizontal="right" vertical="top" wrapText="1"/>
    </xf>
    <xf numFmtId="0" fontId="5" fillId="0" borderId="1" xfId="0" applyFont="1" applyBorder="1" applyAlignment="1">
      <alignment horizontal="right" vertical="top"/>
    </xf>
    <xf numFmtId="1" fontId="3" fillId="6" borderId="1" xfId="0" applyNumberFormat="1" applyFont="1" applyFill="1" applyBorder="1" applyAlignment="1">
      <alignment horizontal="right" vertical="top" wrapText="1"/>
    </xf>
    <xf numFmtId="0" fontId="3" fillId="6" borderId="13" xfId="0" applyFont="1" applyFill="1" applyBorder="1" applyAlignment="1">
      <alignment horizontal="right" vertical="top" wrapText="1"/>
    </xf>
    <xf numFmtId="0" fontId="49" fillId="0" borderId="1" xfId="0" applyFont="1" applyBorder="1" applyAlignment="1">
      <alignment horizontal="right" vertical="top" wrapText="1"/>
    </xf>
    <xf numFmtId="0" fontId="2" fillId="0" borderId="1" xfId="0" applyFont="1" applyBorder="1" applyAlignment="1">
      <alignment wrapText="1"/>
    </xf>
    <xf numFmtId="0" fontId="3" fillId="0" borderId="1" xfId="0" applyFont="1" applyBorder="1"/>
    <xf numFmtId="0" fontId="5" fillId="0" borderId="1" xfId="0" applyFont="1" applyBorder="1" applyAlignment="1">
      <alignment vertical="top"/>
    </xf>
    <xf numFmtId="0" fontId="6" fillId="0" borderId="1" xfId="0" applyFont="1" applyBorder="1" applyAlignment="1">
      <alignment vertical="top"/>
    </xf>
    <xf numFmtId="1" fontId="4" fillId="6" borderId="1" xfId="0" applyNumberFormat="1" applyFont="1" applyFill="1" applyBorder="1" applyAlignment="1">
      <alignment vertical="top" wrapText="1"/>
    </xf>
    <xf numFmtId="1" fontId="4" fillId="6" borderId="13" xfId="0" applyNumberFormat="1" applyFont="1" applyFill="1" applyBorder="1" applyAlignment="1">
      <alignment horizontal="right" vertical="top" wrapText="1"/>
    </xf>
    <xf numFmtId="1" fontId="4" fillId="0" borderId="1" xfId="0" applyNumberFormat="1" applyFont="1" applyBorder="1" applyAlignment="1">
      <alignment horizontal="right" vertical="top" wrapText="1"/>
    </xf>
    <xf numFmtId="1" fontId="4" fillId="0" borderId="5" xfId="0" applyNumberFormat="1" applyFont="1" applyBorder="1" applyAlignment="1">
      <alignment horizontal="right" vertical="top" wrapText="1"/>
    </xf>
    <xf numFmtId="0" fontId="5" fillId="0" borderId="1" xfId="0" applyFont="1" applyBorder="1"/>
    <xf numFmtId="0" fontId="176" fillId="0" borderId="1" xfId="0" applyFont="1" applyBorder="1" applyAlignment="1">
      <alignment horizontal="center" vertical="top" wrapText="1"/>
    </xf>
    <xf numFmtId="0" fontId="119" fillId="0" borderId="0" xfId="0" applyFont="1" applyAlignment="1">
      <alignment horizontal="left" wrapText="1"/>
    </xf>
    <xf numFmtId="0" fontId="6" fillId="0" borderId="1" xfId="0" applyFont="1" applyBorder="1" applyAlignment="1">
      <alignment horizontal="right" vertical="top"/>
    </xf>
    <xf numFmtId="0" fontId="70" fillId="0" borderId="1" xfId="0" applyFont="1" applyBorder="1" applyAlignment="1">
      <alignment vertical="top" wrapText="1"/>
    </xf>
    <xf numFmtId="0" fontId="119" fillId="0" borderId="0" xfId="0" applyFont="1" applyAlignment="1">
      <alignment wrapText="1"/>
    </xf>
    <xf numFmtId="0" fontId="2" fillId="0" borderId="1" xfId="0" applyFont="1" applyBorder="1" applyAlignment="1">
      <alignment horizontal="right" vertical="top" wrapText="1"/>
    </xf>
    <xf numFmtId="1" fontId="3" fillId="6" borderId="1" xfId="0" applyNumberFormat="1" applyFont="1" applyFill="1" applyBorder="1" applyAlignment="1">
      <alignment horizontal="center" vertical="top" wrapText="1"/>
    </xf>
    <xf numFmtId="2" fontId="3" fillId="6" borderId="13" xfId="0" applyNumberFormat="1" applyFont="1" applyFill="1" applyBorder="1" applyAlignment="1">
      <alignment horizontal="center" vertical="top" wrapText="1"/>
    </xf>
    <xf numFmtId="0" fontId="2" fillId="0" borderId="1" xfId="0" applyFont="1" applyBorder="1" applyAlignment="1">
      <alignment horizontal="center" vertical="top" wrapText="1"/>
    </xf>
    <xf numFmtId="2" fontId="10" fillId="0" borderId="5" xfId="0" applyNumberFormat="1" applyFont="1" applyBorder="1" applyAlignment="1">
      <alignment horizontal="center" vertical="top" wrapText="1"/>
    </xf>
    <xf numFmtId="1" fontId="10" fillId="0" borderId="3" xfId="0" applyNumberFormat="1" applyFont="1" applyBorder="1" applyAlignment="1">
      <alignment horizontal="center" vertical="top" wrapText="1"/>
    </xf>
    <xf numFmtId="2" fontId="10" fillId="0" borderId="23" xfId="0" applyNumberFormat="1" applyFont="1" applyBorder="1" applyAlignment="1">
      <alignment horizontal="center" vertical="top" wrapText="1"/>
    </xf>
    <xf numFmtId="0" fontId="2" fillId="0" borderId="3" xfId="0" applyFont="1" applyBorder="1" applyAlignment="1">
      <alignment horizontal="center" vertical="top"/>
    </xf>
    <xf numFmtId="0" fontId="2" fillId="0" borderId="1" xfId="0" applyFont="1" applyBorder="1" applyAlignment="1">
      <alignment horizontal="center" vertical="top"/>
    </xf>
    <xf numFmtId="0" fontId="6" fillId="0" borderId="1" xfId="0" applyFont="1" applyBorder="1" applyAlignment="1">
      <alignment horizontal="left" vertical="top"/>
    </xf>
    <xf numFmtId="1" fontId="4" fillId="6" borderId="1" xfId="0" applyNumberFormat="1" applyFont="1" applyFill="1" applyBorder="1" applyAlignment="1">
      <alignment horizontal="left" vertical="top" wrapText="1"/>
    </xf>
    <xf numFmtId="0" fontId="2" fillId="0" borderId="1" xfId="0" applyFont="1" applyBorder="1" applyAlignment="1">
      <alignment horizontal="left" vertical="top" wrapText="1"/>
    </xf>
    <xf numFmtId="0" fontId="5" fillId="0" borderId="1" xfId="0" applyFont="1" applyBorder="1" applyAlignment="1">
      <alignment horizontal="center" vertical="center"/>
    </xf>
    <xf numFmtId="0" fontId="1" fillId="0" borderId="0" xfId="0" applyFont="1" applyAlignment="1">
      <alignment horizontal="left" vertical="top" wrapText="1"/>
    </xf>
    <xf numFmtId="0" fontId="177" fillId="0" borderId="0" xfId="0" applyFont="1" applyAlignment="1">
      <alignment horizontal="center" vertical="center" wrapText="1"/>
    </xf>
    <xf numFmtId="0" fontId="78" fillId="6" borderId="13" xfId="0" applyFont="1" applyFill="1" applyBorder="1" applyAlignment="1">
      <alignment horizontal="center" vertical="center" wrapText="1"/>
    </xf>
    <xf numFmtId="0" fontId="4" fillId="0" borderId="11" xfId="0" applyFont="1" applyBorder="1" applyAlignment="1">
      <alignment horizontal="center" vertical="center" wrapText="1"/>
    </xf>
    <xf numFmtId="1" fontId="3" fillId="6" borderId="1" xfId="0" applyNumberFormat="1" applyFont="1" applyFill="1" applyBorder="1" applyAlignment="1">
      <alignment horizontal="center" vertical="center" wrapText="1"/>
    </xf>
    <xf numFmtId="2" fontId="3" fillId="6" borderId="13" xfId="0" applyNumberFormat="1" applyFont="1" applyFill="1" applyBorder="1" applyAlignment="1">
      <alignment horizontal="center" vertical="center" wrapText="1"/>
    </xf>
    <xf numFmtId="1" fontId="3" fillId="0" borderId="7" xfId="0"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1" fontId="10" fillId="0" borderId="1" xfId="0" applyNumberFormat="1" applyFont="1" applyBorder="1" applyAlignment="1">
      <alignment horizontal="center" vertical="center" wrapText="1"/>
    </xf>
    <xf numFmtId="2" fontId="10" fillId="0" borderId="5" xfId="0" applyNumberFormat="1" applyFont="1" applyBorder="1" applyAlignment="1">
      <alignment horizontal="center" vertical="center" wrapText="1"/>
    </xf>
    <xf numFmtId="2" fontId="5" fillId="0" borderId="1" xfId="0" applyNumberFormat="1" applyFont="1" applyBorder="1" applyAlignment="1">
      <alignment horizontal="center" vertical="center"/>
    </xf>
    <xf numFmtId="1" fontId="4" fillId="6" borderId="1" xfId="0" applyNumberFormat="1" applyFont="1" applyFill="1" applyBorder="1" applyAlignment="1">
      <alignment horizontal="center" vertical="top" wrapText="1"/>
    </xf>
    <xf numFmtId="2" fontId="4" fillId="6" borderId="13" xfId="0" applyNumberFormat="1" applyFont="1" applyFill="1" applyBorder="1" applyAlignment="1">
      <alignment horizontal="center" vertical="top" wrapText="1"/>
    </xf>
    <xf numFmtId="1" fontId="3" fillId="6" borderId="1" xfId="0" applyNumberFormat="1" applyFont="1" applyFill="1" applyBorder="1" applyAlignment="1">
      <alignment vertical="top" wrapText="1"/>
    </xf>
    <xf numFmtId="0" fontId="178" fillId="6" borderId="1" xfId="0" applyFont="1" applyFill="1" applyBorder="1" applyAlignment="1">
      <alignment horizontal="center" vertical="top" wrapText="1"/>
    </xf>
    <xf numFmtId="0" fontId="179" fillId="0" borderId="15" xfId="0" applyFont="1" applyBorder="1" applyAlignment="1">
      <alignment vertical="center" wrapText="1"/>
    </xf>
    <xf numFmtId="0" fontId="180" fillId="0" borderId="0" xfId="0" applyFont="1" applyAlignment="1">
      <alignment wrapText="1"/>
    </xf>
    <xf numFmtId="0" fontId="2" fillId="0" borderId="1" xfId="0" applyFont="1" applyBorder="1" applyAlignment="1">
      <alignment horizontal="center" wrapText="1"/>
    </xf>
    <xf numFmtId="0" fontId="2" fillId="0" borderId="41" xfId="0" applyFont="1" applyBorder="1" applyAlignment="1">
      <alignment vertical="center" wrapText="1"/>
    </xf>
    <xf numFmtId="0" fontId="1" fillId="0" borderId="16" xfId="0" applyFont="1" applyBorder="1" applyAlignment="1">
      <alignment vertical="center" wrapText="1"/>
    </xf>
    <xf numFmtId="0" fontId="1" fillId="0" borderId="4" xfId="0" applyFont="1" applyBorder="1" applyAlignment="1">
      <alignment vertical="top" wrapText="1"/>
    </xf>
    <xf numFmtId="0" fontId="2" fillId="0" borderId="3" xfId="0" applyFont="1" applyBorder="1" applyAlignment="1">
      <alignment horizontal="center"/>
    </xf>
    <xf numFmtId="0" fontId="2" fillId="0" borderId="1" xfId="0" applyFont="1" applyBorder="1" applyAlignment="1">
      <alignment horizontal="center"/>
    </xf>
    <xf numFmtId="1" fontId="4" fillId="0" borderId="5"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0" fontId="181" fillId="0" borderId="1" xfId="0" applyFont="1" applyBorder="1" applyAlignment="1">
      <alignment horizontal="left" vertical="top" wrapText="1"/>
    </xf>
    <xf numFmtId="0" fontId="106" fillId="0" borderId="1" xfId="0" applyFont="1" applyBorder="1" applyAlignment="1">
      <alignment horizontal="left" vertical="top"/>
    </xf>
    <xf numFmtId="0" fontId="161" fillId="0" borderId="1" xfId="0" applyFont="1" applyBorder="1" applyAlignment="1">
      <alignment horizontal="left" vertical="top"/>
    </xf>
    <xf numFmtId="3" fontId="4" fillId="0" borderId="1" xfId="0" applyNumberFormat="1" applyFont="1" applyBorder="1" applyAlignment="1">
      <alignment horizontal="left" vertical="top" wrapText="1"/>
    </xf>
    <xf numFmtId="0" fontId="182" fillId="6" borderId="1" xfId="0" applyFont="1" applyFill="1" applyBorder="1" applyAlignment="1">
      <alignment horizontal="left" vertical="top" wrapText="1"/>
    </xf>
    <xf numFmtId="0" fontId="10" fillId="0" borderId="1" xfId="0" applyFont="1" applyBorder="1" applyAlignment="1">
      <alignment horizontal="left" vertical="top"/>
    </xf>
    <xf numFmtId="0" fontId="183" fillId="0" borderId="1" xfId="0" applyFont="1" applyBorder="1" applyAlignment="1">
      <alignment horizontal="left" vertical="top" wrapText="1"/>
    </xf>
    <xf numFmtId="0" fontId="78" fillId="8" borderId="1" xfId="0" applyFont="1" applyFill="1" applyBorder="1" applyAlignment="1">
      <alignment horizontal="center" vertical="top" wrapText="1"/>
    </xf>
    <xf numFmtId="0" fontId="184" fillId="0" borderId="6" xfId="0" applyFont="1" applyBorder="1" applyAlignment="1">
      <alignment horizontal="left" vertical="top" wrapText="1"/>
    </xf>
    <xf numFmtId="0" fontId="185" fillId="0" borderId="1" xfId="0" applyFont="1" applyBorder="1" applyAlignment="1">
      <alignment vertical="top"/>
    </xf>
    <xf numFmtId="0" fontId="185" fillId="0" borderId="1" xfId="0" applyFont="1" applyBorder="1" applyAlignment="1">
      <alignment vertical="top" wrapText="1"/>
    </xf>
    <xf numFmtId="0" fontId="185" fillId="0" borderId="1" xfId="0" applyFont="1" applyBorder="1" applyAlignment="1">
      <alignment horizontal="left" vertical="top" wrapText="1"/>
    </xf>
    <xf numFmtId="0" fontId="186" fillId="0" borderId="1" xfId="0" applyFont="1" applyBorder="1" applyAlignment="1">
      <alignment vertical="top" wrapText="1"/>
    </xf>
    <xf numFmtId="0" fontId="185" fillId="0" borderId="1" xfId="0" applyFont="1" applyBorder="1" applyAlignment="1">
      <alignment horizontal="center" vertical="top"/>
    </xf>
    <xf numFmtId="0" fontId="187" fillId="0" borderId="1" xfId="0" applyFont="1" applyBorder="1" applyAlignment="1">
      <alignment horizontal="center" vertical="top"/>
    </xf>
    <xf numFmtId="2" fontId="185" fillId="0" borderId="1" xfId="0" applyNumberFormat="1" applyFont="1" applyBorder="1" applyAlignment="1">
      <alignment vertical="top" wrapText="1"/>
    </xf>
    <xf numFmtId="0" fontId="21" fillId="0" borderId="1" xfId="0" applyFont="1" applyBorder="1" applyAlignment="1">
      <alignment vertical="top"/>
    </xf>
    <xf numFmtId="0" fontId="188" fillId="0" borderId="1" xfId="0" applyFont="1" applyBorder="1" applyAlignment="1">
      <alignment vertical="top" wrapText="1"/>
    </xf>
    <xf numFmtId="0" fontId="185" fillId="0" borderId="1" xfId="0" applyFont="1" applyBorder="1" applyAlignment="1">
      <alignment horizontal="center" vertical="top" wrapText="1"/>
    </xf>
    <xf numFmtId="0" fontId="189" fillId="0" borderId="1" xfId="0" applyFont="1" applyBorder="1" applyAlignment="1">
      <alignment horizontal="center" vertical="top" wrapText="1"/>
    </xf>
    <xf numFmtId="49" fontId="190" fillId="0" borderId="1" xfId="0" applyNumberFormat="1" applyFont="1" applyBorder="1" applyAlignment="1">
      <alignment horizontal="center" vertical="top" wrapText="1"/>
    </xf>
    <xf numFmtId="3" fontId="187" fillId="0" borderId="1" xfId="0" applyNumberFormat="1" applyFont="1" applyBorder="1" applyAlignment="1">
      <alignment horizontal="center" vertical="top"/>
    </xf>
    <xf numFmtId="2" fontId="187" fillId="0" borderId="1" xfId="0" applyNumberFormat="1" applyFont="1" applyBorder="1" applyAlignment="1">
      <alignment horizontal="center" vertical="top" wrapText="1"/>
    </xf>
    <xf numFmtId="0" fontId="185" fillId="0" borderId="3" xfId="0" applyFont="1" applyBorder="1" applyAlignment="1">
      <alignment vertical="top" wrapText="1"/>
    </xf>
    <xf numFmtId="0" fontId="191" fillId="0" borderId="3" xfId="0" applyFont="1" applyBorder="1" applyAlignment="1">
      <alignment horizontal="center" vertical="top" wrapText="1"/>
    </xf>
    <xf numFmtId="0" fontId="21" fillId="0" borderId="3" xfId="0" applyFont="1" applyBorder="1" applyAlignment="1">
      <alignment vertical="top"/>
    </xf>
    <xf numFmtId="0" fontId="185" fillId="0" borderId="23" xfId="0" applyFont="1" applyBorder="1" applyAlignment="1">
      <alignment horizontal="center" vertical="top" wrapText="1"/>
    </xf>
    <xf numFmtId="49" fontId="185" fillId="0" borderId="11" xfId="0" applyNumberFormat="1" applyFont="1" applyBorder="1" applyAlignment="1">
      <alignment horizontal="center" vertical="top" wrapText="1"/>
    </xf>
    <xf numFmtId="0" fontId="185" fillId="0" borderId="5" xfId="0" applyFont="1" applyBorder="1" applyAlignment="1">
      <alignment vertical="top"/>
    </xf>
    <xf numFmtId="0" fontId="185" fillId="0" borderId="7" xfId="0" applyFont="1" applyBorder="1" applyAlignment="1">
      <alignment horizontal="center" vertical="top" wrapText="1"/>
    </xf>
    <xf numFmtId="49" fontId="185" fillId="0" borderId="1" xfId="0" applyNumberFormat="1" applyFont="1" applyBorder="1" applyAlignment="1">
      <alignment horizontal="center" vertical="top" wrapText="1"/>
    </xf>
    <xf numFmtId="0" fontId="4" fillId="8" borderId="30" xfId="0" applyFont="1" applyFill="1" applyBorder="1" applyAlignment="1">
      <alignment horizontal="center" vertical="top" wrapText="1"/>
    </xf>
    <xf numFmtId="0" fontId="6" fillId="8" borderId="2" xfId="0" applyFont="1" applyFill="1" applyBorder="1" applyAlignment="1">
      <alignment horizontal="center" vertical="top"/>
    </xf>
    <xf numFmtId="2" fontId="6" fillId="8" borderId="2" xfId="0" applyNumberFormat="1" applyFont="1" applyFill="1" applyBorder="1" applyAlignment="1">
      <alignment horizontal="center" vertical="top"/>
    </xf>
    <xf numFmtId="2" fontId="185" fillId="0" borderId="0" xfId="0" applyNumberFormat="1" applyFont="1" applyAlignment="1">
      <alignment vertical="top" wrapText="1"/>
    </xf>
    <xf numFmtId="0" fontId="4" fillId="8" borderId="14" xfId="0" applyFont="1" applyFill="1" applyBorder="1" applyAlignment="1">
      <alignment horizontal="left" vertical="top"/>
    </xf>
    <xf numFmtId="0" fontId="4" fillId="8" borderId="42" xfId="0" applyFont="1" applyFill="1" applyBorder="1" applyAlignment="1">
      <alignment horizontal="left" vertical="top" wrapText="1"/>
    </xf>
    <xf numFmtId="1" fontId="10" fillId="8" borderId="14" xfId="0" applyNumberFormat="1" applyFont="1" applyFill="1" applyBorder="1" applyAlignment="1">
      <alignment horizontal="center" vertical="top" wrapText="1"/>
    </xf>
    <xf numFmtId="0" fontId="10" fillId="8" borderId="13" xfId="0" applyFont="1" applyFill="1" applyBorder="1" applyAlignment="1">
      <alignment horizontal="center" vertical="top" wrapText="1"/>
    </xf>
    <xf numFmtId="0" fontId="183" fillId="8" borderId="1" xfId="0" applyFont="1" applyFill="1" applyBorder="1" applyAlignment="1">
      <alignment horizontal="left" vertical="top" wrapText="1"/>
    </xf>
    <xf numFmtId="0" fontId="6" fillId="0" borderId="1" xfId="0" applyFont="1" applyBorder="1" applyAlignment="1">
      <alignment horizontal="center" vertical="top"/>
    </xf>
    <xf numFmtId="2" fontId="6" fillId="0" borderId="1" xfId="0" applyNumberFormat="1" applyFont="1" applyBorder="1" applyAlignment="1">
      <alignment horizontal="center" vertical="top"/>
    </xf>
    <xf numFmtId="0" fontId="108" fillId="0" borderId="1" xfId="0" applyFont="1" applyBorder="1" applyAlignment="1">
      <alignment horizontal="left" vertical="center" wrapText="1"/>
    </xf>
    <xf numFmtId="0" fontId="192" fillId="0" borderId="1" xfId="0" applyFont="1" applyBorder="1" applyAlignment="1">
      <alignment horizontal="left" vertical="top" wrapText="1"/>
    </xf>
    <xf numFmtId="2" fontId="111" fillId="0" borderId="1" xfId="0" applyNumberFormat="1" applyFont="1" applyBorder="1" applyAlignment="1">
      <alignment horizontal="left" vertical="center" wrapText="1"/>
    </xf>
    <xf numFmtId="0" fontId="193" fillId="0" borderId="1" xfId="0" applyFont="1" applyBorder="1" applyAlignment="1">
      <alignment horizontal="left" vertical="top" wrapText="1"/>
    </xf>
    <xf numFmtId="0" fontId="194" fillId="0" borderId="1" xfId="0" applyFont="1" applyBorder="1" applyAlignment="1">
      <alignment horizontal="left" vertical="top" wrapText="1"/>
    </xf>
    <xf numFmtId="1" fontId="3" fillId="6" borderId="13" xfId="0" applyNumberFormat="1" applyFont="1" applyFill="1" applyBorder="1" applyAlignment="1">
      <alignment horizontal="center" vertical="top" wrapText="1"/>
    </xf>
    <xf numFmtId="2" fontId="2" fillId="0" borderId="1" xfId="0" applyNumberFormat="1" applyFont="1" applyBorder="1" applyAlignment="1">
      <alignment horizontal="center" vertical="top" wrapText="1"/>
    </xf>
    <xf numFmtId="1" fontId="10" fillId="0" borderId="7" xfId="0" applyNumberFormat="1" applyFont="1" applyBorder="1" applyAlignment="1">
      <alignment horizontal="center" vertical="top" wrapText="1"/>
    </xf>
    <xf numFmtId="1" fontId="10" fillId="0" borderId="5" xfId="0" applyNumberFormat="1" applyFont="1" applyBorder="1" applyAlignment="1">
      <alignment horizontal="center" vertical="top" wrapText="1"/>
    </xf>
    <xf numFmtId="0" fontId="185" fillId="0" borderId="5" xfId="0" applyFont="1" applyBorder="1" applyAlignment="1">
      <alignment vertical="top" wrapText="1"/>
    </xf>
    <xf numFmtId="0" fontId="185" fillId="0" borderId="5" xfId="0" applyFont="1" applyBorder="1" applyAlignment="1">
      <alignment horizontal="center" vertical="top" wrapText="1"/>
    </xf>
    <xf numFmtId="0" fontId="4" fillId="8" borderId="13" xfId="0" applyFont="1" applyFill="1" applyBorder="1" applyAlignment="1">
      <alignment horizontal="right" vertical="top" wrapText="1"/>
    </xf>
    <xf numFmtId="0" fontId="6" fillId="8" borderId="1" xfId="0" applyFont="1" applyFill="1" applyBorder="1" applyAlignment="1">
      <alignment vertical="top"/>
    </xf>
    <xf numFmtId="0" fontId="4" fillId="8" borderId="1" xfId="0" applyFont="1" applyFill="1" applyBorder="1" applyAlignment="1">
      <alignment horizontal="right" vertical="top" wrapText="1"/>
    </xf>
    <xf numFmtId="0" fontId="1" fillId="8" borderId="9" xfId="0" applyFont="1" applyFill="1" applyBorder="1" applyAlignment="1">
      <alignment horizontal="left" vertical="top" wrapText="1"/>
    </xf>
    <xf numFmtId="1" fontId="1" fillId="8" borderId="17" xfId="0" applyNumberFormat="1" applyFont="1" applyFill="1" applyBorder="1" applyAlignment="1">
      <alignment horizontal="left" vertical="top" wrapText="1"/>
    </xf>
    <xf numFmtId="0" fontId="4" fillId="8" borderId="24" xfId="0" applyFont="1" applyFill="1" applyBorder="1" applyAlignment="1">
      <alignment horizontal="right" vertical="top" wrapText="1"/>
    </xf>
    <xf numFmtId="0" fontId="6" fillId="8" borderId="17" xfId="0" applyFont="1" applyFill="1" applyBorder="1" applyAlignment="1">
      <alignment vertical="top"/>
    </xf>
    <xf numFmtId="0" fontId="195" fillId="0" borderId="1" xfId="0" applyFont="1" applyBorder="1" applyAlignment="1">
      <alignment horizontal="left" vertical="top" wrapText="1"/>
    </xf>
    <xf numFmtId="0" fontId="49" fillId="0" borderId="1" xfId="0" applyFont="1" applyBorder="1" applyAlignment="1">
      <alignment horizontal="center" vertical="top"/>
    </xf>
    <xf numFmtId="2" fontId="49" fillId="0" borderId="1" xfId="0" applyNumberFormat="1" applyFont="1" applyBorder="1" applyAlignment="1">
      <alignment horizontal="center" vertical="top"/>
    </xf>
    <xf numFmtId="0" fontId="4" fillId="8" borderId="2" xfId="0" applyFont="1" applyFill="1" applyBorder="1" applyAlignment="1">
      <alignment horizontal="left" vertical="top"/>
    </xf>
    <xf numFmtId="2" fontId="4" fillId="8" borderId="2" xfId="0" applyNumberFormat="1" applyFont="1" applyFill="1" applyBorder="1" applyAlignment="1">
      <alignment horizontal="center" vertical="top" wrapText="1"/>
    </xf>
    <xf numFmtId="1" fontId="1" fillId="8" borderId="18" xfId="0" applyNumberFormat="1" applyFont="1" applyFill="1" applyBorder="1" applyAlignment="1">
      <alignment horizontal="center" vertical="top" wrapText="1"/>
    </xf>
    <xf numFmtId="0" fontId="1" fillId="8" borderId="24" xfId="0" applyFont="1" applyFill="1" applyBorder="1" applyAlignment="1">
      <alignment horizontal="center" vertical="top" wrapText="1"/>
    </xf>
    <xf numFmtId="2" fontId="2" fillId="8" borderId="17" xfId="0" applyNumberFormat="1" applyFont="1" applyFill="1" applyBorder="1" applyAlignment="1">
      <alignment horizontal="center" vertical="top" wrapText="1"/>
    </xf>
    <xf numFmtId="1" fontId="1" fillId="8" borderId="42" xfId="0" applyNumberFormat="1" applyFont="1" applyFill="1" applyBorder="1" applyAlignment="1">
      <alignment horizontal="center" vertical="top" wrapText="1"/>
    </xf>
    <xf numFmtId="0" fontId="1" fillId="8" borderId="34" xfId="0" applyFont="1" applyFill="1" applyBorder="1" applyAlignment="1">
      <alignment horizontal="center" vertical="top" wrapText="1"/>
    </xf>
    <xf numFmtId="0" fontId="2" fillId="8" borderId="35" xfId="0" applyFont="1" applyFill="1" applyBorder="1" applyAlignment="1">
      <alignment horizontal="center" vertical="top" wrapText="1"/>
    </xf>
    <xf numFmtId="2" fontId="2" fillId="8" borderId="35" xfId="0" applyNumberFormat="1" applyFont="1" applyFill="1" applyBorder="1" applyAlignment="1">
      <alignment horizontal="center" vertical="top" wrapText="1"/>
    </xf>
    <xf numFmtId="0" fontId="196" fillId="6" borderId="1" xfId="0" applyFont="1" applyFill="1" applyBorder="1" applyAlignment="1">
      <alignment horizontal="left" vertical="top" wrapText="1"/>
    </xf>
    <xf numFmtId="0" fontId="197" fillId="6" borderId="2" xfId="0" applyFont="1" applyFill="1" applyBorder="1" applyAlignment="1">
      <alignment horizontal="left" vertical="top" wrapText="1"/>
    </xf>
    <xf numFmtId="2" fontId="3" fillId="0" borderId="3" xfId="0" applyNumberFormat="1" applyFont="1" applyBorder="1" applyAlignment="1">
      <alignment horizontal="center" vertical="top" wrapText="1"/>
    </xf>
    <xf numFmtId="0" fontId="198" fillId="0" borderId="3" xfId="0" applyFont="1" applyBorder="1" applyAlignment="1">
      <alignment horizontal="center" vertical="top" wrapText="1"/>
    </xf>
    <xf numFmtId="0" fontId="199" fillId="0" borderId="1" xfId="0" applyFont="1" applyBorder="1" applyAlignment="1">
      <alignment wrapText="1"/>
    </xf>
    <xf numFmtId="0" fontId="4" fillId="6" borderId="17" xfId="0" applyFont="1" applyFill="1" applyBorder="1" applyAlignment="1">
      <alignment horizontal="left" vertical="top" wrapText="1"/>
    </xf>
    <xf numFmtId="0" fontId="200" fillId="6" borderId="17" xfId="0" applyFont="1" applyFill="1" applyBorder="1" applyAlignment="1">
      <alignment horizontal="left" vertical="top" wrapText="1"/>
    </xf>
    <xf numFmtId="1" fontId="4" fillId="6" borderId="17" xfId="0" applyNumberFormat="1" applyFont="1" applyFill="1" applyBorder="1" applyAlignment="1">
      <alignment horizontal="center" vertical="top" wrapText="1"/>
    </xf>
    <xf numFmtId="2" fontId="4" fillId="6" borderId="17" xfId="0" applyNumberFormat="1" applyFont="1" applyFill="1" applyBorder="1" applyAlignment="1">
      <alignment horizontal="center" vertical="top" wrapText="1"/>
    </xf>
    <xf numFmtId="2" fontId="3" fillId="0" borderId="4" xfId="0" applyNumberFormat="1" applyFont="1" applyBorder="1" applyAlignment="1">
      <alignment horizontal="center" vertical="top" wrapText="1"/>
    </xf>
    <xf numFmtId="2" fontId="4" fillId="6" borderId="1" xfId="0" applyNumberFormat="1" applyFont="1" applyFill="1" applyBorder="1" applyAlignment="1">
      <alignment horizontal="center" vertical="top" wrapText="1"/>
    </xf>
    <xf numFmtId="0" fontId="4" fillId="0" borderId="7" xfId="0" applyFont="1" applyBorder="1" applyAlignment="1">
      <alignment horizontal="left" vertical="top" wrapText="1"/>
    </xf>
    <xf numFmtId="0" fontId="70" fillId="0" borderId="3" xfId="0" applyFont="1" applyBorder="1" applyAlignment="1">
      <alignment vertical="top" wrapText="1"/>
    </xf>
    <xf numFmtId="0" fontId="4" fillId="6" borderId="14" xfId="0" applyFont="1" applyFill="1" applyBorder="1" applyAlignment="1">
      <alignment vertical="top" wrapText="1"/>
    </xf>
    <xf numFmtId="0" fontId="4" fillId="6" borderId="8" xfId="0" applyFont="1" applyFill="1" applyBorder="1" applyAlignment="1">
      <alignment vertical="top" wrapText="1"/>
    </xf>
    <xf numFmtId="1" fontId="4" fillId="6" borderId="13" xfId="0" applyNumberFormat="1" applyFont="1" applyFill="1" applyBorder="1" applyAlignment="1">
      <alignment horizontal="center" vertical="top" wrapText="1"/>
    </xf>
    <xf numFmtId="1" fontId="1" fillId="8" borderId="1" xfId="0" applyNumberFormat="1" applyFont="1" applyFill="1" applyBorder="1" applyAlignment="1">
      <alignment horizontal="right" vertical="top" wrapText="1"/>
    </xf>
    <xf numFmtId="0" fontId="4" fillId="8" borderId="39" xfId="0" applyFont="1" applyFill="1" applyBorder="1" applyAlignment="1">
      <alignment horizontal="right" vertical="top" wrapText="1"/>
    </xf>
    <xf numFmtId="0" fontId="2" fillId="0" borderId="4" xfId="0" applyFont="1" applyBorder="1" applyAlignment="1">
      <alignment vertical="top" wrapText="1"/>
    </xf>
    <xf numFmtId="2" fontId="6" fillId="8" borderId="1" xfId="0" applyNumberFormat="1" applyFont="1" applyFill="1" applyBorder="1" applyAlignment="1">
      <alignment horizontal="right" vertical="top"/>
    </xf>
    <xf numFmtId="2" fontId="2" fillId="0" borderId="4" xfId="0" applyNumberFormat="1" applyFont="1" applyBorder="1" applyAlignment="1">
      <alignment horizontal="right" vertical="top" wrapText="1"/>
    </xf>
    <xf numFmtId="0" fontId="49" fillId="0" borderId="1" xfId="0" applyFont="1" applyBorder="1" applyAlignment="1">
      <alignment horizontal="center" vertical="top" wrapText="1"/>
    </xf>
    <xf numFmtId="0" fontId="6" fillId="0" borderId="1" xfId="0" applyFont="1" applyBorder="1" applyAlignment="1">
      <alignment horizontal="center" vertical="top" wrapText="1"/>
    </xf>
    <xf numFmtId="0" fontId="5" fillId="0" borderId="1" xfId="0" applyFont="1" applyBorder="1" applyAlignment="1">
      <alignment horizontal="center" vertical="top" wrapText="1"/>
    </xf>
    <xf numFmtId="0" fontId="6" fillId="0" borderId="1" xfId="0" applyFont="1" applyBorder="1" applyAlignment="1">
      <alignment horizontal="left" vertical="top" wrapText="1"/>
    </xf>
    <xf numFmtId="0" fontId="119" fillId="0" borderId="1" xfId="0" applyFont="1" applyBorder="1" applyAlignment="1">
      <alignment wrapText="1"/>
    </xf>
    <xf numFmtId="0" fontId="201" fillId="0" borderId="4" xfId="0" applyFont="1" applyBorder="1" applyAlignment="1">
      <alignment horizontal="center" vertical="top" wrapText="1"/>
    </xf>
    <xf numFmtId="0" fontId="4" fillId="0" borderId="12" xfId="0" applyFont="1" applyBorder="1" applyAlignment="1">
      <alignment horizontal="center" vertical="top" wrapText="1"/>
    </xf>
    <xf numFmtId="3" fontId="4" fillId="0" borderId="4" xfId="0" applyNumberFormat="1" applyFont="1" applyBorder="1" applyAlignment="1">
      <alignment horizontal="center" vertical="top"/>
    </xf>
    <xf numFmtId="0" fontId="202" fillId="6" borderId="1" xfId="0" applyFont="1" applyFill="1" applyBorder="1" applyAlignment="1">
      <alignment horizontal="left" vertical="top" wrapText="1"/>
    </xf>
    <xf numFmtId="0" fontId="203" fillId="6" borderId="2" xfId="0" applyFont="1" applyFill="1" applyBorder="1" applyAlignment="1">
      <alignment horizontal="left" vertical="top" wrapText="1"/>
    </xf>
    <xf numFmtId="1" fontId="4" fillId="6" borderId="2" xfId="0" applyNumberFormat="1" applyFont="1" applyFill="1" applyBorder="1" applyAlignment="1">
      <alignment vertical="top" wrapText="1"/>
    </xf>
    <xf numFmtId="1" fontId="4" fillId="6" borderId="2" xfId="0" applyNumberFormat="1" applyFont="1" applyFill="1" applyBorder="1" applyAlignment="1">
      <alignment horizontal="center" vertical="top" wrapText="1"/>
    </xf>
    <xf numFmtId="0" fontId="183" fillId="0" borderId="3" xfId="0" applyFont="1" applyBorder="1" applyAlignment="1">
      <alignment horizontal="center" vertical="top" wrapText="1"/>
    </xf>
    <xf numFmtId="2" fontId="183" fillId="0" borderId="3" xfId="0" applyNumberFormat="1" applyFont="1" applyBorder="1" applyAlignment="1">
      <alignment horizontal="center" vertical="top" wrapText="1"/>
    </xf>
    <xf numFmtId="0" fontId="183" fillId="0" borderId="0" xfId="0" applyFont="1" applyAlignment="1">
      <alignment vertical="top" wrapText="1"/>
    </xf>
    <xf numFmtId="0" fontId="204" fillId="6" borderId="17" xfId="0" applyFont="1" applyFill="1" applyBorder="1" applyAlignment="1">
      <alignment horizontal="left" vertical="top" wrapText="1"/>
    </xf>
    <xf numFmtId="2" fontId="4" fillId="0" borderId="4" xfId="0" applyNumberFormat="1" applyFont="1" applyBorder="1" applyAlignment="1">
      <alignment horizontal="center" vertical="top" wrapText="1"/>
    </xf>
    <xf numFmtId="0" fontId="119" fillId="0" borderId="1" xfId="0" applyFont="1" applyBorder="1" applyAlignment="1">
      <alignment vertical="top" wrapText="1"/>
    </xf>
    <xf numFmtId="0" fontId="205" fillId="0" borderId="1" xfId="0" applyFont="1" applyBorder="1" applyAlignment="1">
      <alignment wrapText="1"/>
    </xf>
    <xf numFmtId="0" fontId="206" fillId="8" borderId="8" xfId="0" applyFont="1" applyFill="1" applyBorder="1" applyAlignment="1">
      <alignment vertical="top" wrapText="1"/>
    </xf>
    <xf numFmtId="2" fontId="4" fillId="8" borderId="13" xfId="0" applyNumberFormat="1" applyFont="1" applyFill="1" applyBorder="1" applyAlignment="1">
      <alignment horizontal="center" vertical="top" wrapText="1"/>
    </xf>
    <xf numFmtId="2" fontId="3" fillId="6" borderId="1" xfId="0" applyNumberFormat="1" applyFont="1" applyFill="1" applyBorder="1" applyAlignment="1">
      <alignment horizontal="center" vertical="top" wrapText="1"/>
    </xf>
    <xf numFmtId="49" fontId="4" fillId="8" borderId="1" xfId="0" applyNumberFormat="1" applyFont="1" applyFill="1" applyBorder="1" applyAlignment="1">
      <alignment vertical="top" wrapText="1"/>
    </xf>
    <xf numFmtId="3" fontId="3" fillId="8" borderId="1" xfId="0" applyNumberFormat="1" applyFont="1" applyFill="1" applyBorder="1" applyAlignment="1">
      <alignment vertical="top" wrapText="1"/>
    </xf>
    <xf numFmtId="4" fontId="3" fillId="8" borderId="1" xfId="0" applyNumberFormat="1" applyFont="1" applyFill="1" applyBorder="1" applyAlignment="1">
      <alignment vertical="top" wrapText="1"/>
    </xf>
    <xf numFmtId="0" fontId="78" fillId="0" borderId="1" xfId="0" applyFont="1" applyBorder="1" applyAlignment="1">
      <alignment vertical="top" wrapText="1"/>
    </xf>
    <xf numFmtId="0" fontId="49" fillId="0" borderId="1" xfId="0" applyFont="1" applyBorder="1" applyAlignment="1">
      <alignment vertical="top" wrapText="1"/>
    </xf>
    <xf numFmtId="0" fontId="2" fillId="8" borderId="1" xfId="0" applyFont="1" applyFill="1" applyBorder="1" applyAlignment="1">
      <alignment vertical="top" wrapText="1"/>
    </xf>
    <xf numFmtId="0" fontId="49" fillId="8" borderId="1" xfId="0" applyFont="1" applyFill="1" applyBorder="1" applyAlignment="1">
      <alignment vertical="top" wrapText="1"/>
    </xf>
    <xf numFmtId="0" fontId="1" fillId="0" borderId="5" xfId="0" applyFont="1" applyBorder="1" applyAlignment="1">
      <alignment horizontal="left" vertical="top" wrapText="1"/>
    </xf>
    <xf numFmtId="0" fontId="4" fillId="8" borderId="35" xfId="0" applyFont="1" applyFill="1" applyBorder="1" applyAlignment="1">
      <alignment horizontal="left" vertical="top" wrapText="1"/>
    </xf>
    <xf numFmtId="0" fontId="1" fillId="0" borderId="5" xfId="0" applyFont="1" applyBorder="1" applyAlignment="1">
      <alignment horizontal="center" vertical="top" wrapText="1"/>
    </xf>
    <xf numFmtId="0" fontId="4" fillId="0" borderId="16" xfId="0" applyFont="1" applyBorder="1" applyAlignment="1">
      <alignment horizontal="left" vertical="top" wrapText="1"/>
    </xf>
    <xf numFmtId="2" fontId="121" fillId="0" borderId="3" xfId="0" applyNumberFormat="1" applyFont="1" applyBorder="1" applyAlignment="1">
      <alignment horizontal="center" vertical="top" wrapText="1"/>
    </xf>
    <xf numFmtId="2" fontId="121" fillId="0" borderId="1" xfId="0" applyNumberFormat="1" applyFont="1" applyBorder="1" applyAlignment="1">
      <alignment horizontal="center" vertical="top" wrapText="1"/>
    </xf>
    <xf numFmtId="0" fontId="207" fillId="6" borderId="2" xfId="0" applyFont="1" applyFill="1" applyBorder="1" applyAlignment="1">
      <alignment horizontal="left" vertical="top" wrapText="1"/>
    </xf>
    <xf numFmtId="0" fontId="208" fillId="0" borderId="0" xfId="0" applyFont="1" applyAlignment="1">
      <alignment wrapText="1"/>
    </xf>
    <xf numFmtId="0" fontId="209" fillId="0" borderId="4" xfId="0" applyFont="1" applyBorder="1" applyAlignment="1">
      <alignment horizontal="center" vertical="top" wrapText="1"/>
    </xf>
    <xf numFmtId="2" fontId="121" fillId="0" borderId="4" xfId="0" applyNumberFormat="1" applyFont="1" applyBorder="1" applyAlignment="1">
      <alignment horizontal="center" vertical="top" wrapText="1"/>
    </xf>
    <xf numFmtId="2" fontId="10" fillId="9" borderId="1" xfId="0" applyNumberFormat="1" applyFont="1" applyFill="1" applyBorder="1" applyAlignment="1">
      <alignment horizontal="center" vertical="center" wrapText="1"/>
    </xf>
    <xf numFmtId="15" fontId="4" fillId="0" borderId="1" xfId="0" applyNumberFormat="1" applyFont="1" applyBorder="1" applyAlignment="1">
      <alignment horizontal="left" vertical="top" wrapText="1"/>
    </xf>
    <xf numFmtId="15" fontId="1" fillId="0" borderId="1" xfId="0" applyNumberFormat="1" applyFont="1" applyBorder="1" applyAlignment="1">
      <alignment horizontal="left" vertical="top" wrapText="1"/>
    </xf>
    <xf numFmtId="0" fontId="210" fillId="0" borderId="0" xfId="0" applyFont="1" applyAlignment="1">
      <alignment horizontal="left"/>
    </xf>
    <xf numFmtId="0" fontId="4" fillId="0" borderId="5" xfId="0" applyFont="1" applyBorder="1" applyAlignment="1">
      <alignment horizontal="left" vertical="top"/>
    </xf>
    <xf numFmtId="0" fontId="4" fillId="0" borderId="0" xfId="0" applyFont="1" applyAlignment="1">
      <alignment horizontal="left" vertical="center"/>
    </xf>
    <xf numFmtId="1" fontId="3" fillId="6" borderId="1" xfId="0" applyNumberFormat="1" applyFont="1" applyFill="1" applyBorder="1" applyAlignment="1">
      <alignment horizontal="left" vertical="top"/>
    </xf>
    <xf numFmtId="2" fontId="3" fillId="6" borderId="13" xfId="0" applyNumberFormat="1" applyFont="1" applyFill="1" applyBorder="1" applyAlignment="1">
      <alignment horizontal="left" vertical="top"/>
    </xf>
    <xf numFmtId="0" fontId="1" fillId="0" borderId="1" xfId="0" applyFont="1" applyBorder="1" applyAlignment="1">
      <alignment vertical="top"/>
    </xf>
    <xf numFmtId="0" fontId="211" fillId="6" borderId="1" xfId="0" applyFont="1" applyFill="1" applyBorder="1" applyAlignment="1">
      <alignment horizontal="left" vertical="top"/>
    </xf>
    <xf numFmtId="2" fontId="10" fillId="0" borderId="5" xfId="0" applyNumberFormat="1" applyFont="1" applyBorder="1" applyAlignment="1">
      <alignment horizontal="left" vertical="top"/>
    </xf>
    <xf numFmtId="0" fontId="1" fillId="0" borderId="4" xfId="0" applyFont="1" applyBorder="1" applyAlignment="1">
      <alignment horizontal="left" vertical="top" wrapText="1"/>
    </xf>
    <xf numFmtId="22" fontId="2" fillId="0" borderId="0" xfId="0" applyNumberFormat="1" applyFont="1" applyAlignment="1">
      <alignment horizontal="left" vertical="top"/>
    </xf>
    <xf numFmtId="22" fontId="4" fillId="0" borderId="5" xfId="0" applyNumberFormat="1" applyFont="1" applyBorder="1" applyAlignment="1">
      <alignment horizontal="left" vertical="top" wrapText="1"/>
    </xf>
    <xf numFmtId="2" fontId="1" fillId="0" borderId="5" xfId="0" applyNumberFormat="1" applyFont="1" applyBorder="1" applyAlignment="1">
      <alignment horizontal="center" vertical="top" wrapText="1"/>
    </xf>
    <xf numFmtId="14" fontId="4" fillId="0" borderId="1" xfId="0" applyNumberFormat="1" applyFont="1" applyBorder="1" applyAlignment="1">
      <alignment horizontal="left" vertical="top" wrapText="1"/>
    </xf>
    <xf numFmtId="17" fontId="4" fillId="0" borderId="1" xfId="0" applyNumberFormat="1" applyFont="1" applyBorder="1" applyAlignment="1">
      <alignment horizontal="center" vertical="top" wrapText="1"/>
    </xf>
    <xf numFmtId="14" fontId="4" fillId="6" borderId="1" xfId="0" applyNumberFormat="1" applyFont="1" applyFill="1" applyBorder="1" applyAlignment="1">
      <alignment horizontal="center" vertical="top" wrapText="1"/>
    </xf>
    <xf numFmtId="2" fontId="2" fillId="0" borderId="1" xfId="0" applyNumberFormat="1" applyFont="1" applyBorder="1" applyAlignment="1">
      <alignment horizontal="center" vertical="top"/>
    </xf>
    <xf numFmtId="14" fontId="4" fillId="6" borderId="1" xfId="0" applyNumberFormat="1" applyFont="1" applyFill="1" applyBorder="1" applyAlignment="1">
      <alignment horizontal="left" vertical="top" wrapText="1"/>
    </xf>
    <xf numFmtId="1" fontId="3" fillId="6" borderId="1" xfId="0" applyNumberFormat="1" applyFont="1" applyFill="1" applyBorder="1" applyAlignment="1">
      <alignment horizontal="left" vertical="top" wrapText="1"/>
    </xf>
    <xf numFmtId="0" fontId="212" fillId="0" borderId="1" xfId="0" applyFont="1" applyBorder="1" applyAlignment="1">
      <alignment horizontal="left" vertical="top" wrapText="1"/>
    </xf>
    <xf numFmtId="14" fontId="1" fillId="0" borderId="1" xfId="0" applyNumberFormat="1" applyFont="1" applyBorder="1" applyAlignment="1">
      <alignment horizontal="left" vertical="top" wrapText="1"/>
    </xf>
    <xf numFmtId="1" fontId="10" fillId="0" borderId="1" xfId="0" applyNumberFormat="1" applyFont="1" applyBorder="1" applyAlignment="1">
      <alignment horizontal="left" vertical="top" wrapText="1"/>
    </xf>
    <xf numFmtId="0" fontId="213" fillId="0" borderId="3" xfId="0" applyFont="1" applyBorder="1" applyAlignment="1">
      <alignment horizontal="left" vertical="top" wrapText="1"/>
    </xf>
    <xf numFmtId="14" fontId="1" fillId="0" borderId="3" xfId="0" applyNumberFormat="1" applyFont="1" applyBorder="1" applyAlignment="1">
      <alignment horizontal="left" vertical="top" wrapText="1"/>
    </xf>
    <xf numFmtId="1" fontId="10" fillId="0" borderId="3" xfId="0" applyNumberFormat="1" applyFont="1" applyBorder="1" applyAlignment="1">
      <alignment horizontal="left" wrapText="1"/>
    </xf>
    <xf numFmtId="1" fontId="10" fillId="0" borderId="1" xfId="0" applyNumberFormat="1" applyFont="1" applyBorder="1" applyAlignment="1">
      <alignment horizontal="left" wrapText="1"/>
    </xf>
    <xf numFmtId="0" fontId="214" fillId="6" borderId="8" xfId="0" applyFont="1" applyFill="1" applyBorder="1" applyAlignment="1">
      <alignment horizontal="left" vertical="top" wrapText="1"/>
    </xf>
    <xf numFmtId="14" fontId="4" fillId="6" borderId="8" xfId="0" applyNumberFormat="1" applyFont="1" applyFill="1" applyBorder="1" applyAlignment="1">
      <alignment horizontal="left" vertical="top" wrapText="1"/>
    </xf>
    <xf numFmtId="0" fontId="4" fillId="0" borderId="3" xfId="0" applyFont="1" applyBorder="1" applyAlignment="1">
      <alignment horizontal="center" vertical="center" wrapText="1"/>
    </xf>
    <xf numFmtId="0" fontId="4" fillId="0" borderId="0" xfId="0" applyFont="1" applyAlignment="1">
      <alignment horizontal="center" vertical="center" wrapText="1"/>
    </xf>
    <xf numFmtId="2" fontId="4" fillId="6" borderId="13" xfId="0" applyNumberFormat="1" applyFont="1" applyFill="1" applyBorder="1" applyAlignment="1">
      <alignment horizontal="center" vertical="center" wrapText="1"/>
    </xf>
    <xf numFmtId="0" fontId="215" fillId="0" borderId="15"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216" fillId="0" borderId="41" xfId="0" applyFont="1" applyBorder="1" applyAlignment="1">
      <alignment horizontal="center" vertical="center" wrapText="1"/>
    </xf>
    <xf numFmtId="14" fontId="4" fillId="0" borderId="11" xfId="0" applyNumberFormat="1" applyFont="1" applyBorder="1" applyAlignment="1">
      <alignment horizontal="center" vertical="center" wrapText="1"/>
    </xf>
    <xf numFmtId="2" fontId="3" fillId="0" borderId="23" xfId="0" applyNumberFormat="1" applyFont="1" applyBorder="1" applyAlignment="1">
      <alignment horizontal="center" vertical="center" wrapText="1"/>
    </xf>
    <xf numFmtId="0" fontId="2" fillId="0" borderId="3" xfId="0" applyFont="1" applyBorder="1" applyAlignment="1">
      <alignment horizontal="center" vertical="center"/>
    </xf>
    <xf numFmtId="14" fontId="4" fillId="0" borderId="3"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22" fontId="4" fillId="0" borderId="1" xfId="0" applyNumberFormat="1" applyFont="1" applyBorder="1" applyAlignment="1">
      <alignment horizontal="left" vertical="top" wrapText="1"/>
    </xf>
    <xf numFmtId="0" fontId="4" fillId="0" borderId="1" xfId="0" quotePrefix="1" applyFont="1" applyBorder="1" applyAlignment="1">
      <alignment horizontal="left" vertical="top" wrapText="1"/>
    </xf>
    <xf numFmtId="0" fontId="2" fillId="0" borderId="4" xfId="0" applyFont="1" applyBorder="1" applyAlignment="1">
      <alignment horizontal="center" vertical="center"/>
    </xf>
    <xf numFmtId="14" fontId="92" fillId="0" borderId="1" xfId="0" applyNumberFormat="1" applyFont="1" applyBorder="1" applyAlignment="1">
      <alignment horizontal="center" vertical="center" wrapText="1"/>
    </xf>
    <xf numFmtId="3" fontId="92" fillId="0" borderId="1" xfId="0" applyNumberFormat="1" applyFont="1" applyBorder="1" applyAlignment="1">
      <alignment horizontal="center" vertical="center" wrapText="1"/>
    </xf>
    <xf numFmtId="4" fontId="92" fillId="0" borderId="1" xfId="0" applyNumberFormat="1" applyFont="1" applyBorder="1" applyAlignment="1">
      <alignment horizontal="center" vertical="center" wrapText="1"/>
    </xf>
    <xf numFmtId="0" fontId="78" fillId="0" borderId="1" xfId="0" applyFont="1" applyBorder="1" applyAlignment="1">
      <alignment horizontal="left" vertical="top" wrapText="1"/>
    </xf>
    <xf numFmtId="2" fontId="78" fillId="0" borderId="1" xfId="0" applyNumberFormat="1" applyFont="1" applyBorder="1" applyAlignment="1">
      <alignment horizontal="left" vertical="top" wrapText="1"/>
    </xf>
    <xf numFmtId="0" fontId="217" fillId="6" borderId="1" xfId="0" applyFont="1" applyFill="1" applyBorder="1" applyAlignment="1">
      <alignment horizontal="left" vertical="top" wrapText="1"/>
    </xf>
    <xf numFmtId="0" fontId="78" fillId="0" borderId="5" xfId="0" applyFont="1" applyBorder="1" applyAlignment="1">
      <alignment horizontal="center" vertical="center" wrapText="1"/>
    </xf>
    <xf numFmtId="0" fontId="78" fillId="0" borderId="1" xfId="0" applyFont="1" applyBorder="1" applyAlignment="1">
      <alignment horizontal="center" vertical="center"/>
    </xf>
    <xf numFmtId="0" fontId="78" fillId="0" borderId="3" xfId="0" applyFont="1" applyBorder="1" applyAlignment="1">
      <alignment horizontal="left" vertical="top" wrapText="1"/>
    </xf>
    <xf numFmtId="49" fontId="78" fillId="0" borderId="3" xfId="0" applyNumberFormat="1" applyFont="1" applyBorder="1" applyAlignment="1">
      <alignment horizontal="left" vertical="top" wrapText="1"/>
    </xf>
    <xf numFmtId="0" fontId="218" fillId="0" borderId="3" xfId="0" applyFont="1" applyBorder="1" applyAlignment="1">
      <alignment horizontal="left" vertical="top" wrapText="1"/>
    </xf>
    <xf numFmtId="1" fontId="78" fillId="0" borderId="3" xfId="0" applyNumberFormat="1" applyFont="1" applyBorder="1" applyAlignment="1">
      <alignment horizontal="left" vertical="top" wrapText="1"/>
    </xf>
    <xf numFmtId="2" fontId="78" fillId="6" borderId="30" xfId="0" applyNumberFormat="1" applyFont="1" applyFill="1" applyBorder="1" applyAlignment="1">
      <alignment horizontal="center" vertical="center" wrapText="1"/>
    </xf>
    <xf numFmtId="0" fontId="78" fillId="0" borderId="3" xfId="0" applyFont="1" applyBorder="1" applyAlignment="1">
      <alignment horizontal="center" vertical="center"/>
    </xf>
    <xf numFmtId="0" fontId="219" fillId="0" borderId="1" xfId="0" applyFont="1" applyBorder="1" applyAlignment="1">
      <alignment horizontal="left" vertical="top" wrapText="1"/>
    </xf>
    <xf numFmtId="2" fontId="78" fillId="0" borderId="1" xfId="0" applyNumberFormat="1" applyFont="1" applyBorder="1" applyAlignment="1">
      <alignment horizontal="center" vertical="center" wrapText="1"/>
    </xf>
    <xf numFmtId="0" fontId="25" fillId="0" borderId="1" xfId="0" applyFont="1" applyBorder="1" applyAlignment="1">
      <alignment horizontal="left" vertical="top" wrapText="1"/>
    </xf>
    <xf numFmtId="2" fontId="4" fillId="0" borderId="1" xfId="0" applyNumberFormat="1" applyFont="1" applyBorder="1" applyAlignment="1">
      <alignment horizontal="left" vertical="top" wrapText="1"/>
    </xf>
    <xf numFmtId="0" fontId="25" fillId="0" borderId="1" xfId="0" applyFont="1" applyBorder="1" applyAlignment="1">
      <alignment horizontal="center" vertical="center"/>
    </xf>
    <xf numFmtId="0" fontId="78" fillId="0" borderId="16" xfId="0" applyFont="1" applyBorder="1" applyAlignment="1">
      <alignment horizontal="center" vertical="center"/>
    </xf>
    <xf numFmtId="0" fontId="220" fillId="0" borderId="0" xfId="0" applyFont="1"/>
    <xf numFmtId="0" fontId="221" fillId="0" borderId="0" xfId="0" applyFont="1"/>
    <xf numFmtId="166" fontId="4" fillId="0" borderId="1" xfId="0" applyNumberFormat="1" applyFont="1" applyBorder="1" applyAlignment="1">
      <alignment horizontal="left" vertical="top" wrapText="1"/>
    </xf>
    <xf numFmtId="166" fontId="4" fillId="6" borderId="1" xfId="0" applyNumberFormat="1" applyFont="1" applyFill="1" applyBorder="1" applyAlignment="1">
      <alignment horizontal="left" vertical="top" wrapText="1"/>
    </xf>
    <xf numFmtId="0" fontId="4" fillId="5" borderId="1" xfId="0" applyFont="1" applyFill="1" applyBorder="1" applyAlignment="1">
      <alignment horizontal="left" vertical="top" wrapText="1"/>
    </xf>
    <xf numFmtId="0" fontId="4" fillId="10" borderId="1" xfId="0" applyFont="1" applyFill="1" applyBorder="1" applyAlignment="1">
      <alignment horizontal="left" vertical="top" wrapText="1"/>
    </xf>
    <xf numFmtId="0" fontId="222" fillId="6" borderId="1" xfId="0" applyFont="1" applyFill="1" applyBorder="1" applyAlignment="1">
      <alignment vertical="top" wrapText="1"/>
    </xf>
    <xf numFmtId="0" fontId="223" fillId="0" borderId="3" xfId="0" applyFont="1" applyBorder="1" applyAlignment="1">
      <alignment vertical="top" wrapText="1"/>
    </xf>
    <xf numFmtId="0" fontId="4" fillId="11" borderId="1" xfId="0" applyFont="1" applyFill="1" applyBorder="1" applyAlignment="1">
      <alignment horizontal="left" vertical="center" wrapText="1"/>
    </xf>
    <xf numFmtId="0" fontId="4" fillId="11" borderId="1" xfId="0" applyFont="1" applyFill="1" applyBorder="1" applyAlignment="1">
      <alignment horizontal="center" vertical="center" wrapText="1"/>
    </xf>
    <xf numFmtId="0" fontId="4" fillId="11" borderId="1" xfId="0" applyFont="1" applyFill="1" applyBorder="1" applyAlignment="1">
      <alignment vertical="top" wrapText="1"/>
    </xf>
    <xf numFmtId="0" fontId="224" fillId="11" borderId="1" xfId="0" applyFont="1" applyFill="1" applyBorder="1" applyAlignment="1">
      <alignment vertical="top" wrapText="1"/>
    </xf>
    <xf numFmtId="0" fontId="4" fillId="11" borderId="1" xfId="0" applyFont="1" applyFill="1" applyBorder="1" applyAlignment="1">
      <alignment horizontal="center" vertical="top" wrapText="1"/>
    </xf>
    <xf numFmtId="0" fontId="4" fillId="11" borderId="1" xfId="0" applyFont="1" applyFill="1" applyBorder="1" applyAlignment="1">
      <alignment horizontal="left" vertical="top" wrapText="1"/>
    </xf>
    <xf numFmtId="0" fontId="225" fillId="0" borderId="4" xfId="0" applyFont="1" applyBorder="1" applyAlignment="1">
      <alignment horizontal="left" vertical="top" wrapText="1"/>
    </xf>
    <xf numFmtId="0" fontId="226" fillId="0" borderId="3" xfId="0" applyFont="1" applyBorder="1" applyAlignment="1">
      <alignment horizontal="left" vertical="top" wrapText="1"/>
    </xf>
    <xf numFmtId="0" fontId="2" fillId="0" borderId="5" xfId="0" applyFont="1" applyBorder="1" applyAlignment="1">
      <alignment vertical="top"/>
    </xf>
    <xf numFmtId="0" fontId="227" fillId="0" borderId="0" xfId="0" applyFont="1" applyAlignment="1">
      <alignment vertical="top"/>
    </xf>
    <xf numFmtId="0" fontId="2" fillId="0" borderId="1" xfId="0" quotePrefix="1" applyFont="1" applyBorder="1" applyAlignment="1">
      <alignment horizontal="center" vertical="top"/>
    </xf>
    <xf numFmtId="0" fontId="125" fillId="0" borderId="5" xfId="0" applyFont="1" applyBorder="1" applyAlignment="1">
      <alignment horizontal="left" vertical="top" wrapText="1"/>
    </xf>
    <xf numFmtId="0" fontId="228" fillId="0" borderId="4" xfId="0" applyFont="1" applyBorder="1" applyAlignment="1">
      <alignment horizontal="center" vertical="top" wrapText="1"/>
    </xf>
    <xf numFmtId="14" fontId="4" fillId="0" borderId="4" xfId="0" applyNumberFormat="1" applyFont="1" applyBorder="1" applyAlignment="1">
      <alignment horizontal="center" vertical="top" wrapText="1"/>
    </xf>
    <xf numFmtId="2" fontId="3" fillId="0" borderId="1" xfId="0" applyNumberFormat="1" applyFont="1" applyBorder="1" applyAlignment="1">
      <alignment horizontal="center" vertical="top"/>
    </xf>
    <xf numFmtId="0" fontId="4" fillId="0" borderId="6" xfId="0" applyFont="1" applyBorder="1" applyAlignment="1">
      <alignment horizontal="center" vertical="top" wrapText="1"/>
    </xf>
    <xf numFmtId="0" fontId="2" fillId="0" borderId="1" xfId="0" applyFont="1" applyBorder="1" applyAlignment="1">
      <alignment horizontal="right" vertical="top"/>
    </xf>
    <xf numFmtId="1" fontId="3" fillId="0" borderId="1" xfId="0" applyNumberFormat="1" applyFont="1" applyBorder="1" applyAlignment="1">
      <alignment horizontal="right" vertical="top" wrapText="1"/>
    </xf>
    <xf numFmtId="1" fontId="1" fillId="0" borderId="1" xfId="0" applyNumberFormat="1" applyFont="1" applyBorder="1" applyAlignment="1">
      <alignment horizontal="center" vertical="top" wrapText="1"/>
    </xf>
    <xf numFmtId="2" fontId="1" fillId="0" borderId="5" xfId="0" applyNumberFormat="1" applyFont="1" applyBorder="1" applyAlignment="1">
      <alignment horizontal="right" vertical="top" wrapText="1"/>
    </xf>
    <xf numFmtId="0" fontId="229" fillId="8" borderId="17" xfId="0" applyFont="1" applyFill="1" applyBorder="1" applyAlignment="1">
      <alignment horizontal="center" vertical="top" wrapText="1"/>
    </xf>
    <xf numFmtId="14" fontId="4" fillId="8" borderId="17" xfId="0" applyNumberFormat="1" applyFont="1" applyFill="1" applyBorder="1" applyAlignment="1">
      <alignment horizontal="center" vertical="top" wrapText="1"/>
    </xf>
    <xf numFmtId="0" fontId="4" fillId="8" borderId="39" xfId="0" applyFont="1" applyFill="1" applyBorder="1" applyAlignment="1">
      <alignment horizontal="center" vertical="top" wrapText="1"/>
    </xf>
    <xf numFmtId="0" fontId="4" fillId="8" borderId="17" xfId="0" applyFont="1" applyFill="1" applyBorder="1" applyAlignment="1">
      <alignment horizontal="center" vertical="top"/>
    </xf>
    <xf numFmtId="14" fontId="4" fillId="8" borderId="1" xfId="0" applyNumberFormat="1" applyFont="1" applyFill="1" applyBorder="1" applyAlignment="1">
      <alignment horizontal="center" vertical="top" wrapText="1"/>
    </xf>
    <xf numFmtId="0" fontId="230" fillId="0" borderId="3" xfId="0" applyFont="1" applyBorder="1" applyAlignment="1">
      <alignment horizontal="center" vertical="center" wrapText="1"/>
    </xf>
    <xf numFmtId="0" fontId="4" fillId="0" borderId="23" xfId="0" applyFont="1" applyBorder="1" applyAlignment="1">
      <alignment horizontal="center" vertical="center" wrapText="1"/>
    </xf>
    <xf numFmtId="0" fontId="2" fillId="0" borderId="23" xfId="0" applyFont="1" applyBorder="1" applyAlignment="1">
      <alignment horizontal="center" vertical="center" wrapText="1"/>
    </xf>
    <xf numFmtId="0" fontId="231" fillId="6" borderId="1" xfId="0" applyFont="1" applyFill="1" applyBorder="1" applyAlignment="1">
      <alignment horizontal="center" vertical="center" wrapText="1"/>
    </xf>
    <xf numFmtId="2" fontId="3" fillId="6" borderId="1" xfId="0" applyNumberFormat="1" applyFont="1" applyFill="1" applyBorder="1" applyAlignment="1">
      <alignment horizontal="center" vertical="center" wrapText="1"/>
    </xf>
    <xf numFmtId="17" fontId="4" fillId="0" borderId="1" xfId="0" applyNumberFormat="1" applyFont="1" applyBorder="1" applyAlignment="1">
      <alignment horizontal="center" vertical="center" wrapText="1"/>
    </xf>
    <xf numFmtId="17" fontId="2" fillId="0" borderId="1" xfId="0" applyNumberFormat="1" applyFont="1" applyBorder="1" applyAlignment="1">
      <alignment horizontal="center" vertical="center" wrapText="1"/>
    </xf>
    <xf numFmtId="14" fontId="2" fillId="0" borderId="1" xfId="0" applyNumberFormat="1" applyFont="1" applyBorder="1" applyAlignment="1">
      <alignment horizontal="center" vertical="center" wrapText="1"/>
    </xf>
    <xf numFmtId="0" fontId="4" fillId="0" borderId="5" xfId="0" applyFont="1" applyBorder="1" applyAlignment="1">
      <alignment vertical="top" wrapText="1"/>
    </xf>
    <xf numFmtId="16" fontId="4" fillId="0" borderId="5" xfId="0" applyNumberFormat="1" applyFont="1" applyBorder="1" applyAlignment="1">
      <alignment horizontal="center" vertical="top" wrapText="1"/>
    </xf>
    <xf numFmtId="2" fontId="232" fillId="0" borderId="5" xfId="0" applyNumberFormat="1" applyFont="1" applyBorder="1" applyAlignment="1">
      <alignment horizontal="center" vertical="top" wrapText="1"/>
    </xf>
    <xf numFmtId="14" fontId="4" fillId="0" borderId="5" xfId="0" applyNumberFormat="1" applyFont="1" applyBorder="1" applyAlignment="1">
      <alignment vertical="top" wrapText="1"/>
    </xf>
    <xf numFmtId="2" fontId="2" fillId="0" borderId="1" xfId="0" applyNumberFormat="1" applyFont="1" applyBorder="1" applyAlignment="1">
      <alignment wrapText="1"/>
    </xf>
    <xf numFmtId="2" fontId="227" fillId="0" borderId="1" xfId="0" applyNumberFormat="1" applyFont="1" applyBorder="1" applyAlignment="1">
      <alignment wrapText="1"/>
    </xf>
    <xf numFmtId="0" fontId="38" fillId="0" borderId="1" xfId="0" applyFont="1" applyBorder="1" applyAlignment="1">
      <alignment horizontal="center" vertical="center" wrapText="1"/>
    </xf>
    <xf numFmtId="2" fontId="4" fillId="0" borderId="7" xfId="0" applyNumberFormat="1" applyFont="1" applyBorder="1" applyAlignment="1">
      <alignment horizontal="center" vertical="center" wrapText="1"/>
    </xf>
    <xf numFmtId="0" fontId="3" fillId="0" borderId="5" xfId="0" applyFont="1" applyBorder="1" applyAlignment="1">
      <alignment horizontal="center" vertical="center" wrapText="1"/>
    </xf>
    <xf numFmtId="2" fontId="4" fillId="0" borderId="1" xfId="0" applyNumberFormat="1" applyFont="1" applyBorder="1" applyAlignment="1">
      <alignment vertical="center" wrapText="1"/>
    </xf>
    <xf numFmtId="0" fontId="4" fillId="6" borderId="1" xfId="0" applyFont="1" applyFill="1" applyBorder="1" applyAlignment="1">
      <alignment vertical="center" wrapText="1"/>
    </xf>
    <xf numFmtId="0" fontId="4" fillId="0" borderId="5" xfId="0" applyFont="1" applyBorder="1" applyAlignment="1">
      <alignment vertical="center" wrapText="1"/>
    </xf>
    <xf numFmtId="2" fontId="4" fillId="0" borderId="5" xfId="0" applyNumberFormat="1" applyFont="1" applyBorder="1" applyAlignment="1">
      <alignment horizontal="center" vertical="center" wrapText="1"/>
    </xf>
    <xf numFmtId="17" fontId="4" fillId="0" borderId="5" xfId="0" applyNumberFormat="1" applyFont="1" applyBorder="1" applyAlignment="1">
      <alignment vertical="top" wrapText="1"/>
    </xf>
    <xf numFmtId="0" fontId="233" fillId="6" borderId="1" xfId="0" applyFont="1" applyFill="1" applyBorder="1" applyAlignment="1">
      <alignment vertical="top" wrapText="1"/>
    </xf>
    <xf numFmtId="2" fontId="1" fillId="0" borderId="1" xfId="0" applyNumberFormat="1" applyFont="1" applyBorder="1" applyAlignment="1">
      <alignment vertical="top" wrapText="1"/>
    </xf>
    <xf numFmtId="167" fontId="1" fillId="0" borderId="5" xfId="0" applyNumberFormat="1" applyFont="1" applyBorder="1" applyAlignment="1">
      <alignment vertical="top" wrapText="1"/>
    </xf>
    <xf numFmtId="0" fontId="1" fillId="8"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2" fontId="4" fillId="11" borderId="1" xfId="0" applyNumberFormat="1" applyFont="1" applyFill="1" applyBorder="1" applyAlignment="1">
      <alignment vertical="top" wrapText="1"/>
    </xf>
    <xf numFmtId="0" fontId="234" fillId="11" borderId="1" xfId="0" applyFont="1" applyFill="1" applyBorder="1" applyAlignment="1">
      <alignment horizontal="center" vertical="top" wrapText="1"/>
    </xf>
    <xf numFmtId="0" fontId="4" fillId="11" borderId="13" xfId="0" applyFont="1" applyFill="1" applyBorder="1" applyAlignment="1">
      <alignment vertical="top" wrapText="1"/>
    </xf>
    <xf numFmtId="0" fontId="235" fillId="0" borderId="0" xfId="0" applyFont="1" applyAlignment="1">
      <alignment wrapText="1"/>
    </xf>
    <xf numFmtId="49" fontId="4" fillId="0" borderId="5" xfId="0" applyNumberFormat="1" applyFont="1" applyBorder="1" applyAlignment="1">
      <alignment horizontal="center" vertical="top" wrapText="1"/>
    </xf>
    <xf numFmtId="1" fontId="4" fillId="0" borderId="1" xfId="0" applyNumberFormat="1" applyFont="1" applyBorder="1" applyAlignment="1">
      <alignment vertical="top" wrapText="1"/>
    </xf>
    <xf numFmtId="0" fontId="38" fillId="0" borderId="1" xfId="0" applyFont="1" applyBorder="1" applyAlignment="1">
      <alignment vertical="top"/>
    </xf>
    <xf numFmtId="15" fontId="4" fillId="0" borderId="5" xfId="0" applyNumberFormat="1" applyFont="1" applyBorder="1" applyAlignment="1">
      <alignment vertical="top" wrapText="1"/>
    </xf>
    <xf numFmtId="0" fontId="3" fillId="0" borderId="1" xfId="0" applyFont="1" applyBorder="1" applyAlignment="1">
      <alignment vertical="top"/>
    </xf>
    <xf numFmtId="0" fontId="3" fillId="8" borderId="1" xfId="0" applyFont="1" applyFill="1" applyBorder="1" applyAlignment="1">
      <alignment horizontal="center" vertical="top" wrapText="1"/>
    </xf>
    <xf numFmtId="0" fontId="4" fillId="8" borderId="13" xfId="0" applyFont="1" applyFill="1" applyBorder="1" applyAlignment="1">
      <alignment horizontal="center" vertical="top" wrapText="1"/>
    </xf>
    <xf numFmtId="0" fontId="49" fillId="8" borderId="1" xfId="0" applyFont="1" applyFill="1" applyBorder="1" applyAlignment="1">
      <alignment vertical="top"/>
    </xf>
    <xf numFmtId="0" fontId="2" fillId="8" borderId="8" xfId="0" applyFont="1" applyFill="1" applyBorder="1"/>
    <xf numFmtId="0" fontId="236" fillId="6" borderId="1" xfId="0" applyFont="1" applyFill="1" applyBorder="1" applyAlignment="1">
      <alignment vertical="top" wrapText="1"/>
    </xf>
    <xf numFmtId="0" fontId="49" fillId="0" borderId="1" xfId="0" applyFont="1" applyBorder="1" applyAlignment="1">
      <alignment horizontal="center" vertical="center"/>
    </xf>
    <xf numFmtId="0" fontId="10" fillId="0" borderId="1" xfId="0" applyFont="1" applyBorder="1" applyAlignment="1">
      <alignment horizontal="center" wrapText="1"/>
    </xf>
    <xf numFmtId="0" fontId="10" fillId="0" borderId="1" xfId="0" applyFont="1" applyBorder="1"/>
    <xf numFmtId="3" fontId="3"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2" fontId="3" fillId="0" borderId="23" xfId="0" applyNumberFormat="1" applyFont="1" applyBorder="1" applyAlignment="1">
      <alignment horizontal="center" vertical="top" wrapText="1"/>
    </xf>
    <xf numFmtId="0" fontId="2" fillId="0" borderId="3" xfId="0" applyFont="1" applyBorder="1" applyAlignment="1">
      <alignment wrapText="1"/>
    </xf>
    <xf numFmtId="0" fontId="10" fillId="0" borderId="41" xfId="0" applyFont="1" applyBorder="1" applyAlignment="1">
      <alignment horizontal="center" wrapText="1"/>
    </xf>
    <xf numFmtId="2" fontId="237" fillId="0" borderId="1" xfId="0" applyNumberFormat="1" applyFont="1" applyBorder="1" applyAlignment="1">
      <alignment vertical="top" wrapText="1"/>
    </xf>
    <xf numFmtId="0" fontId="1" fillId="0" borderId="0" xfId="0" applyFont="1" applyAlignment="1">
      <alignment vertical="top"/>
    </xf>
    <xf numFmtId="0" fontId="158" fillId="0" borderId="0" xfId="0" applyFont="1" applyAlignment="1">
      <alignment horizontal="center" wrapText="1"/>
    </xf>
    <xf numFmtId="0" fontId="8" fillId="0" borderId="41" xfId="0" applyFont="1" applyBorder="1" applyAlignment="1">
      <alignment horizontal="center" wrapText="1"/>
    </xf>
    <xf numFmtId="2" fontId="49" fillId="0" borderId="0" xfId="0" applyNumberFormat="1" applyFont="1"/>
    <xf numFmtId="2" fontId="1" fillId="0" borderId="1" xfId="0" applyNumberFormat="1" applyFont="1" applyBorder="1" applyAlignment="1">
      <alignment horizontal="center" vertical="top" wrapText="1"/>
    </xf>
    <xf numFmtId="0" fontId="106" fillId="0" borderId="1" xfId="0" applyFont="1" applyBorder="1" applyAlignment="1">
      <alignment horizontal="left" vertical="top" wrapText="1"/>
    </xf>
    <xf numFmtId="2" fontId="10" fillId="0" borderId="0" xfId="0" applyNumberFormat="1" applyFont="1" applyAlignment="1">
      <alignment horizontal="center" vertical="top" wrapText="1"/>
    </xf>
    <xf numFmtId="2" fontId="4" fillId="0" borderId="3" xfId="0" applyNumberFormat="1" applyFont="1" applyBorder="1" applyAlignment="1">
      <alignment horizontal="center" vertical="top" wrapText="1"/>
    </xf>
    <xf numFmtId="1" fontId="3" fillId="0" borderId="23" xfId="0" applyNumberFormat="1" applyFont="1" applyBorder="1" applyAlignment="1">
      <alignment horizontal="center" vertical="top" wrapText="1"/>
    </xf>
    <xf numFmtId="1" fontId="4" fillId="0" borderId="1" xfId="0" applyNumberFormat="1" applyFont="1" applyBorder="1" applyAlignment="1">
      <alignment wrapText="1"/>
    </xf>
    <xf numFmtId="2" fontId="2" fillId="0" borderId="1" xfId="0" applyNumberFormat="1" applyFont="1" applyBorder="1"/>
    <xf numFmtId="2" fontId="2" fillId="0" borderId="1" xfId="0" applyNumberFormat="1" applyFont="1" applyBorder="1" applyAlignment="1">
      <alignment horizontal="center"/>
    </xf>
    <xf numFmtId="1" fontId="4" fillId="5" borderId="2" xfId="0" applyNumberFormat="1" applyFont="1" applyFill="1" applyBorder="1" applyAlignment="1">
      <alignment horizontal="center" vertical="top" wrapText="1"/>
    </xf>
    <xf numFmtId="1" fontId="4" fillId="5" borderId="17" xfId="0" applyNumberFormat="1" applyFont="1" applyFill="1" applyBorder="1" applyAlignment="1">
      <alignment horizontal="center" vertical="top" wrapText="1"/>
    </xf>
    <xf numFmtId="1" fontId="4" fillId="5" borderId="1" xfId="0" applyNumberFormat="1" applyFont="1" applyFill="1" applyBorder="1" applyAlignment="1">
      <alignment horizontal="center" vertical="top" wrapText="1"/>
    </xf>
    <xf numFmtId="1" fontId="4" fillId="0" borderId="1" xfId="0" applyNumberFormat="1" applyFont="1" applyBorder="1" applyAlignment="1">
      <alignment horizontal="left" vertical="center" wrapText="1"/>
    </xf>
    <xf numFmtId="1" fontId="1" fillId="0" borderId="7" xfId="0" applyNumberFormat="1" applyFont="1" applyBorder="1" applyAlignment="1">
      <alignment horizontal="center" vertical="top" wrapText="1"/>
    </xf>
    <xf numFmtId="2" fontId="1" fillId="0" borderId="7" xfId="0" applyNumberFormat="1" applyFont="1" applyBorder="1" applyAlignment="1">
      <alignment horizontal="center" vertical="top" wrapText="1"/>
    </xf>
    <xf numFmtId="1" fontId="1" fillId="0" borderId="15" xfId="0" applyNumberFormat="1" applyFont="1" applyBorder="1" applyAlignment="1">
      <alignment horizontal="center" vertical="top" wrapText="1"/>
    </xf>
    <xf numFmtId="2" fontId="1" fillId="0" borderId="15" xfId="0" applyNumberFormat="1" applyFont="1" applyBorder="1" applyAlignment="1">
      <alignment horizontal="center" vertical="top" wrapText="1"/>
    </xf>
    <xf numFmtId="1" fontId="4" fillId="0" borderId="0" xfId="0" applyNumberFormat="1" applyFont="1" applyAlignment="1">
      <alignment horizontal="center" vertical="top" wrapText="1"/>
    </xf>
    <xf numFmtId="2" fontId="4" fillId="0" borderId="0" xfId="0" applyNumberFormat="1" applyFont="1" applyAlignment="1">
      <alignment horizontal="center" vertical="top" wrapText="1"/>
    </xf>
    <xf numFmtId="0" fontId="238" fillId="0" borderId="1" xfId="0" applyFont="1" applyBorder="1" applyAlignment="1">
      <alignment horizontal="left" vertical="top" wrapText="1"/>
    </xf>
    <xf numFmtId="1" fontId="239" fillId="0" borderId="1" xfId="0" applyNumberFormat="1" applyFont="1" applyBorder="1" applyAlignment="1">
      <alignment horizontal="center" vertical="top" wrapText="1"/>
    </xf>
    <xf numFmtId="2" fontId="239" fillId="0" borderId="1" xfId="0" applyNumberFormat="1" applyFont="1" applyBorder="1" applyAlignment="1">
      <alignment horizontal="center" vertical="top" wrapText="1"/>
    </xf>
    <xf numFmtId="2" fontId="238" fillId="0" borderId="1" xfId="0" applyNumberFormat="1" applyFont="1" applyBorder="1" applyAlignment="1">
      <alignment horizontal="center" vertical="top" wrapText="1"/>
    </xf>
    <xf numFmtId="0" fontId="4" fillId="0" borderId="43" xfId="0" applyFont="1" applyBorder="1" applyAlignment="1">
      <alignment horizontal="center" vertical="center" wrapText="1"/>
    </xf>
    <xf numFmtId="1" fontId="3" fillId="0" borderId="43" xfId="0" applyNumberFormat="1" applyFont="1" applyBorder="1" applyAlignment="1">
      <alignment horizontal="center" vertical="center" wrapText="1"/>
    </xf>
    <xf numFmtId="2" fontId="4" fillId="0" borderId="43" xfId="0" applyNumberFormat="1" applyFont="1" applyBorder="1" applyAlignment="1">
      <alignment horizontal="center" vertical="center" wrapText="1"/>
    </xf>
    <xf numFmtId="2" fontId="4" fillId="0" borderId="4" xfId="0" applyNumberFormat="1" applyFont="1" applyBorder="1" applyAlignment="1">
      <alignment horizontal="center" vertical="center" wrapText="1"/>
    </xf>
    <xf numFmtId="0" fontId="57" fillId="0" borderId="1" xfId="0" applyFont="1" applyBorder="1" applyAlignment="1">
      <alignment horizontal="left" vertical="center" wrapText="1"/>
    </xf>
    <xf numFmtId="1" fontId="57" fillId="0" borderId="1" xfId="0" applyNumberFormat="1" applyFont="1" applyBorder="1" applyAlignment="1">
      <alignment horizontal="left" vertical="top" wrapText="1"/>
    </xf>
    <xf numFmtId="1" fontId="57" fillId="0" borderId="1" xfId="0" applyNumberFormat="1" applyFont="1" applyBorder="1" applyAlignment="1">
      <alignment horizontal="center" vertical="center" wrapText="1"/>
    </xf>
    <xf numFmtId="2" fontId="57" fillId="0" borderId="1" xfId="0" applyNumberFormat="1" applyFont="1" applyBorder="1" applyAlignment="1">
      <alignment horizontal="center" vertical="top" wrapText="1"/>
    </xf>
    <xf numFmtId="0" fontId="4" fillId="0" borderId="23" xfId="0" applyFont="1" applyBorder="1" applyAlignment="1">
      <alignment horizontal="left" wrapText="1"/>
    </xf>
    <xf numFmtId="0" fontId="6" fillId="0" borderId="0" xfId="0" applyFont="1" applyAlignment="1">
      <alignment horizontal="center"/>
    </xf>
    <xf numFmtId="2" fontId="4" fillId="0" borderId="16" xfId="0" applyNumberFormat="1" applyFont="1" applyBorder="1" applyAlignment="1">
      <alignment horizontal="center" vertical="top" wrapText="1"/>
    </xf>
    <xf numFmtId="1" fontId="240" fillId="6" borderId="8" xfId="0" applyNumberFormat="1" applyFont="1" applyFill="1" applyBorder="1" applyAlignment="1">
      <alignment horizontal="center" vertical="top"/>
    </xf>
    <xf numFmtId="0" fontId="4" fillId="0" borderId="4" xfId="0" applyFont="1" applyBorder="1" applyAlignment="1">
      <alignment horizontal="left" vertical="top" wrapText="1"/>
    </xf>
    <xf numFmtId="1" fontId="3" fillId="0" borderId="16" xfId="0" applyNumberFormat="1" applyFont="1" applyBorder="1" applyAlignment="1">
      <alignment horizontal="center" vertical="top" wrapText="1"/>
    </xf>
    <xf numFmtId="0" fontId="4" fillId="0" borderId="23" xfId="0" applyFont="1" applyBorder="1" applyAlignment="1">
      <alignment horizontal="left"/>
    </xf>
    <xf numFmtId="2" fontId="1" fillId="0" borderId="1" xfId="0" applyNumberFormat="1" applyFont="1" applyBorder="1" applyAlignment="1">
      <alignment horizontal="center" vertical="center"/>
    </xf>
    <xf numFmtId="0" fontId="4" fillId="0" borderId="0" xfId="0" applyFont="1" applyAlignment="1">
      <alignment horizontal="left"/>
    </xf>
    <xf numFmtId="2" fontId="4" fillId="0" borderId="23" xfId="0" applyNumberFormat="1" applyFont="1" applyBorder="1" applyAlignment="1">
      <alignment horizontal="center" vertical="center" wrapText="1"/>
    </xf>
    <xf numFmtId="2" fontId="1" fillId="0" borderId="3" xfId="0" applyNumberFormat="1" applyFont="1" applyBorder="1" applyAlignment="1">
      <alignment horizontal="center" vertical="center"/>
    </xf>
    <xf numFmtId="1" fontId="4" fillId="0" borderId="7" xfId="0" applyNumberFormat="1" applyFont="1" applyBorder="1" applyAlignment="1">
      <alignment horizontal="center" vertical="top" wrapText="1"/>
    </xf>
    <xf numFmtId="0" fontId="4" fillId="0" borderId="12" xfId="0" applyFont="1" applyBorder="1" applyAlignment="1">
      <alignment horizontal="left" vertical="top" wrapText="1"/>
    </xf>
    <xf numFmtId="1" fontId="4" fillId="0" borderId="15" xfId="0" applyNumberFormat="1" applyFont="1" applyBorder="1" applyAlignment="1">
      <alignment horizontal="center" vertical="top" wrapText="1"/>
    </xf>
    <xf numFmtId="168" fontId="4" fillId="0" borderId="1" xfId="0" applyNumberFormat="1" applyFont="1" applyBorder="1" applyAlignment="1">
      <alignment horizontal="center" vertical="top" wrapText="1"/>
    </xf>
    <xf numFmtId="169" fontId="4" fillId="0" borderId="1" xfId="0" applyNumberFormat="1" applyFont="1" applyBorder="1" applyAlignment="1">
      <alignment horizontal="center" vertical="top" wrapText="1"/>
    </xf>
    <xf numFmtId="1" fontId="4" fillId="0" borderId="16" xfId="0" applyNumberFormat="1" applyFont="1" applyBorder="1" applyAlignment="1">
      <alignment horizontal="center" vertical="top" wrapText="1"/>
    </xf>
    <xf numFmtId="2" fontId="4" fillId="0" borderId="1" xfId="0" applyNumberFormat="1" applyFont="1" applyBorder="1" applyAlignment="1">
      <alignment horizontal="right" vertical="center" wrapText="1"/>
    </xf>
    <xf numFmtId="165" fontId="4" fillId="0" borderId="1" xfId="0" applyNumberFormat="1" applyFont="1" applyBorder="1" applyAlignment="1">
      <alignment horizontal="center" vertical="top" wrapText="1"/>
    </xf>
    <xf numFmtId="165" fontId="3" fillId="0" borderId="1" xfId="0" applyNumberFormat="1" applyFont="1" applyBorder="1" applyAlignment="1">
      <alignment horizontal="center" vertical="top" wrapText="1"/>
    </xf>
    <xf numFmtId="0" fontId="241" fillId="0" borderId="1" xfId="0" applyFont="1" applyBorder="1" applyAlignment="1">
      <alignment wrapText="1"/>
    </xf>
    <xf numFmtId="0" fontId="241" fillId="0" borderId="3" xfId="0" applyFont="1" applyBorder="1" applyAlignment="1">
      <alignment wrapText="1"/>
    </xf>
    <xf numFmtId="0" fontId="241" fillId="0" borderId="1" xfId="0" applyFont="1" applyBorder="1" applyAlignment="1">
      <alignment vertical="top" wrapText="1"/>
    </xf>
    <xf numFmtId="0" fontId="4" fillId="0" borderId="1" xfId="0" applyFont="1" applyBorder="1" applyAlignment="1">
      <alignment horizontal="left" vertical="center"/>
    </xf>
    <xf numFmtId="1" fontId="4" fillId="0" borderId="1" xfId="0" applyNumberFormat="1" applyFont="1" applyBorder="1" applyAlignment="1">
      <alignment horizontal="left" vertical="center"/>
    </xf>
    <xf numFmtId="2" fontId="4" fillId="0" borderId="1" xfId="0" applyNumberFormat="1" applyFont="1" applyBorder="1" applyAlignment="1">
      <alignment horizontal="left" vertical="center"/>
    </xf>
    <xf numFmtId="0" fontId="1" fillId="0" borderId="1" xfId="0" applyFont="1" applyBorder="1" applyAlignment="1">
      <alignment horizontal="left" vertical="center"/>
    </xf>
    <xf numFmtId="0" fontId="164" fillId="0" borderId="1" xfId="0" applyFont="1" applyBorder="1" applyAlignment="1">
      <alignment wrapText="1"/>
    </xf>
    <xf numFmtId="1" fontId="3" fillId="0" borderId="7" xfId="0" applyNumberFormat="1" applyFont="1" applyBorder="1" applyAlignment="1">
      <alignment horizontal="center" vertical="top" wrapText="1"/>
    </xf>
    <xf numFmtId="0" fontId="242" fillId="0" borderId="44" xfId="0" applyFont="1" applyBorder="1" applyAlignment="1">
      <alignment vertical="center" wrapText="1"/>
    </xf>
    <xf numFmtId="0" fontId="242" fillId="6" borderId="44" xfId="0" applyFont="1" applyFill="1" applyBorder="1" applyAlignment="1">
      <alignment vertical="center" wrapText="1"/>
    </xf>
    <xf numFmtId="0" fontId="242" fillId="0" borderId="44" xfId="0" applyFont="1" applyBorder="1" applyAlignment="1">
      <alignment wrapText="1"/>
    </xf>
    <xf numFmtId="0" fontId="4" fillId="0" borderId="0" xfId="0" applyFont="1" applyAlignment="1">
      <alignment wrapText="1"/>
    </xf>
    <xf numFmtId="0" fontId="4" fillId="0" borderId="44" xfId="0" applyFont="1" applyBorder="1" applyAlignment="1">
      <alignment wrapText="1"/>
    </xf>
    <xf numFmtId="0" fontId="4" fillId="0" borderId="44" xfId="0" applyFont="1" applyBorder="1" applyAlignment="1">
      <alignment horizontal="center" vertical="center" wrapText="1"/>
    </xf>
    <xf numFmtId="0" fontId="243" fillId="0" borderId="44" xfId="0" applyFont="1" applyBorder="1" applyAlignment="1">
      <alignment vertical="center" wrapText="1"/>
    </xf>
    <xf numFmtId="0" fontId="4" fillId="0" borderId="44" xfId="0" applyFont="1" applyBorder="1" applyAlignment="1">
      <alignment vertical="center" wrapText="1"/>
    </xf>
    <xf numFmtId="0" fontId="4" fillId="8" borderId="1" xfId="0" applyFont="1" applyFill="1" applyBorder="1" applyAlignment="1">
      <alignment horizontal="left" vertical="center" wrapText="1"/>
    </xf>
    <xf numFmtId="0" fontId="78" fillId="0" borderId="0" xfId="0" applyFont="1" applyAlignment="1">
      <alignment wrapText="1"/>
    </xf>
    <xf numFmtId="0" fontId="78" fillId="0" borderId="0" xfId="0" applyFont="1" applyAlignment="1">
      <alignment vertical="center" wrapText="1"/>
    </xf>
    <xf numFmtId="0" fontId="244" fillId="0" borderId="0" xfId="0" applyFont="1" applyAlignment="1">
      <alignment wrapText="1"/>
    </xf>
    <xf numFmtId="0" fontId="245" fillId="0" borderId="45" xfId="0" applyFont="1" applyBorder="1" applyAlignment="1">
      <alignment vertical="center" wrapText="1"/>
    </xf>
    <xf numFmtId="0" fontId="65" fillId="0" borderId="45" xfId="0" applyFont="1" applyBorder="1" applyAlignment="1">
      <alignment vertical="center" wrapText="1"/>
    </xf>
    <xf numFmtId="0" fontId="65" fillId="0" borderId="19" xfId="0" applyFont="1" applyBorder="1" applyAlignment="1">
      <alignment vertical="center" wrapText="1"/>
    </xf>
    <xf numFmtId="0" fontId="245" fillId="0" borderId="46" xfId="0" applyFont="1" applyBorder="1" applyAlignment="1">
      <alignment vertical="center" wrapText="1"/>
    </xf>
    <xf numFmtId="0" fontId="246" fillId="0" borderId="1" xfId="0" applyFont="1" applyBorder="1" applyAlignment="1">
      <alignment wrapText="1"/>
    </xf>
    <xf numFmtId="0" fontId="247" fillId="0" borderId="1" xfId="0" applyFont="1" applyBorder="1" applyAlignment="1">
      <alignment wrapText="1"/>
    </xf>
    <xf numFmtId="0" fontId="4" fillId="0" borderId="47" xfId="0" applyFont="1" applyBorder="1" applyAlignment="1">
      <alignment vertical="center" wrapText="1"/>
    </xf>
    <xf numFmtId="0" fontId="185" fillId="0" borderId="19" xfId="0" applyFont="1" applyBorder="1" applyAlignment="1">
      <alignment vertical="center" wrapText="1"/>
    </xf>
    <xf numFmtId="0" fontId="57" fillId="0" borderId="1" xfId="0" applyFont="1" applyBorder="1" applyAlignment="1">
      <alignment horizontal="left" vertical="top" wrapText="1"/>
    </xf>
    <xf numFmtId="1" fontId="50" fillId="0" borderId="1" xfId="0" applyNumberFormat="1" applyFont="1" applyBorder="1" applyAlignment="1">
      <alignment horizontal="center" vertical="top" wrapText="1"/>
    </xf>
    <xf numFmtId="0" fontId="165" fillId="0" borderId="0" xfId="0" applyFont="1" applyAlignment="1">
      <alignment horizontal="center" vertical="center" wrapText="1"/>
    </xf>
    <xf numFmtId="0" fontId="38" fillId="0" borderId="7" xfId="0" applyFont="1" applyBorder="1" applyAlignment="1">
      <alignment vertical="top" wrapText="1"/>
    </xf>
    <xf numFmtId="1" fontId="38" fillId="0" borderId="7" xfId="0" applyNumberFormat="1" applyFont="1" applyBorder="1" applyAlignment="1">
      <alignment horizontal="center" vertical="top" wrapText="1"/>
    </xf>
    <xf numFmtId="2" fontId="38" fillId="0" borderId="7" xfId="0" applyNumberFormat="1" applyFont="1" applyBorder="1" applyAlignment="1">
      <alignment horizontal="center" vertical="top" wrapText="1"/>
    </xf>
    <xf numFmtId="1" fontId="121" fillId="0" borderId="7" xfId="0" applyNumberFormat="1" applyFont="1" applyBorder="1" applyAlignment="1">
      <alignment horizontal="center" vertical="top" wrapText="1"/>
    </xf>
    <xf numFmtId="0" fontId="238" fillId="0" borderId="1" xfId="0" applyFont="1" applyBorder="1" applyAlignment="1">
      <alignment vertical="top" wrapText="1"/>
    </xf>
    <xf numFmtId="2" fontId="3" fillId="0" borderId="1" xfId="0" applyNumberFormat="1" applyFont="1" applyBorder="1" applyAlignment="1">
      <alignment horizontal="right" vertical="center" wrapText="1"/>
    </xf>
    <xf numFmtId="0" fontId="4" fillId="0" borderId="3" xfId="0" applyFont="1" applyBorder="1"/>
    <xf numFmtId="0" fontId="4" fillId="8" borderId="2" xfId="0" applyFont="1" applyFill="1" applyBorder="1"/>
    <xf numFmtId="0" fontId="248" fillId="0" borderId="0" xfId="0" applyFont="1"/>
    <xf numFmtId="0" fontId="238" fillId="0" borderId="1" xfId="0" applyFont="1" applyBorder="1" applyAlignment="1">
      <alignment horizontal="center" vertical="center" wrapText="1"/>
    </xf>
    <xf numFmtId="1" fontId="239" fillId="0" borderId="1" xfId="0" applyNumberFormat="1" applyFont="1" applyBorder="1" applyAlignment="1">
      <alignment horizontal="center" vertical="center" wrapText="1"/>
    </xf>
    <xf numFmtId="2" fontId="238" fillId="0" borderId="1" xfId="0" applyNumberFormat="1" applyFont="1" applyBorder="1" applyAlignment="1">
      <alignment horizontal="center" vertical="center" wrapText="1"/>
    </xf>
    <xf numFmtId="1" fontId="3" fillId="0" borderId="1" xfId="0" applyNumberFormat="1" applyFont="1" applyBorder="1" applyAlignment="1">
      <alignment horizontal="center" vertical="top"/>
    </xf>
    <xf numFmtId="2" fontId="4" fillId="0" borderId="1" xfId="0" applyNumberFormat="1" applyFont="1" applyBorder="1" applyAlignment="1">
      <alignment horizontal="center" vertical="top"/>
    </xf>
    <xf numFmtId="0" fontId="165" fillId="0" borderId="4" xfId="0" applyFont="1" applyBorder="1" applyAlignment="1">
      <alignment horizontal="center" vertical="center" wrapText="1"/>
    </xf>
    <xf numFmtId="0" fontId="38" fillId="0" borderId="3" xfId="0" applyFont="1" applyBorder="1" applyAlignment="1">
      <alignment horizontal="left" vertical="top" wrapText="1"/>
    </xf>
    <xf numFmtId="0" fontId="106" fillId="0" borderId="1" xfId="0" applyFont="1" applyBorder="1" applyAlignment="1">
      <alignment wrapText="1"/>
    </xf>
    <xf numFmtId="0" fontId="7" fillId="8" borderId="1" xfId="0" applyFont="1" applyFill="1" applyBorder="1" applyAlignment="1">
      <alignment vertical="top" wrapText="1"/>
    </xf>
    <xf numFmtId="0" fontId="7" fillId="8" borderId="1" xfId="0" applyFont="1" applyFill="1" applyBorder="1" applyAlignment="1">
      <alignment horizontal="center" vertical="top" wrapText="1"/>
    </xf>
    <xf numFmtId="0" fontId="65" fillId="8" borderId="1" xfId="0" applyFont="1" applyFill="1" applyBorder="1" applyAlignment="1">
      <alignment vertical="top"/>
    </xf>
    <xf numFmtId="1" fontId="7" fillId="8" borderId="1" xfId="0" applyNumberFormat="1" applyFont="1" applyFill="1" applyBorder="1" applyAlignment="1">
      <alignment horizontal="center" vertical="top" wrapText="1"/>
    </xf>
    <xf numFmtId="2" fontId="7" fillId="8" borderId="1" xfId="0" applyNumberFormat="1" applyFont="1" applyFill="1" applyBorder="1" applyAlignment="1">
      <alignment horizontal="center" vertical="top" wrapText="1"/>
    </xf>
    <xf numFmtId="1" fontId="57" fillId="0" borderId="1" xfId="0" applyNumberFormat="1" applyFont="1" applyBorder="1" applyAlignment="1">
      <alignment horizontal="center" vertical="top" wrapText="1"/>
    </xf>
    <xf numFmtId="0" fontId="57" fillId="0" borderId="1" xfId="0" applyFont="1" applyBorder="1" applyAlignment="1">
      <alignment vertical="top" wrapText="1"/>
    </xf>
    <xf numFmtId="0" fontId="4" fillId="0" borderId="48" xfId="0" applyFont="1" applyBorder="1" applyAlignment="1">
      <alignment vertical="top" wrapText="1"/>
    </xf>
    <xf numFmtId="0" fontId="4" fillId="0" borderId="7" xfId="0" applyFont="1" applyBorder="1" applyAlignment="1">
      <alignment horizontal="left" vertical="top"/>
    </xf>
    <xf numFmtId="0" fontId="1" fillId="8" borderId="1" xfId="0" applyFont="1" applyFill="1" applyBorder="1" applyAlignment="1">
      <alignment horizontal="left" vertical="top"/>
    </xf>
    <xf numFmtId="0" fontId="4" fillId="7" borderId="5" xfId="0" applyFont="1" applyFill="1" applyBorder="1" applyAlignment="1">
      <alignment horizontal="left" wrapText="1"/>
    </xf>
    <xf numFmtId="0" fontId="9" fillId="0" borderId="6" xfId="0" applyFont="1" applyBorder="1"/>
    <xf numFmtId="0" fontId="9" fillId="0" borderId="7" xfId="0" applyFont="1" applyBorder="1"/>
    <xf numFmtId="0" fontId="4" fillId="7" borderId="5" xfId="0" applyFont="1" applyFill="1" applyBorder="1" applyAlignment="1">
      <alignment horizontal="left" vertical="top" wrapText="1"/>
    </xf>
    <xf numFmtId="0" fontId="8" fillId="7" borderId="5" xfId="0" applyFont="1" applyFill="1" applyBorder="1" applyAlignment="1">
      <alignment horizontal="center" vertical="top" wrapText="1"/>
    </xf>
    <xf numFmtId="0" fontId="50" fillId="7" borderId="27" xfId="0" applyFont="1" applyFill="1" applyBorder="1" applyAlignment="1">
      <alignment horizontal="center" vertical="top" wrapText="1"/>
    </xf>
    <xf numFmtId="0" fontId="9" fillId="0" borderId="28" xfId="0" applyFont="1" applyBorder="1"/>
    <xf numFmtId="0" fontId="9" fillId="0" borderId="26" xfId="0" applyFont="1" applyBorder="1"/>
    <xf numFmtId="0" fontId="8" fillId="7" borderId="5" xfId="0" applyFont="1" applyFill="1" applyBorder="1" applyAlignment="1">
      <alignment horizontal="center" wrapText="1"/>
    </xf>
    <xf numFmtId="0" fontId="9" fillId="0" borderId="29" xfId="0" applyFont="1" applyBorder="1"/>
    <xf numFmtId="0" fontId="1" fillId="7" borderId="5" xfId="0" applyFont="1" applyFill="1" applyBorder="1" applyAlignment="1">
      <alignment horizontal="left" wrapText="1"/>
    </xf>
    <xf numFmtId="0" fontId="4" fillId="7" borderId="5" xfId="0" applyFont="1" applyFill="1" applyBorder="1" applyAlignment="1">
      <alignment horizontal="left"/>
    </xf>
    <xf numFmtId="0" fontId="57" fillId="7" borderId="5" xfId="0" applyFont="1" applyFill="1" applyBorder="1" applyAlignment="1">
      <alignment horizontal="left" wrapText="1"/>
    </xf>
    <xf numFmtId="0" fontId="1" fillId="7" borderId="36" xfId="0" applyFont="1" applyFill="1" applyBorder="1" applyAlignment="1">
      <alignment wrapText="1"/>
    </xf>
    <xf numFmtId="0" fontId="9" fillId="0" borderId="37" xfId="0" applyFont="1" applyBorder="1"/>
    <xf numFmtId="0" fontId="9" fillId="0" borderId="38" xfId="0" applyFont="1" applyBorder="1"/>
    <xf numFmtId="0" fontId="160" fillId="7" borderId="5" xfId="0" applyFont="1" applyFill="1" applyBorder="1" applyAlignment="1">
      <alignment horizontal="center" vertical="center" wrapText="1"/>
    </xf>
    <xf numFmtId="0" fontId="1" fillId="7" borderId="36" xfId="0" applyFont="1" applyFill="1" applyBorder="1"/>
    <xf numFmtId="0" fontId="1" fillId="7" borderId="5" xfId="0" applyFont="1" applyFill="1" applyBorder="1" applyAlignment="1">
      <alignment horizontal="left" vertical="top" wrapText="1"/>
    </xf>
    <xf numFmtId="0" fontId="4" fillId="7" borderId="5" xfId="0" applyFont="1" applyFill="1" applyBorder="1" applyAlignment="1">
      <alignment vertical="top" wrapText="1"/>
    </xf>
    <xf numFmtId="0" fontId="4" fillId="7" borderId="5" xfId="0" applyFont="1" applyFill="1" applyBorder="1"/>
    <xf numFmtId="0" fontId="4" fillId="7" borderId="5" xfId="0" applyFont="1" applyFill="1" applyBorder="1" applyAlignment="1">
      <alignment wrapText="1"/>
    </xf>
    <xf numFmtId="0" fontId="8" fillId="7" borderId="5" xfId="0" applyFont="1" applyFill="1" applyBorder="1" applyAlignment="1">
      <alignment horizontal="center" vertical="center" wrapText="1"/>
    </xf>
    <xf numFmtId="0" fontId="1" fillId="6" borderId="3" xfId="0" applyFont="1" applyFill="1" applyBorder="1" applyAlignment="1">
      <alignment horizontal="center" vertical="top" wrapText="1"/>
    </xf>
    <xf numFmtId="0" fontId="9" fillId="0" borderId="4" xfId="0" applyFont="1" applyBorder="1"/>
    <xf numFmtId="0" fontId="1" fillId="6" borderId="3" xfId="0" applyFont="1" applyFill="1" applyBorder="1" applyAlignment="1">
      <alignment vertical="top" wrapText="1"/>
    </xf>
    <xf numFmtId="0" fontId="172" fillId="6" borderId="3" xfId="0" applyFont="1" applyFill="1" applyBorder="1" applyAlignment="1">
      <alignment horizontal="center" vertical="top" wrapText="1"/>
    </xf>
    <xf numFmtId="0" fontId="8" fillId="7" borderId="40" xfId="0" applyFont="1" applyFill="1" applyBorder="1" applyAlignment="1">
      <alignment horizontal="center" wrapText="1"/>
    </xf>
    <xf numFmtId="0" fontId="1" fillId="0" borderId="3" xfId="0" applyFont="1" applyBorder="1" applyAlignment="1">
      <alignment horizontal="left" vertical="center" wrapText="1"/>
    </xf>
    <xf numFmtId="0" fontId="1" fillId="7" borderId="5" xfId="0" applyFont="1" applyFill="1" applyBorder="1" applyAlignment="1">
      <alignment wrapText="1"/>
    </xf>
    <xf numFmtId="0" fontId="10" fillId="7" borderId="5" xfId="0" applyFont="1" applyFill="1" applyBorder="1" applyAlignment="1">
      <alignment vertical="top" wrapText="1"/>
    </xf>
    <xf numFmtId="0" fontId="3" fillId="7" borderId="5" xfId="0" applyFont="1" applyFill="1" applyBorder="1" applyAlignment="1">
      <alignment horizontal="left" vertical="top" wrapText="1"/>
    </xf>
    <xf numFmtId="0" fontId="10" fillId="7" borderId="5" xfId="0" applyFont="1" applyFill="1" applyBorder="1" applyAlignment="1">
      <alignment horizontal="left" vertical="top" wrapText="1"/>
    </xf>
    <xf numFmtId="0" fontId="1" fillId="7" borderId="5" xfId="0" applyFont="1" applyFill="1" applyBorder="1" applyAlignment="1">
      <alignment horizontal="left" vertical="center" wrapText="1"/>
    </xf>
    <xf numFmtId="0" fontId="10" fillId="7" borderId="5" xfId="0" applyFont="1" applyFill="1" applyBorder="1" applyAlignment="1">
      <alignment horizontal="left" vertical="center" wrapText="1"/>
    </xf>
    <xf numFmtId="0" fontId="4" fillId="0" borderId="3" xfId="0" applyFont="1" applyBorder="1" applyAlignment="1">
      <alignment horizontal="left" vertical="center" wrapText="1"/>
    </xf>
    <xf numFmtId="0" fontId="9" fillId="0" borderId="16" xfId="0" applyFont="1" applyBorder="1"/>
    <xf numFmtId="0" fontId="4" fillId="0" borderId="3" xfId="0" applyFont="1" applyBorder="1" applyAlignment="1">
      <alignment horizontal="center" vertical="center" wrapText="1"/>
    </xf>
    <xf numFmtId="1" fontId="3" fillId="0" borderId="3" xfId="0" applyNumberFormat="1" applyFont="1" applyBorder="1" applyAlignment="1">
      <alignment horizontal="center" vertical="top" wrapText="1"/>
    </xf>
    <xf numFmtId="2" fontId="4" fillId="0" borderId="3" xfId="0" applyNumberFormat="1" applyFont="1" applyBorder="1" applyAlignment="1">
      <alignment horizontal="center" vertical="top" wrapText="1"/>
    </xf>
    <xf numFmtId="0" fontId="4" fillId="0" borderId="3" xfId="0" applyFont="1" applyBorder="1" applyAlignment="1">
      <alignment horizontal="left" vertical="top" wrapText="1"/>
    </xf>
    <xf numFmtId="0" fontId="1" fillId="0" borderId="3" xfId="0" applyFont="1" applyBorder="1" applyAlignment="1">
      <alignment horizontal="center" vertical="top" wrapText="1"/>
    </xf>
    <xf numFmtId="0" fontId="247" fillId="6" borderId="3" xfId="0" applyFont="1" applyFill="1" applyBorder="1" applyAlignment="1">
      <alignment wrapText="1"/>
    </xf>
    <xf numFmtId="0" fontId="10" fillId="7" borderId="5" xfId="0" applyFont="1" applyFill="1" applyBorder="1" applyAlignment="1">
      <alignment horizontal="center" wrapText="1"/>
    </xf>
    <xf numFmtId="0" fontId="1" fillId="7" borderId="5" xfId="0" applyFont="1" applyFill="1" applyBorder="1" applyAlignment="1">
      <alignment horizontal="left" vertical="top"/>
    </xf>
    <xf numFmtId="0" fontId="8" fillId="7" borderId="40" xfId="0" applyFont="1" applyFill="1" applyBorder="1" applyAlignment="1">
      <alignment horizontal="center" vertical="top" wrapText="1"/>
    </xf>
    <xf numFmtId="0" fontId="8" fillId="7" borderId="5" xfId="0" applyFont="1" applyFill="1" applyBorder="1" applyAlignment="1">
      <alignment horizontal="center"/>
    </xf>
  </cellXfs>
  <cellStyles count="1">
    <cellStyle name="Normal" xfId="0" builtinId="0"/>
  </cellStyles>
  <dxfs count="12">
    <dxf>
      <fill>
        <patternFill patternType="solid">
          <fgColor rgb="FFFF0000"/>
          <bgColor rgb="FFFF0000"/>
        </patternFill>
      </fill>
    </dxf>
    <dxf>
      <font>
        <color rgb="FF9C0006"/>
      </font>
      <fill>
        <patternFill>
          <bgColor rgb="FFFFC7CE"/>
        </patternFill>
      </fill>
    </dxf>
    <dxf>
      <fill>
        <patternFill patternType="solid">
          <fgColor rgb="FFFFC7CE"/>
          <bgColor rgb="FFFFC7CE"/>
        </patternFill>
      </fill>
    </dxf>
    <dxf>
      <fill>
        <patternFill patternType="solid">
          <fgColor rgb="FFFF0000"/>
          <bgColor rgb="FFFF0000"/>
        </patternFill>
      </fill>
    </dxf>
    <dxf>
      <font>
        <color rgb="FF9C0006"/>
      </font>
      <fill>
        <patternFill>
          <bgColor rgb="FFFFC7CE"/>
        </patternFill>
      </fill>
    </dxf>
    <dxf>
      <fill>
        <patternFill patternType="solid">
          <fgColor rgb="FFFFC7CE"/>
          <bgColor rgb="FFFFC7CE"/>
        </patternFill>
      </fill>
    </dxf>
    <dxf>
      <fill>
        <patternFill patternType="solid">
          <fgColor rgb="FFFF0000"/>
          <bgColor rgb="FFFF0000"/>
        </patternFill>
      </fill>
    </dxf>
    <dxf>
      <font>
        <color rgb="FF9C0006"/>
      </font>
      <fill>
        <patternFill>
          <bgColor rgb="FFFFC7CE"/>
        </patternFill>
      </fill>
    </dxf>
    <dxf>
      <fill>
        <patternFill patternType="solid">
          <fgColor rgb="FFFFC7CE"/>
          <bgColor rgb="FFFFC7CE"/>
        </patternFill>
      </fill>
    </dxf>
    <dxf>
      <fill>
        <patternFill patternType="solid">
          <fgColor rgb="FFFF0000"/>
          <bgColor rgb="FFFF0000"/>
        </patternFill>
      </fill>
    </dxf>
    <dxf>
      <font>
        <color rgb="FF9C0006"/>
      </font>
      <fill>
        <patternFill>
          <bgColor rgb="FFFFC7CE"/>
        </patternFill>
      </fill>
    </dxf>
    <dxf>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emerald.com/insight" TargetMode="External"/></Relationships>
</file>

<file path=xl/drawings/drawing1.xml><?xml version="1.0" encoding="utf-8"?>
<xdr:wsDr xmlns:xdr="http://schemas.openxmlformats.org/drawingml/2006/spreadsheetDrawing" xmlns:a="http://schemas.openxmlformats.org/drawingml/2006/main">
  <xdr:oneCellAnchor>
    <xdr:from>
      <xdr:col>5</xdr:col>
      <xdr:colOff>0</xdr:colOff>
      <xdr:row>231</xdr:row>
      <xdr:rowOff>0</xdr:rowOff>
    </xdr:from>
    <xdr:ext cx="304800" cy="304800"/>
    <xdr:sp macro="" textlink="">
      <xdr:nvSpPr>
        <xdr:cNvPr id="3" name="Shape 3" descr="Emerald logo">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www.lobbyart-anthropology.ro/Anthropology--and--Communication.php" TargetMode="External"/><Relationship Id="rId13" Type="http://schemas.openxmlformats.org/officeDocument/2006/relationships/hyperlink" Target="https://publishingsupport.iopscience.iop.org/questions/proceedings-are-abstracted-in/" TargetMode="External"/><Relationship Id="rId18" Type="http://schemas.openxmlformats.org/officeDocument/2006/relationships/hyperlink" Target="https://doi.org/10.2478/aucts-2022-0002" TargetMode="External"/><Relationship Id="rId26" Type="http://schemas.openxmlformats.org/officeDocument/2006/relationships/hyperlink" Target="https://doi.org/10.2478/aucts-2022-0002" TargetMode="External"/><Relationship Id="rId3" Type="http://schemas.openxmlformats.org/officeDocument/2006/relationships/hyperlink" Target="https://doi.org/10.3929/ethz-b-000584408" TargetMode="External"/><Relationship Id="rId21" Type="http://schemas.openxmlformats.org/officeDocument/2006/relationships/hyperlink" Target="https://doi.org/10.2478/aucts-2022-0004" TargetMode="External"/><Relationship Id="rId7" Type="http://schemas.openxmlformats.org/officeDocument/2006/relationships/hyperlink" Target="https://doi.org/10.21125/iceri.2022.1424" TargetMode="External"/><Relationship Id="rId12" Type="http://schemas.openxmlformats.org/officeDocument/2006/relationships/hyperlink" Target="https://publishingsupport.iopscience.iop.org/questions/proceedings-are-abstracted-in/" TargetMode="External"/><Relationship Id="rId17" Type="http://schemas.openxmlformats.org/officeDocument/2006/relationships/hyperlink" Target="https://www.proquest.com/scholarly-journals/design-mechatronic-modules-that-can-form-multiple/docview/2765803007/se-2." TargetMode="External"/><Relationship Id="rId25" Type="http://schemas.openxmlformats.org/officeDocument/2006/relationships/hyperlink" Target="https://www.proquest.com/openview/77b15db8e760237a6b36b8dc3da2faec/1?pq-origsite=gscholar&amp;cbl=2035956" TargetMode="External"/><Relationship Id="rId2" Type="http://schemas.openxmlformats.org/officeDocument/2006/relationships/hyperlink" Target="http://conference.rmee.org/wp-content/uploads/2022/10/RMEE2022_Proceedings.pdf" TargetMode="External"/><Relationship Id="rId16" Type="http://schemas.openxmlformats.org/officeDocument/2006/relationships/hyperlink" Target="https://www.matec-conferences.org/articles/matecconf/abs/2022/15/matecconf_newtech22_01007/matecconf_newtech22_01007.html" TargetMode="External"/><Relationship Id="rId20" Type="http://schemas.openxmlformats.org/officeDocument/2006/relationships/hyperlink" Target="https://www.matec-conferences.org/articles/matecconf/abs/2022/15/matecconf_newtech22_01007/matecconf_newtech22_01007.html" TargetMode="External"/><Relationship Id="rId29" Type="http://schemas.openxmlformats.org/officeDocument/2006/relationships/hyperlink" Target="https://europub.co.uk/journals/the-scientific-bulletin-addendum-J-29336" TargetMode="External"/><Relationship Id="rId1" Type="http://schemas.openxmlformats.org/officeDocument/2006/relationships/hyperlink" Target="https://doi.org/10.17721/1728-2667.2021/217-4/5" TargetMode="External"/><Relationship Id="rId6" Type="http://schemas.openxmlformats.org/officeDocument/2006/relationships/hyperlink" Target="https://doi.org/10.21125/iceri.2022.1411" TargetMode="External"/><Relationship Id="rId11" Type="http://schemas.openxmlformats.org/officeDocument/2006/relationships/hyperlink" Target="https://iopscience.iop.org/issue/1757-899X/1254/1" TargetMode="External"/><Relationship Id="rId24" Type="http://schemas.openxmlformats.org/officeDocument/2006/relationships/hyperlink" Target="https://www.proquest.com/scholarly-journals/design-mechatronic-modules-that-can-form-multiple/docview/2765803007/se-2." TargetMode="External"/><Relationship Id="rId5" Type="http://schemas.openxmlformats.org/officeDocument/2006/relationships/hyperlink" Target="https://doi.org/10.21125/edulearn.2022.1427" TargetMode="External"/><Relationship Id="rId15" Type="http://schemas.openxmlformats.org/officeDocument/2006/relationships/hyperlink" Target="https://europub.co.uk/journals/the-scientific-bulletin-addendum-J-29336" TargetMode="External"/><Relationship Id="rId23" Type="http://schemas.openxmlformats.org/officeDocument/2006/relationships/hyperlink" Target="https://eds.s.ebscohost.com/eds/viewarticle/render?data=dGJyMPPp44rp2%2fdV0%2bnjisfk5Ie45PFIsKaxSLek63nn5Kx94um%2bTq2otEewprBLnq%2b4SLCwsk6et8s%2b8ujfhvHX4Yzn5eyB4rO3SbCpsUy2prQ%2b8d%2fiVd%2bttE6wrrZIq9y3feCjsnriratRtNuwRbCr41CvqeB9tdeuSL7o43zn6aSE3%2bTlV" TargetMode="External"/><Relationship Id="rId28" Type="http://schemas.openxmlformats.org/officeDocument/2006/relationships/hyperlink" Target="https://www.matec-conferences.org/articles/matecconf/abs/2022/15/matecconf_newtech22_01007/matecconf_newtech22_01007.html" TargetMode="External"/><Relationship Id="rId10" Type="http://schemas.openxmlformats.org/officeDocument/2006/relationships/hyperlink" Target="https://scholar.google.com/scholar?cluster=3832576529823092692&amp;hl=en&amp;oi=scholarr" TargetMode="External"/><Relationship Id="rId19" Type="http://schemas.openxmlformats.org/officeDocument/2006/relationships/hyperlink" Target="https://europub.co.uk/journals/the-scientific-bulletin-addendum-J-29336" TargetMode="External"/><Relationship Id="rId4" Type="http://schemas.openxmlformats.org/officeDocument/2006/relationships/hyperlink" Target="https://doi.org/10.21125/edulearn.2022.1418" TargetMode="External"/><Relationship Id="rId9" Type="http://schemas.openxmlformats.org/officeDocument/2006/relationships/hyperlink" Target="https://www.lobbyart-anthropology.ro/Anthropology--and--Communication.php" TargetMode="External"/><Relationship Id="rId14" Type="http://schemas.openxmlformats.org/officeDocument/2006/relationships/hyperlink" Target="https://sepi.ro/page/oni2022" TargetMode="External"/><Relationship Id="rId22" Type="http://schemas.openxmlformats.org/officeDocument/2006/relationships/hyperlink" Target="https://www.proquest.com/scholarly-journals/design-mechatronic-modules-that-can-form-multiple/docview/2765803007/se-2." TargetMode="External"/><Relationship Id="rId27" Type="http://schemas.openxmlformats.org/officeDocument/2006/relationships/hyperlink" Target="https://doi.org/10.2478/aucts-2022-0004"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repositorio.ucv.edu.pe/bitstream/handle/20.500.12692/108491/Egovail_EXA-Meza_CG-SD.pdf?sequence=1&amp;isAllowed=y" TargetMode="External"/><Relationship Id="rId299" Type="http://schemas.openxmlformats.org/officeDocument/2006/relationships/hyperlink" Target="https://repository.unsri.ac.id/74082/3/RAMA_41231_05031181823085_0030066602_01_front_ref.pdf" TargetMode="External"/><Relationship Id="rId21" Type="http://schemas.openxmlformats.org/officeDocument/2006/relationships/hyperlink" Target="https://iopscience.iop.org/article/10.1088/1757-899X/1235/1/012014/meta" TargetMode="External"/><Relationship Id="rId63" Type="http://schemas.openxmlformats.org/officeDocument/2006/relationships/hyperlink" Target="https://link.springer.com/chapter/10.1007/978-981-99-0942-1_9" TargetMode="External"/><Relationship Id="rId159" Type="http://schemas.openxmlformats.org/officeDocument/2006/relationships/hyperlink" Target="https://bmcmededuc.biomedcentral.com/articles/10.1186/s12909-022-03731-x" TargetMode="External"/><Relationship Id="rId324" Type="http://schemas.openxmlformats.org/officeDocument/2006/relationships/hyperlink" Target="http://digital-library.ulbsibiu.ro/jspui/bitstream/123456789/3379/1/2022-Rosca%20Nicolae%20Alexandru_ro.pdf" TargetMode="External"/><Relationship Id="rId366" Type="http://schemas.openxmlformats.org/officeDocument/2006/relationships/hyperlink" Target="http://digital-library.ulbsibiu.ro/xmlui/handle/123456789/3247" TargetMode="External"/><Relationship Id="rId170" Type="http://schemas.openxmlformats.org/officeDocument/2006/relationships/hyperlink" Target="https://repositorio.ucv.edu.pe/handle/20.500.12692/95775" TargetMode="External"/><Relationship Id="rId226" Type="http://schemas.openxmlformats.org/officeDocument/2006/relationships/hyperlink" Target="https://publisher.uthm.edu.my/periodicals/index.php/aitcs/article/view/7574" TargetMode="External"/><Relationship Id="rId268" Type="http://schemas.openxmlformats.org/officeDocument/2006/relationships/hyperlink" Target="https://repozitorium.omikk.bme.hu/bitstream/handle/10890/18714/ertekezes.pdf?sequence=2" TargetMode="External"/><Relationship Id="rId32" Type="http://schemas.openxmlformats.org/officeDocument/2006/relationships/hyperlink" Target="https://www.utgjiu.ro/rev_ing/?page=curent&amp;nr=2022-4" TargetMode="External"/><Relationship Id="rId74" Type="http://schemas.openxmlformats.org/officeDocument/2006/relationships/hyperlink" Target="https://jurnal.unsyiah.ac.id/JAROE/article/view/21660/0" TargetMode="External"/><Relationship Id="rId128" Type="http://schemas.openxmlformats.org/officeDocument/2006/relationships/hyperlink" Target="https://acikerisim.erbakan.edu.tr/xmlui/handle/20.500.12452/8628" TargetMode="External"/><Relationship Id="rId335" Type="http://schemas.openxmlformats.org/officeDocument/2006/relationships/hyperlink" Target="https://login.easychair.org/publications/preprint_download/dDmN" TargetMode="External"/><Relationship Id="rId5" Type="http://schemas.openxmlformats.org/officeDocument/2006/relationships/hyperlink" Target="http://ojs.transpublika.com/index.php/ROMEO/article/view/332/272" TargetMode="External"/><Relationship Id="rId181" Type="http://schemas.openxmlformats.org/officeDocument/2006/relationships/hyperlink" Target="http://www.koreascience.or.kr/article/JAKO202209833893350.page" TargetMode="External"/><Relationship Id="rId237" Type="http://schemas.openxmlformats.org/officeDocument/2006/relationships/hyperlink" Target="https://doctorate.ulbsibiu.ro/wp-content/uploads/21.AbstractRO-Bancioiu.pdf" TargetMode="External"/><Relationship Id="rId279" Type="http://schemas.openxmlformats.org/officeDocument/2006/relationships/hyperlink" Target="https://www.ncbi.nlm.nih.gov/books/NBK558948/" TargetMode="External"/><Relationship Id="rId43" Type="http://schemas.openxmlformats.org/officeDocument/2006/relationships/hyperlink" Target="https://www.mdpi.com/books/book/4858" TargetMode="External"/><Relationship Id="rId139" Type="http://schemas.openxmlformats.org/officeDocument/2006/relationships/hyperlink" Target="http://revistadeturism.ro/rdt/article/view/571" TargetMode="External"/><Relationship Id="rId290" Type="http://schemas.openxmlformats.org/officeDocument/2006/relationships/hyperlink" Target="https://f1000research.com/articles/11-1118" TargetMode="External"/><Relationship Id="rId304" Type="http://schemas.openxmlformats.org/officeDocument/2006/relationships/hyperlink" Target="https://www.sciencedirect.com/science/article/pii/S1877050916313643" TargetMode="External"/><Relationship Id="rId346" Type="http://schemas.openxmlformats.org/officeDocument/2006/relationships/hyperlink" Target="https://www.journal.unpas.ac.id/index.php/pendas/article/view/6640" TargetMode="External"/><Relationship Id="rId85" Type="http://schemas.openxmlformats.org/officeDocument/2006/relationships/hyperlink" Target="https://scholar.google.com/scholar?as_ylo=2022&amp;hl=ro&amp;as_sdt=2005&amp;sciodt=0,5&amp;cites=2601220005368910480&amp;scipsc=" TargetMode="External"/><Relationship Id="rId150" Type="http://schemas.openxmlformats.org/officeDocument/2006/relationships/hyperlink" Target="https://ejchem.journals.ekb.eg/article_205185.html" TargetMode="External"/><Relationship Id="rId192" Type="http://schemas.openxmlformats.org/officeDocument/2006/relationships/hyperlink" Target="https://dergipark.org.tr/en/pub/fumbd/issue/72789/1118732" TargetMode="External"/><Relationship Id="rId206" Type="http://schemas.openxmlformats.org/officeDocument/2006/relationships/hyperlink" Target="https://www.proquest.com/openview/57b9a0051c78b35d9a574e1af849d8e9/1?pq-origsite=gscholar&amp;cbl=18750&amp;diss=y" TargetMode="External"/><Relationship Id="rId248" Type="http://schemas.openxmlformats.org/officeDocument/2006/relationships/hyperlink" Target="https://sciendo.com/article/10.2478/aucts-2022-0004?tab=pdf-preview" TargetMode="External"/><Relationship Id="rId12" Type="http://schemas.openxmlformats.org/officeDocument/2006/relationships/hyperlink" Target="https://scholar.google.ro/scholar?oi=bibs&amp;hl=ro&amp;cites=960262243655466135&amp;as_sdt=5&amp;as_ylo=2022&amp;as_yhi=2022" TargetMode="External"/><Relationship Id="rId108" Type="http://schemas.openxmlformats.org/officeDocument/2006/relationships/hyperlink" Target="http://digital-library.ulbsibiu.ro/jspui/bitstream/123456789/3379/1/2022-Rosca%20Nicolae%20Alexandru_ro.pdf" TargetMode="External"/><Relationship Id="rId315" Type="http://schemas.openxmlformats.org/officeDocument/2006/relationships/hyperlink" Target="http://digital-library.ulbsibiu.ro/xmlui/handle/123456789/3247" TargetMode="External"/><Relationship Id="rId357" Type="http://schemas.openxmlformats.org/officeDocument/2006/relationships/hyperlink" Target="https://sciendo.com/it/article/10.2478/aucts-2022-0004" TargetMode="External"/><Relationship Id="rId54" Type="http://schemas.openxmlformats.org/officeDocument/2006/relationships/hyperlink" Target="https://journals.iqra.edu.pk/AJEST/Issue1-22/Article12/AJEST12102.pdf" TargetMode="External"/><Relationship Id="rId96" Type="http://schemas.openxmlformats.org/officeDocument/2006/relationships/hyperlink" Target="https://www.proquest.com/openview/c0828e4a15fd10a5a9e1795a987c51c6/1?pq-origsite=gscholar&amp;cbl=18750&amp;diss=y" TargetMode="External"/><Relationship Id="rId161" Type="http://schemas.openxmlformats.org/officeDocument/2006/relationships/hyperlink" Target="https://ieeexplore.ieee.org/abstract/document/9898763" TargetMode="External"/><Relationship Id="rId217" Type="http://schemas.openxmlformats.org/officeDocument/2006/relationships/hyperlink" Target="https://versita.com/menuscript/index.php/Versita/article/view/876" TargetMode="External"/><Relationship Id="rId259" Type="http://schemas.openxmlformats.org/officeDocument/2006/relationships/hyperlink" Target="https://publisher.uthm.edu.my/periodicals/index.php/rpmme/article/view/3839" TargetMode="External"/><Relationship Id="rId23" Type="http://schemas.openxmlformats.org/officeDocument/2006/relationships/hyperlink" Target="https://www.ijosmas.org/index.php/ijosmas/article/view/142" TargetMode="External"/><Relationship Id="rId119" Type="http://schemas.openxmlformats.org/officeDocument/2006/relationships/hyperlink" Target="https://sciendo.com/downloadpdf/journals/aucts/66/1/article-p67.pdf" TargetMode="External"/><Relationship Id="rId270" Type="http://schemas.openxmlformats.org/officeDocument/2006/relationships/hyperlink" Target="https://www.matec-conferences.org/articles/matecconf/abs/2017/51/matecconf_mtem2017_04003/matecconf_mtem2017_04003.html" TargetMode="External"/><Relationship Id="rId326" Type="http://schemas.openxmlformats.org/officeDocument/2006/relationships/hyperlink" Target="https://ojs.brazilianjournals.com.br/ojs/index.php/BRJD/article/view/52692" TargetMode="External"/><Relationship Id="rId65" Type="http://schemas.openxmlformats.org/officeDocument/2006/relationships/hyperlink" Target="https://scholar.google.com/scholar?as_ylo=2022&amp;hl=ro&amp;as_sdt=2005&amp;sciodt=0,5&amp;cites=6718657599601444474&amp;scipsc=" TargetMode="External"/><Relationship Id="rId130" Type="http://schemas.openxmlformats.org/officeDocument/2006/relationships/hyperlink" Target="https://www.journal.nu.ac.th/JCDR/article/view/Vol-15-No-3-2022-39-54" TargetMode="External"/><Relationship Id="rId368" Type="http://schemas.openxmlformats.org/officeDocument/2006/relationships/hyperlink" Target="http://digital-library.ulbsibiu.ro/xmlui/handle/123456789/3247" TargetMode="External"/><Relationship Id="rId172" Type="http://schemas.openxmlformats.org/officeDocument/2006/relationships/hyperlink" Target="https://ddd.uab.cat/pub/tfg/2021/tfg_201579/Informe_Final.pdf" TargetMode="External"/><Relationship Id="rId228" Type="http://schemas.openxmlformats.org/officeDocument/2006/relationships/hyperlink" Target="https://www.publishoa.com/index.php/journal/article/view/901" TargetMode="External"/><Relationship Id="rId281" Type="http://schemas.openxmlformats.org/officeDocument/2006/relationships/hyperlink" Target="https://scholar.google.ro/scholar?hl=ro&amp;as_sdt=0%2C5&amp;q=Parametric+effects+of+single+point+incremental+sheet+forming&amp;btnG=" TargetMode="External"/><Relationship Id="rId337" Type="http://schemas.openxmlformats.org/officeDocument/2006/relationships/hyperlink" Target="https://www.igi-global.com/article/formability-of-aluminum-alloys-during-single-point-incremental-forming/296277" TargetMode="External"/><Relationship Id="rId34" Type="http://schemas.openxmlformats.org/officeDocument/2006/relationships/hyperlink" Target="https://archive.conscientiabeam.com/index.php/62/article/view/3207" TargetMode="External"/><Relationship Id="rId76" Type="http://schemas.openxmlformats.org/officeDocument/2006/relationships/hyperlink" Target="https://doras.dcu.ie/26561/" TargetMode="External"/><Relationship Id="rId141" Type="http://schemas.openxmlformats.org/officeDocument/2006/relationships/hyperlink" Target="https://web.p.ebscohost.com/abstract?direct=true&amp;profile=ehost&amp;scope=site&amp;authtype=crawler&amp;jrnl=21460353&amp;AN=155786013&amp;h=Z0XkSjCQl1dY2NO5PaJ3VX9Bsq3EpnK7yPGLhE9hN69kHldzjL8Hf0ds9wbuFAasbefVQhYmBlWw0fyaa4Svtw%3d%3d&amp;crl=f&amp;resultNs=AdminWebAuth&amp;resultLocal=ErrCrlNotAuth&amp;crlhashurl=login.aspx%3fdirect%3dtrue%26profile%3dehost%26scope%3dsite%26authtype%3dcrawler%26jrnl%3d21460353%26AN%3d155786013" TargetMode="External"/><Relationship Id="rId7" Type="http://schemas.openxmlformats.org/officeDocument/2006/relationships/hyperlink" Target="https://www.econa.org.ua/index.php/econa/article/view/2305" TargetMode="External"/><Relationship Id="rId183" Type="http://schemas.openxmlformats.org/officeDocument/2006/relationships/hyperlink" Target="https://doi.org/10.1515/kbo-2018-0138" TargetMode="External"/><Relationship Id="rId239" Type="http://schemas.openxmlformats.org/officeDocument/2006/relationships/hyperlink" Target="http://www.atbuftejoste.net/index.php/joste/article/view/1641" TargetMode="External"/><Relationship Id="rId250" Type="http://schemas.openxmlformats.org/officeDocument/2006/relationships/hyperlink" Target="https://www.proquest.com/docview/2765803007/5687F976D2604F76PQ/2?accountid=8083" TargetMode="External"/><Relationship Id="rId292" Type="http://schemas.openxmlformats.org/officeDocument/2006/relationships/hyperlink" Target="https://www.tandfonline.com/doi/abs/10.1080/15440478.2021.1966566" TargetMode="External"/><Relationship Id="rId306" Type="http://schemas.openxmlformats.org/officeDocument/2006/relationships/hyperlink" Target="https://doi.org/10.26486/jisai.v2i2.71" TargetMode="External"/><Relationship Id="rId45" Type="http://schemas.openxmlformats.org/officeDocument/2006/relationships/hyperlink" Target="https://ideas.repec.org/a/cbu/jrnlec/y2022v4p47-57.html" TargetMode="External"/><Relationship Id="rId87" Type="http://schemas.openxmlformats.org/officeDocument/2006/relationships/hyperlink" Target="https://scholar.google.com/scholar?as_ylo=2022&amp;hl=ro&amp;as_sdt=2005&amp;sciodt=0,5&amp;cites=5325202550929249068,13839643207499200416&amp;scipsc=" TargetMode="External"/><Relationship Id="rId110" Type="http://schemas.openxmlformats.org/officeDocument/2006/relationships/hyperlink" Target="https://iconline.ipleiria.pt/handle/10400.8/8272" TargetMode="External"/><Relationship Id="rId348" Type="http://schemas.openxmlformats.org/officeDocument/2006/relationships/hyperlink" Target="https://recipp.ipp.pt/handle/10400.22/20695" TargetMode="External"/><Relationship Id="rId152" Type="http://schemas.openxmlformats.org/officeDocument/2006/relationships/hyperlink" Target="https://www.researchgate.net/profile/Armando-Sanchez-Macias/publication/359826939_El_reto_de_la_multimodalidad_y_la_transversalidad_en_la_era_digital_y_los_tiempos_de_pandemia/links/625056b94f88c3119cea2173/El-reto-de-la-multimodalidad-y-la-transversalidad-en-la-era-digital-y-los-tiempos-de-pandemia.pdf" TargetMode="External"/><Relationship Id="rId194" Type="http://schemas.openxmlformats.org/officeDocument/2006/relationships/hyperlink" Target="https://link.springer.com/chapter/10.1007/978-3-030-97818-1_9" TargetMode="External"/><Relationship Id="rId208" Type="http://schemas.openxmlformats.org/officeDocument/2006/relationships/hyperlink" Target="https://repositorio.unb.br/bitstream/10482/43713/1/2022_NadiaZilottiAlencar.pdf" TargetMode="External"/><Relationship Id="rId261" Type="http://schemas.openxmlformats.org/officeDocument/2006/relationships/hyperlink" Target="http://digital-library.ulbsibiu.ro/xmlui/handle/123456789/3247" TargetMode="External"/><Relationship Id="rId14" Type="http://schemas.openxmlformats.org/officeDocument/2006/relationships/hyperlink" Target="http://ir.jkuat.ac.ke/handle/123456789/5836" TargetMode="External"/><Relationship Id="rId56" Type="http://schemas.openxmlformats.org/officeDocument/2006/relationships/hyperlink" Target="https://scholar.google.com/scholar?oi=bibs&amp;hl=ro&amp;cites=8609530442403443301" TargetMode="External"/><Relationship Id="rId317" Type="http://schemas.openxmlformats.org/officeDocument/2006/relationships/hyperlink" Target="https://www.preprints.org/manuscript/202203.0392/v1" TargetMode="External"/><Relationship Id="rId359" Type="http://schemas.openxmlformats.org/officeDocument/2006/relationships/hyperlink" Target="https://journalppw.com/index.php/jpsp/article/view/7951/5187" TargetMode="External"/><Relationship Id="rId98" Type="http://schemas.openxmlformats.org/officeDocument/2006/relationships/hyperlink" Target="https://library.iated.org/view/POPESCU2022STU" TargetMode="External"/><Relationship Id="rId121" Type="http://schemas.openxmlformats.org/officeDocument/2006/relationships/hyperlink" Target="https://web.s.ebscohost.com/abstract?direct=true&amp;profile=ehost&amp;scope=site&amp;authtype=crawler&amp;jrnl=18435262&amp;AN=160856568&amp;h=SZVbbRADoGox15LrCbTShPbjcZTdmsPWwFkE4GM%2bhBK3BWf%2fgcLWkNfkF637k2pWdhoGTVYO5qgJF6q%2b%2fSF9AQ%3d%3d&amp;crl=c&amp;resultNs=AdminWebAuth&amp;resultLocal=ErrCrlNotAuth&amp;crlhashurl=login.aspx%3fdirect%3dtrue%26profile%3dehost%26scope%3dsite%26authtype%3dcrawler%26jrnl%3d18435262%26AN%3d160856568" TargetMode="External"/><Relationship Id="rId163" Type="http://schemas.openxmlformats.org/officeDocument/2006/relationships/hyperlink" Target="https://ejes.uaic.ro/articles/EJES2022_1302_HYK.pdf" TargetMode="External"/><Relationship Id="rId219" Type="http://schemas.openxmlformats.org/officeDocument/2006/relationships/hyperlink" Target="https://repositories.lib.utexas.edu/handle/2152/117711" TargetMode="External"/><Relationship Id="rId370" Type="http://schemas.openxmlformats.org/officeDocument/2006/relationships/hyperlink" Target="https://incose.onlinelibrary.wiley.com/doi/abs/10.1002/iis2.12971" TargetMode="External"/><Relationship Id="rId230" Type="http://schemas.openxmlformats.org/officeDocument/2006/relationships/hyperlink" Target="https://scholar.archive.org/work/xn7kdaqni5fehdyzieihhetlxy/access/wayback/https:/vjs.ac.vn/index.php/jse/article/download/17240/103810385193" TargetMode="External"/><Relationship Id="rId25" Type="http://schemas.openxmlformats.org/officeDocument/2006/relationships/hyperlink" Target="https://www.mdpi.com/2673-7167/2/1/3" TargetMode="External"/><Relationship Id="rId67" Type="http://schemas.openxmlformats.org/officeDocument/2006/relationships/hyperlink" Target="https://ieeexplore.ieee.org/abstract/document/10042271" TargetMode="External"/><Relationship Id="rId272" Type="http://schemas.openxmlformats.org/officeDocument/2006/relationships/hyperlink" Target="https://repozitorium.omikk.bme.hu/bitstream/handle/10890/18714/ertekezes.pdf?sequence=2" TargetMode="External"/><Relationship Id="rId328" Type="http://schemas.openxmlformats.org/officeDocument/2006/relationships/hyperlink" Target="https://repozitorium.omikk.bme.hu/bitstream/handle/10890/18714/ertekezes.pdf?sequence=2" TargetMode="External"/><Relationship Id="rId132" Type="http://schemas.openxmlformats.org/officeDocument/2006/relationships/hyperlink" Target="https://epubl.ktu.edu/object/elaba:116445207/" TargetMode="External"/><Relationship Id="rId174" Type="http://schemas.openxmlformats.org/officeDocument/2006/relationships/hyperlink" Target="https://journal.binus.ac.id/index.php/comtech/article/view/7433/4626" TargetMode="External"/><Relationship Id="rId241" Type="http://schemas.openxmlformats.org/officeDocument/2006/relationships/hyperlink" Target="http://digital-library.ulbsibiu.ro/jspui/bitstream/123456789/3379/1/2022-Rosca%20Nicolae%20Alexandru_ro.pdf" TargetMode="External"/><Relationship Id="rId15" Type="http://schemas.openxmlformats.org/officeDocument/2006/relationships/hyperlink" Target="https://www.tandfonline.com/doi/abs/10.1080/10978526.2022.2026782" TargetMode="External"/><Relationship Id="rId36" Type="http://schemas.openxmlformats.org/officeDocument/2006/relationships/hyperlink" Target="https://www.mdpi.com/2673-3994/3/4/39" TargetMode="External"/><Relationship Id="rId57" Type="http://schemas.openxmlformats.org/officeDocument/2006/relationships/hyperlink" Target="https://scholar.google.com/scholar?as_ylo=2022&amp;hl=ro&amp;as_sdt=2005&amp;sciodt=0,5&amp;cites=14082028003172978258&amp;scipsc=" TargetMode="External"/><Relationship Id="rId262" Type="http://schemas.openxmlformats.org/officeDocument/2006/relationships/hyperlink" Target="https://openarchive.nure.ua/items/320d8462-4206-480f-ba14-75e1bfff9f34" TargetMode="External"/><Relationship Id="rId283" Type="http://schemas.openxmlformats.org/officeDocument/2006/relationships/hyperlink" Target="https://sciendo.com/article/10.2478/aucts-2022-0004" TargetMode="External"/><Relationship Id="rId318" Type="http://schemas.openxmlformats.org/officeDocument/2006/relationships/hyperlink" Target="https://www.preprints.org/manuscript/202203.0392/v1" TargetMode="External"/><Relationship Id="rId339" Type="http://schemas.openxmlformats.org/officeDocument/2006/relationships/hyperlink" Target="http://digital-library.ulbsibiu.ro/xmlui/handle/123456789/3247" TargetMode="External"/><Relationship Id="rId78" Type="http://schemas.openxmlformats.org/officeDocument/2006/relationships/hyperlink" Target="https://oulurepo.oulu.fi/handle/10024/21001" TargetMode="External"/><Relationship Id="rId99" Type="http://schemas.openxmlformats.org/officeDocument/2006/relationships/hyperlink" Target="https://repositorio.ucv.edu.pe/handle/20.500.12692/108491" TargetMode="External"/><Relationship Id="rId101" Type="http://schemas.openxmlformats.org/officeDocument/2006/relationships/hyperlink" Target="https://doi.org/10.21203/rs.3.rs-2158812/v1" TargetMode="External"/><Relationship Id="rId122" Type="http://schemas.openxmlformats.org/officeDocument/2006/relationships/hyperlink" Target="https://ph01.tci-thaijo.org/index.php/jermutt/article/view/247461" TargetMode="External"/><Relationship Id="rId143" Type="http://schemas.openxmlformats.org/officeDocument/2006/relationships/hyperlink" Target="https://tourismpd.journals.umz.ac.ir/article_3640.html?lang=en" TargetMode="External"/><Relationship Id="rId164" Type="http://schemas.openxmlformats.org/officeDocument/2006/relationships/hyperlink" Target="https://journals.pan.pl/Content/126607/PDF/BPASTS-3313-EA.pdf" TargetMode="External"/><Relationship Id="rId185" Type="http://schemas.openxmlformats.org/officeDocument/2006/relationships/hyperlink" Target="http://repositorio.uan.edu.co/handle/123456789/1739" TargetMode="External"/><Relationship Id="rId350" Type="http://schemas.openxmlformats.org/officeDocument/2006/relationships/hyperlink" Target="http://digital-library.ulbsibiu.ro/xmlui/handle/123456789/3247" TargetMode="External"/><Relationship Id="rId371" Type="http://schemas.openxmlformats.org/officeDocument/2006/relationships/hyperlink" Target="https://theses.hal.science/tel-04030486/" TargetMode="External"/><Relationship Id="rId9" Type="http://schemas.openxmlformats.org/officeDocument/2006/relationships/hyperlink" Target="https://content.iospress.com/articles/human-systems-management/hsm220068" TargetMode="External"/><Relationship Id="rId210" Type="http://schemas.openxmlformats.org/officeDocument/2006/relationships/hyperlink" Target="https://ieeexplore.ieee.org/document/10010195" TargetMode="External"/><Relationship Id="rId26" Type="http://schemas.openxmlformats.org/officeDocument/2006/relationships/hyperlink" Target="https://www.mdpi.com/2673-7167/2/1/3" TargetMode="External"/><Relationship Id="rId231" Type="http://schemas.openxmlformats.org/officeDocument/2006/relationships/hyperlink" Target="https://link.springer.com/chapter/10.1007/978-3-030-99235-4_4" TargetMode="External"/><Relationship Id="rId252" Type="http://schemas.openxmlformats.org/officeDocument/2006/relationships/hyperlink" Target="https://www.scopus.com/record/display.uri?eid=2-s2.0-85076204605&amp;origin=resultslist&amp;sort=plf-f&amp;cite=2-s2.0-85076204605&amp;src=s&amp;imp=t&amp;sid=05a17e4a0bedc67085083cff9ca7da1b&amp;sot=cite&amp;sdt=a&amp;sl=0" TargetMode="External"/><Relationship Id="rId273" Type="http://schemas.openxmlformats.org/officeDocument/2006/relationships/hyperlink" Target="https://sciendo.com/it/article/10.2478/aucts-2022-0004" TargetMode="External"/><Relationship Id="rId294" Type="http://schemas.openxmlformats.org/officeDocument/2006/relationships/hyperlink" Target="https://acikerisim.erbakan.edu.tr/xmlui/bitstream/handle/20.500.12452/8751/M%c4%b0NE%20ASLAN.pdf?sequence=1&amp;isAllowed=y" TargetMode="External"/><Relationship Id="rId308" Type="http://schemas.openxmlformats.org/officeDocument/2006/relationships/hyperlink" Target="http://digital-library.ulbsibiu.ro/xmlui/handle/123456789/3247" TargetMode="External"/><Relationship Id="rId329" Type="http://schemas.openxmlformats.org/officeDocument/2006/relationships/hyperlink" Target="https://ui.adsabs.harvard.edu/abs/2022AcUnC..74...21P/abstract" TargetMode="External"/><Relationship Id="rId47" Type="http://schemas.openxmlformats.org/officeDocument/2006/relationships/hyperlink" Target="https://repozitorij.unin.hr/islandora/object/unin:4829" TargetMode="External"/><Relationship Id="rId68" Type="http://schemas.openxmlformats.org/officeDocument/2006/relationships/hyperlink" Target="https://tuprints.ulb.tu-darmstadt.de/21514/" TargetMode="External"/><Relationship Id="rId89" Type="http://schemas.openxmlformats.org/officeDocument/2006/relationships/hyperlink" Target="https://scholar.google.com/scholar?as_ylo=2022&amp;hl=ro&amp;as_sdt=2005&amp;sciodt=0,5&amp;cites=2260675821848365836&amp;scipsc=" TargetMode="External"/><Relationship Id="rId112" Type="http://schemas.openxmlformats.org/officeDocument/2006/relationships/hyperlink" Target="https://link.springer.com/chapter/10.1007/978-3-031-17254-0_3" TargetMode="External"/><Relationship Id="rId133" Type="http://schemas.openxmlformats.org/officeDocument/2006/relationships/hyperlink" Target="https://comum.rcaap.pt/handle/10400.26/40375" TargetMode="External"/><Relationship Id="rId154" Type="http://schemas.openxmlformats.org/officeDocument/2006/relationships/hyperlink" Target="https://www.emerald.com/insight/content/doi/10.1108/JSTPM-01-2022-0003/full/html" TargetMode="External"/><Relationship Id="rId175" Type="http://schemas.openxmlformats.org/officeDocument/2006/relationships/hyperlink" Target="https://publikasi.lldikti10.id/index.php/jsi/article/view/1763" TargetMode="External"/><Relationship Id="rId340" Type="http://schemas.openxmlformats.org/officeDocument/2006/relationships/hyperlink" Target="http://digital-library.ulbsibiu.ro/jspui/bitstream/123456789/3379/1/2022-Rosca%20Nicolae%20Alexandru_ro.pdf" TargetMode="External"/><Relationship Id="rId361" Type="http://schemas.openxmlformats.org/officeDocument/2006/relationships/hyperlink" Target="http://digital-library.ulbsibiu.ro/xmlui/handle/123456789/3247" TargetMode="External"/><Relationship Id="rId196" Type="http://schemas.openxmlformats.org/officeDocument/2006/relationships/hyperlink" Target="https://komunikacie.uniza.sk/pdfs/csl/2022/04/24.pdf" TargetMode="External"/><Relationship Id="rId200" Type="http://schemas.openxmlformats.org/officeDocument/2006/relationships/hyperlink" Target="https://revistas.javeriana.edu.co/files-articulos/CVU/15%20(2022)/629771821018/index.html" TargetMode="External"/><Relationship Id="rId16" Type="http://schemas.openxmlformats.org/officeDocument/2006/relationships/hyperlink" Target="https://repozitorij.unin.hr/islandora/object/unin:4829" TargetMode="External"/><Relationship Id="rId221" Type="http://schemas.openxmlformats.org/officeDocument/2006/relationships/hyperlink" Target="https://komunikacie.uniza.sk/pdfs/csl/2022/04/24.pdf" TargetMode="External"/><Relationship Id="rId242" Type="http://schemas.openxmlformats.org/officeDocument/2006/relationships/hyperlink" Target="http://digital-library.ulbsibiu.ro/jspui/bitstream/123456789/3379/1/2022-Rosca%20Nicolae%20Alexandru_ro.pdf" TargetMode="External"/><Relationship Id="rId263" Type="http://schemas.openxmlformats.org/officeDocument/2006/relationships/hyperlink" Target="http://digital-library.ulbsibiu.ro/xmlui/handle/123456789/3247" TargetMode="External"/><Relationship Id="rId284" Type="http://schemas.openxmlformats.org/officeDocument/2006/relationships/hyperlink" Target="https://ojs.brazilianjournals.com.br/ojs/index.php/BRJD/article/view/46767" TargetMode="External"/><Relationship Id="rId319" Type="http://schemas.openxmlformats.org/officeDocument/2006/relationships/hyperlink" Target="https://assets.researchsquare.com/files/rs-1834027/v1_covered.pdf?c=1659618920" TargetMode="External"/><Relationship Id="rId37" Type="http://schemas.openxmlformats.org/officeDocument/2006/relationships/hyperlink" Target="https://www.proquest.com/openview/d035cbe43f0c0d3b8f8c9df00fedf3c4/1?pq-origsite=gscholar&amp;cbl=18750&amp;diss=y" TargetMode="External"/><Relationship Id="rId58" Type="http://schemas.openxmlformats.org/officeDocument/2006/relationships/hyperlink" Target="https://scholar.google.com/scholar?as_ylo=2022&amp;hl=ro&amp;as_sdt=2005&amp;sciodt=0,5&amp;cites=14082028003172978258&amp;scipsc=" TargetMode="External"/><Relationship Id="rId79" Type="http://schemas.openxmlformats.org/officeDocument/2006/relationships/hyperlink" Target="https://scholar.google.com/scholar?oi=bibs&amp;hl=ro&amp;cites=13302572896170814552" TargetMode="External"/><Relationship Id="rId102" Type="http://schemas.openxmlformats.org/officeDocument/2006/relationships/hyperlink" Target="http://digital-library.ulbsibiu.ro/xmlui/handle/123456789/3247" TargetMode="External"/><Relationship Id="rId123" Type="http://schemas.openxmlformats.org/officeDocument/2006/relationships/hyperlink" Target="https://www.atlantis-press.com/proceedings/icosi-hsn-22/125980079" TargetMode="External"/><Relationship Id="rId144" Type="http://schemas.openxmlformats.org/officeDocument/2006/relationships/hyperlink" Target="https://vb.smk.lt/object/elaba:152895234/" TargetMode="External"/><Relationship Id="rId330" Type="http://schemas.openxmlformats.org/officeDocument/2006/relationships/hyperlink" Target="http://digital-library.ulbsibiu.ro/xmlui/handle/123456789/3247" TargetMode="External"/><Relationship Id="rId90" Type="http://schemas.openxmlformats.org/officeDocument/2006/relationships/hyperlink" Target="http://../AppData/Local/Temp/MicrosoftEdgeDownloads/b3ce3eb8-1751-40d3-a403-70db95eb7039/Sustainability_of_Micro_Business_Actors_during_the.pdf" TargetMode="External"/><Relationship Id="rId165" Type="http://schemas.openxmlformats.org/officeDocument/2006/relationships/hyperlink" Target="https://ijsret.com/wp-content/uploads/2022/01/IJSRET_V8_issue1_139.pdf" TargetMode="External"/><Relationship Id="rId186" Type="http://schemas.openxmlformats.org/officeDocument/2006/relationships/hyperlink" Target="https://doi.org/10.1515/kbo-2018-0138" TargetMode="External"/><Relationship Id="rId351" Type="http://schemas.openxmlformats.org/officeDocument/2006/relationships/hyperlink" Target="https://www.igi-global.com/article/formability-of-aluminum-alloys-during-single-point-incremental-forming/296277" TargetMode="External"/><Relationship Id="rId372" Type="http://schemas.openxmlformats.org/officeDocument/2006/relationships/drawing" Target="../drawings/drawing1.xml"/><Relationship Id="rId211" Type="http://schemas.openxmlformats.org/officeDocument/2006/relationships/hyperlink" Target="https://www.mtu.edu/cs/graduate/dissertations/pdfs/eager-scheduling-of-dependent-instructions.pdf" TargetMode="External"/><Relationship Id="rId232" Type="http://schemas.openxmlformats.org/officeDocument/2006/relationships/hyperlink" Target="https://link.springer.com/chapter/10.1007/978-3-030-99235-4_4" TargetMode="External"/><Relationship Id="rId253" Type="http://schemas.openxmlformats.org/officeDocument/2006/relationships/hyperlink" Target="https://www.scopus.com/record/display.uri?eid=2-s2.0-85076204605&amp;origin=resultslist&amp;sort=plf-f&amp;cite=2-s2.0-85076204605&amp;src=s&amp;imp=t&amp;sid=05a17e4a0bedc67085083cff9ca7da1b&amp;sot=cite&amp;sdt=a&amp;sl=0" TargetMode="External"/><Relationship Id="rId274" Type="http://schemas.openxmlformats.org/officeDocument/2006/relationships/hyperlink" Target="https://repozitorium.omikk.bme.hu/bitstream/handle/10890/18714/ertekezes.pdf?sequence=2" TargetMode="External"/><Relationship Id="rId295" Type="http://schemas.openxmlformats.org/officeDocument/2006/relationships/hyperlink" Target="https://patents.google.com/patent/US11548845B2/en" TargetMode="External"/><Relationship Id="rId309" Type="http://schemas.openxmlformats.org/officeDocument/2006/relationships/hyperlink" Target="https://repozitorium.omikk.bme.hu/bitstream/handle/10890/18714/ertekezes.pdf?sequence=2" TargetMode="External"/><Relationship Id="rId27" Type="http://schemas.openxmlformats.org/officeDocument/2006/relationships/hyperlink" Target="https://dk.upce.cz/bitstream/handle/10195/79682/UrvalkovaP_BankrotniPredikcni_MK_2022.pdf?sequence=1" TargetMode="External"/><Relationship Id="rId48" Type="http://schemas.openxmlformats.org/officeDocument/2006/relationships/hyperlink" Target="https://www.ssbfnet.com/ojs/index.php/ijrbs/article/view/2229" TargetMode="External"/><Relationship Id="rId69" Type="http://schemas.openxmlformats.org/officeDocument/2006/relationships/hyperlink" Target="https://scholar.google.com/scholar?as_ylo=2022&amp;hl=ro&amp;as_sdt=2005&amp;sciodt=0,5&amp;cites=15527639882816297452,17137039691567018653&amp;scipsc=" TargetMode="External"/><Relationship Id="rId113" Type="http://schemas.openxmlformats.org/officeDocument/2006/relationships/hyperlink" Target="https://tesis.ipn.mx/handle/123456789/31612" TargetMode="External"/><Relationship Id="rId134" Type="http://schemas.openxmlformats.org/officeDocument/2006/relationships/hyperlink" Target="https://revues.imist.ma/index.php/RAM/article/view/27300" TargetMode="External"/><Relationship Id="rId320" Type="http://schemas.openxmlformats.org/officeDocument/2006/relationships/hyperlink" Target="https://repozitorium.omikk.bme.hu/bitstream/handle/10890/18714/ertekezes.pdf?sequence=2" TargetMode="External"/><Relationship Id="rId80" Type="http://schemas.openxmlformats.org/officeDocument/2006/relationships/hyperlink" Target="https://scholar.google.com/scholar?as_ylo=2022&amp;hl=ro&amp;as_sdt=2005&amp;sciodt=0,5&amp;cites=13688102020418874809,8053731232093318077,16546350554839142901&amp;scipsc=" TargetMode="External"/><Relationship Id="rId155" Type="http://schemas.openxmlformats.org/officeDocument/2006/relationships/hyperlink" Target="https://library.iated.org/view/TRENCHEVA2022INT" TargetMode="External"/><Relationship Id="rId176" Type="http://schemas.openxmlformats.org/officeDocument/2006/relationships/hyperlink" Target="https://www.researchgate.net/profile/Vijay-Athavale/publication/359407420_INCU_Analyzer_for_Infant_Incubator_Based_on_Android_Application_Using_Bluetooth_Communication_to_Improve_Calibration_Monitoring/links/623d95077931cc7ccff58082/INCU-Analyzer-for-Infant-Incubator-Based-on-Android-Application-Using-Bluetooth-Communication-to-Improve-Calibration-Monitoring.pdf?_sg%5B0%5D=started_experiment_milestone&amp;origin=journalDetail" TargetMode="External"/><Relationship Id="rId197" Type="http://schemas.openxmlformats.org/officeDocument/2006/relationships/hyperlink" Target="https://iopscience.iop.org/article/10.1088/1755-1315/1026/1/012039" TargetMode="External"/><Relationship Id="rId341" Type="http://schemas.openxmlformats.org/officeDocument/2006/relationships/hyperlink" Target="https://opus4.kobv.de/opus4-fau/frontdoor/index/index/docId/20139" TargetMode="External"/><Relationship Id="rId362" Type="http://schemas.openxmlformats.org/officeDocument/2006/relationships/hyperlink" Target="https://publisher.uthm.edu.my/periodicals/index.php/rpmme/article/view/3839" TargetMode="External"/><Relationship Id="rId201" Type="http://schemas.openxmlformats.org/officeDocument/2006/relationships/hyperlink" Target="https://riut.utfpr.edu.br/jspui/bitstream/1/27719/1/projetosmobilidadeurbanamulticriterio.pdf" TargetMode="External"/><Relationship Id="rId222" Type="http://schemas.openxmlformats.org/officeDocument/2006/relationships/hyperlink" Target="http://ir.jkuat.ac.ke/handle/123456789/5836" TargetMode="External"/><Relationship Id="rId243" Type="http://schemas.openxmlformats.org/officeDocument/2006/relationships/hyperlink" Target="https://opus4.kobv.de/opus4-fau/frontdoor/index/index/docId/20139" TargetMode="External"/><Relationship Id="rId264" Type="http://schemas.openxmlformats.org/officeDocument/2006/relationships/hyperlink" Target="https://www.sciencedirect.com/science/article/pii/S1877050916313643" TargetMode="External"/><Relationship Id="rId285" Type="http://schemas.openxmlformats.org/officeDocument/2006/relationships/hyperlink" Target="https://www.intechopen.com/chapters/81269" TargetMode="External"/><Relationship Id="rId17" Type="http://schemas.openxmlformats.org/officeDocument/2006/relationships/hyperlink" Target="https://www.ssbfnet.com/ojs/index.php/ijrbs/article/view/2229" TargetMode="External"/><Relationship Id="rId38" Type="http://schemas.openxmlformats.org/officeDocument/2006/relationships/hyperlink" Target="http://scholar.googleusercontent.com/scholar?q=cache:zJzcpZrTFzUJ:scholar.google.com/&amp;hl=ro&amp;as_sdt=2005&amp;sciodt=0,5" TargetMode="External"/><Relationship Id="rId59" Type="http://schemas.openxmlformats.org/officeDocument/2006/relationships/hyperlink" Target="https://repositorio.unb.br/handle/10482/43713" TargetMode="External"/><Relationship Id="rId103" Type="http://schemas.openxmlformats.org/officeDocument/2006/relationships/hyperlink" Target="http://digital-library.ulbsibiu.ro/jspui/bitstream/123456789/3379/1/2022-Rosca%20Nicolae%20Alexandru_ro.pdf" TargetMode="External"/><Relationship Id="rId124" Type="http://schemas.openxmlformats.org/officeDocument/2006/relationships/hyperlink" Target="https://www.proquest.com/openview/690fc8bb0927f100c6f685243d7064c6/1?pq-origsite=gscholar&amp;cbl=466419" TargetMode="External"/><Relationship Id="rId310" Type="http://schemas.openxmlformats.org/officeDocument/2006/relationships/hyperlink" Target="https://sciendo.com/it/article/10.2478/aucts-2022-0004" TargetMode="External"/><Relationship Id="rId70" Type="http://schemas.openxmlformats.org/officeDocument/2006/relationships/hyperlink" Target="https://www.igi-global.com/chapter/establishing-knowledge-management-model-of-quality-management-systems-for-higher-education-institutions/288844" TargetMode="External"/><Relationship Id="rId91" Type="http://schemas.openxmlformats.org/officeDocument/2006/relationships/hyperlink" Target="https://www.researchgate.net/publication/360492495_Nanomaterial's_synthesis_types_and_their_use_in_Bioremediation_and_Agriculture" TargetMode="External"/><Relationship Id="rId145" Type="http://schemas.openxmlformats.org/officeDocument/2006/relationships/hyperlink" Target="https://paper.ieti.net/ssh/2022Volume17/07.pdf" TargetMode="External"/><Relationship Id="rId166" Type="http://schemas.openxmlformats.org/officeDocument/2006/relationships/hyperlink" Target="https://karafan.tvu.ac.ir/article_129162.html?lang=en" TargetMode="External"/><Relationship Id="rId187" Type="http://schemas.openxmlformats.org/officeDocument/2006/relationships/hyperlink" Target="https://www.ceeol.com/search/article-detail?id=1029610" TargetMode="External"/><Relationship Id="rId331" Type="http://schemas.openxmlformats.org/officeDocument/2006/relationships/hyperlink" Target="https://ui.adsabs.harvard.edu/abs/2022AcUnC..74...21P/abstract" TargetMode="External"/><Relationship Id="rId352" Type="http://schemas.openxmlformats.org/officeDocument/2006/relationships/hyperlink" Target="http://digital-library.ulbsibiu.ro/jspui/bitstream/123456789/3379/1/2022-Rosca%20Nicolae%20Alexandru_ro.pdf" TargetMode="External"/><Relationship Id="rId1" Type="http://schemas.openxmlformats.org/officeDocument/2006/relationships/hyperlink" Target="https://doi.org/10.1117/12.2646533" TargetMode="External"/><Relationship Id="rId212" Type="http://schemas.openxmlformats.org/officeDocument/2006/relationships/hyperlink" Target="https://csimq-journals.rtu.lv/article/view/csimq.2022-30.02" TargetMode="External"/><Relationship Id="rId233" Type="http://schemas.openxmlformats.org/officeDocument/2006/relationships/hyperlink" Target="https://www.ceeol.com/search/viewpdf?id=1125320" TargetMode="External"/><Relationship Id="rId254" Type="http://schemas.openxmlformats.org/officeDocument/2006/relationships/hyperlink" Target="https://scholar.google.com/citations?view_op=view_citation&amp;hl=en&amp;user=Qe7daL8AAAAJ&amp;pagesize=80&amp;citation_for_view=Qe7daL8AAAAJ:iH-uZ7U-co4C" TargetMode="External"/><Relationship Id="rId28" Type="http://schemas.openxmlformats.org/officeDocument/2006/relationships/hyperlink" Target="http://tede.bc.uepb.edu.br/jspui/bitstream/tede/4411/6/DS%20%E2%80%93%20Larissa%20Dias%20Rebou%C3%A7as.pdf" TargetMode="External"/><Relationship Id="rId49" Type="http://schemas.openxmlformats.org/officeDocument/2006/relationships/hyperlink" Target="http://www.ijsoc.goacademica.com/index.php/ijsoc/article/view/436" TargetMode="External"/><Relationship Id="rId114" Type="http://schemas.openxmlformats.org/officeDocument/2006/relationships/hyperlink" Target="https://doi.org/10.26092/elib/1602" TargetMode="External"/><Relationship Id="rId275" Type="http://schemas.openxmlformats.org/officeDocument/2006/relationships/hyperlink" Target="http://digital-library.ulbsibiu.ro/xmlui/handle/123456789/3247" TargetMode="External"/><Relationship Id="rId296" Type="http://schemas.openxmlformats.org/officeDocument/2006/relationships/hyperlink" Target="http://dspace.cibnor.mx:8080/handle/123456789/3117" TargetMode="External"/><Relationship Id="rId300" Type="http://schemas.openxmlformats.org/officeDocument/2006/relationships/hyperlink" Target="https://publisher.uthm.edu.my/periodicals/index.php/rpmme/article/view/3839" TargetMode="External"/><Relationship Id="rId60" Type="http://schemas.openxmlformats.org/officeDocument/2006/relationships/hyperlink" Target="https://assets.researchsquare.com/files/rs-2102453/v1/388157cd-bbb9-4b7e-818a-1a2078f6dec6.pdf?c=1676218474" TargetMode="External"/><Relationship Id="rId81" Type="http://schemas.openxmlformats.org/officeDocument/2006/relationships/hyperlink" Target="https://scholar.google.com/scholar?as_ylo=2022&amp;hl=ro&amp;as_sdt=2005&amp;sciodt=0,5&amp;cites=4294992597328546645&amp;scipsc=" TargetMode="External"/><Relationship Id="rId135" Type="http://schemas.openxmlformats.org/officeDocument/2006/relationships/hyperlink" Target="https://dsr.ju.edu.jo/djournals/index.php/Edu/article/view/703" TargetMode="External"/><Relationship Id="rId156" Type="http://schemas.openxmlformats.org/officeDocument/2006/relationships/hyperlink" Target="https://nopr.niscpr.res.in/handle/123456789/60453" TargetMode="External"/><Relationship Id="rId177" Type="http://schemas.openxmlformats.org/officeDocument/2006/relationships/hyperlink" Target="https://www.bja.gov.bt/wp-content/uploads/2022/04/008.pdf" TargetMode="External"/><Relationship Id="rId198" Type="http://schemas.openxmlformats.org/officeDocument/2006/relationships/hyperlink" Target="https://lup.lub.lu.se/luur/download?func=downloadFile&amp;recordOId=9087546&amp;fileOId=9087547" TargetMode="External"/><Relationship Id="rId321" Type="http://schemas.openxmlformats.org/officeDocument/2006/relationships/hyperlink" Target="https://journals.prz.edu.pl/amme/article/view/661" TargetMode="External"/><Relationship Id="rId342" Type="http://schemas.openxmlformats.org/officeDocument/2006/relationships/hyperlink" Target="http://digital-library.ulbsibiu.ro/jspui/bitstream/123456789/3379/1/2022-Rosca%20Nicolae%20Alexandru_ro.pdf" TargetMode="External"/><Relationship Id="rId363" Type="http://schemas.openxmlformats.org/officeDocument/2006/relationships/hyperlink" Target="http://digital-library.ulbsibiu.ro/xmlui/handle/123456789/3247" TargetMode="External"/><Relationship Id="rId202" Type="http://schemas.openxmlformats.org/officeDocument/2006/relationships/hyperlink" Target="http://www.ijsit.com/admin/ijsit_files/A%20COMPREHENSIVE%20GLOBAL%20ANALYSIS%20OF%20URBAN%20SPRAWL%20RESEARCH%20PRODUCTIVITY%20USING%20BIBLIOMETRIC%20ANALYSIS%20TOOLS_IJSIT_10.3.9.pdf" TargetMode="External"/><Relationship Id="rId223" Type="http://schemas.openxmlformats.org/officeDocument/2006/relationships/hyperlink" Target="https://dr.library.brocku.ca/bitstream/handle/10464/15742/Brock_Lloyd_Jackie_2022.pdf?sequence=1&amp;isAllowed=y" TargetMode="External"/><Relationship Id="rId244" Type="http://schemas.openxmlformats.org/officeDocument/2006/relationships/hyperlink" Target="https://journals.prz.edu.pl/amme/article/view/661" TargetMode="External"/><Relationship Id="rId18" Type="http://schemas.openxmlformats.org/officeDocument/2006/relationships/hyperlink" Target="http://www.ijsoc.goacademica.com/index.php/ijsoc/article/view/436" TargetMode="External"/><Relationship Id="rId39" Type="http://schemas.openxmlformats.org/officeDocument/2006/relationships/hyperlink" Target="https://scindeks.ceon.rs/Article.aspx?artid=1821-34488800042Gtrategic%20Management" TargetMode="External"/><Relationship Id="rId265" Type="http://schemas.openxmlformats.org/officeDocument/2006/relationships/hyperlink" Target="http://digital-library.ulbsibiu.ro/xmlui/handle/123456789/3247" TargetMode="External"/><Relationship Id="rId286" Type="http://schemas.openxmlformats.org/officeDocument/2006/relationships/hyperlink" Target="http://dgsa.uaeh.edu.mx:8080/jspui/handle/231104/2889" TargetMode="External"/><Relationship Id="rId50" Type="http://schemas.openxmlformats.org/officeDocument/2006/relationships/hyperlink" Target="https://repositorioaberto.uab.pt/handle/10400.2/13113" TargetMode="External"/><Relationship Id="rId104" Type="http://schemas.openxmlformats.org/officeDocument/2006/relationships/hyperlink" Target="http://digital-library.ulbsibiu.ro/jspui/bitstream/123456789/3379/1/2022-Rosca%20Nicolae%20Alexandru_ro.pdf" TargetMode="External"/><Relationship Id="rId125" Type="http://schemas.openxmlformats.org/officeDocument/2006/relationships/hyperlink" Target="https://www.ceeol.com/search/article-detail?id=1049439" TargetMode="External"/><Relationship Id="rId146" Type="http://schemas.openxmlformats.org/officeDocument/2006/relationships/hyperlink" Target="https://www.sciencedirect.com/science/article/abs/pii/S0956566322000690?casa_token=DSJHOC2LcnoAAAAA:v12pH1Jk3LrnwmfSuFx5N16O6EzK80VheWFKe3r0CnkV3CjBlqmVa3igR0oFpRBZMA_oBXgUMbw" TargetMode="External"/><Relationship Id="rId167" Type="http://schemas.openxmlformats.org/officeDocument/2006/relationships/hyperlink" Target="https://dk.upce.cz/handle/10195/79589" TargetMode="External"/><Relationship Id="rId188" Type="http://schemas.openxmlformats.org/officeDocument/2006/relationships/hyperlink" Target="https://link.springer.com/article/10.1007/s11235-022-00947-6" TargetMode="External"/><Relationship Id="rId311" Type="http://schemas.openxmlformats.org/officeDocument/2006/relationships/hyperlink" Target="https://www.sciencedirect.com/science/article/pii/S1474667016309259" TargetMode="External"/><Relationship Id="rId332" Type="http://schemas.openxmlformats.org/officeDocument/2006/relationships/hyperlink" Target="http://digital-library.ulbsibiu.ro/xmlui/handle/123456789/3247" TargetMode="External"/><Relationship Id="rId353" Type="http://schemas.openxmlformats.org/officeDocument/2006/relationships/hyperlink" Target="https://opus4.kobv.de/opus4-fau/frontdoor/index/index/docId/20139" TargetMode="External"/><Relationship Id="rId71" Type="http://schemas.openxmlformats.org/officeDocument/2006/relationships/hyperlink" Target="https://books.google.ro/books?hl=ro&amp;lr=&amp;id=YWZsEAAAQBAJ&amp;oi=fnd&amp;pg=PT10&amp;ots=SNh7V3K9lT&amp;sig=cmNFD6lnOUS2dqC3IFTgJV9-CQg&amp;redir_esc=y" TargetMode="External"/><Relationship Id="rId92" Type="http://schemas.openxmlformats.org/officeDocument/2006/relationships/hyperlink" Target="https://www.researchgate.net/publication/365469330_Pengaruh_Kepemimpinan_Kemampuan_Intelektual_dan_Lingkungan_Kerja_terhadap_Kinerja_Pegawai" TargetMode="External"/><Relationship Id="rId213" Type="http://schemas.openxmlformats.org/officeDocument/2006/relationships/hyperlink" Target="https://link.springer.com/chapter/10.1007/978-3-030-93547-4_3" TargetMode="External"/><Relationship Id="rId234" Type="http://schemas.openxmlformats.org/officeDocument/2006/relationships/hyperlink" Target="https://papers.ssrn.com/sol3/papers.cfm?abstract_id=4197657" TargetMode="External"/><Relationship Id="rId2" Type="http://schemas.openxmlformats.org/officeDocument/2006/relationships/hyperlink" Target="https://doi.org/10.21203/rs.3.rs-2158812/v1" TargetMode="External"/><Relationship Id="rId29" Type="http://schemas.openxmlformats.org/officeDocument/2006/relationships/hyperlink" Target="https://www.mdpi.com/2673-3994/3/4/39/htm" TargetMode="External"/><Relationship Id="rId255" Type="http://schemas.openxmlformats.org/officeDocument/2006/relationships/hyperlink" Target="http://digital-library.ulbsibiu.ro/xmlui/handle/123456789/3247" TargetMode="External"/><Relationship Id="rId276" Type="http://schemas.openxmlformats.org/officeDocument/2006/relationships/hyperlink" Target="https://www.proquest.com/openview/77b15db8e760237a6b36b8dc3da2faec/1?pq-origsite=gscholar&amp;cbl=2035956" TargetMode="External"/><Relationship Id="rId297" Type="http://schemas.openxmlformats.org/officeDocument/2006/relationships/hyperlink" Target="https://www.thepharmajournal.com/archives/2022/vol11issue3/PartR/11-3-172-371.pdf" TargetMode="External"/><Relationship Id="rId40" Type="http://schemas.openxmlformats.org/officeDocument/2006/relationships/hyperlink" Target="https://bcpublication.org/index.php/FSE/article/view/2229,%20bcpublication,%20Vol.%202%20No.%209%20(2022)" TargetMode="External"/><Relationship Id="rId115" Type="http://schemas.openxmlformats.org/officeDocument/2006/relationships/hyperlink" Target="https://www.proquest.com/openview/c0828e4a15fd10a5a9e1795a987c51c6/1?cbl=18750&amp;diss=y&amp;pq-origsite=gscholar&amp;parentSessionId=eUWNv%2FFmPeJcgsqe3r0xqwZxIppPwsKa3cde8HnLBe8%3D" TargetMode="External"/><Relationship Id="rId136" Type="http://schemas.openxmlformats.org/officeDocument/2006/relationships/hyperlink" Target="https://doi.org/10.24941/ijcr.42900.01.2022" TargetMode="External"/><Relationship Id="rId157" Type="http://schemas.openxmlformats.org/officeDocument/2006/relationships/hyperlink" Target="https://link.springer.com/chapter/10.1007/978-3-031-07067-9_15" TargetMode="External"/><Relationship Id="rId178" Type="http://schemas.openxmlformats.org/officeDocument/2006/relationships/hyperlink" Target="https://link.springer.com/chapter/10.1007/978-981-19-4522-9_1" TargetMode="External"/><Relationship Id="rId301" Type="http://schemas.openxmlformats.org/officeDocument/2006/relationships/hyperlink" Target="https://ieeexplore.ieee.org/abstract/document/10011588" TargetMode="External"/><Relationship Id="rId322" Type="http://schemas.openxmlformats.org/officeDocument/2006/relationships/hyperlink" Target="https://papers.ssrn.com/sol3/papers.cfm?abstract_id=4166387" TargetMode="External"/><Relationship Id="rId343" Type="http://schemas.openxmlformats.org/officeDocument/2006/relationships/hyperlink" Target="http://digital-library.ulbsibiu.ro/jspui/bitstream/123456789/3379/1/2022-Rosca%20Nicolae%20Alexandru_ro.pdf" TargetMode="External"/><Relationship Id="rId364" Type="http://schemas.openxmlformats.org/officeDocument/2006/relationships/hyperlink" Target="http://digital-library.ulbsibiu.ro/xmlui/handle/123456789/3247" TargetMode="External"/><Relationship Id="rId61" Type="http://schemas.openxmlformats.org/officeDocument/2006/relationships/hyperlink" Target="http://digital-library.ulbsibiu.ro/xmlui/handle/123456789/3369" TargetMode="External"/><Relationship Id="rId82" Type="http://schemas.openxmlformats.org/officeDocument/2006/relationships/hyperlink" Target="https://bradscholars.brad.ac.uk/handle/10454/17768" TargetMode="External"/><Relationship Id="rId199" Type="http://schemas.openxmlformats.org/officeDocument/2006/relationships/hyperlink" Target="https://tots.upol.cz/pdfs/tot/2022/03/04.pdf" TargetMode="External"/><Relationship Id="rId203" Type="http://schemas.openxmlformats.org/officeDocument/2006/relationships/hyperlink" Target="https://elibrary.ru/item.asp?id=48618724" TargetMode="External"/><Relationship Id="rId19" Type="http://schemas.openxmlformats.org/officeDocument/2006/relationships/hyperlink" Target="https://repositorioaberto.uab.pt/handle/10400.2/13113" TargetMode="External"/><Relationship Id="rId224" Type="http://schemas.openxmlformats.org/officeDocument/2006/relationships/hyperlink" Target="https://mediatum.ub.tum.de/doc/1638913/document.pdf" TargetMode="External"/><Relationship Id="rId245" Type="http://schemas.openxmlformats.org/officeDocument/2006/relationships/hyperlink" Target="https://scholar.google.ro/scholar?hl=ro&amp;as_sdt=0%2C5&amp;q=Parametric+effects+of+single+point+incremental+sheet+forming&amp;btnG=" TargetMode="External"/><Relationship Id="rId266" Type="http://schemas.openxmlformats.org/officeDocument/2006/relationships/hyperlink" Target="http://digital-library.ulbsibiu.ro/xmlui/handle/123456789/3247" TargetMode="External"/><Relationship Id="rId287" Type="http://schemas.openxmlformats.org/officeDocument/2006/relationships/hyperlink" Target="http://journals.uran.ua/sr_med/article/view/255487" TargetMode="External"/><Relationship Id="rId30" Type="http://schemas.openxmlformats.org/officeDocument/2006/relationships/hyperlink" Target="https://repositorio.ucv.edu.pe/bitstream/handle/20.500.12692/101990/Ram%C3%ADrez_RWO-SD.pdf?sequence=1" TargetMode="External"/><Relationship Id="rId105" Type="http://schemas.openxmlformats.org/officeDocument/2006/relationships/hyperlink" Target="http://digital-library.ulbsibiu.ro/jspui/bitstream/123456789/3379/1/2022-Rosca%20Nicolae%20Alexandru_ro.pdf" TargetMode="External"/><Relationship Id="rId126" Type="http://schemas.openxmlformats.org/officeDocument/2006/relationships/hyperlink" Target="https://amazoniainvestiga.info/index.php/amazonia/article/view/1910" TargetMode="External"/><Relationship Id="rId147" Type="http://schemas.openxmlformats.org/officeDocument/2006/relationships/hyperlink" Target="https://www.hindawi.com/journals/ecam/2022/2557952/" TargetMode="External"/><Relationship Id="rId168" Type="http://schemas.openxmlformats.org/officeDocument/2006/relationships/hyperlink" Target="https://ibn.idsi.md/vizualizare_articol/161891" TargetMode="External"/><Relationship Id="rId312" Type="http://schemas.openxmlformats.org/officeDocument/2006/relationships/hyperlink" Target="https://web.archive.org/web/20221020231350id_/https:/repositum.tuwien.at/bitstream/20.500.12708/81309/1/Kubr%20Ernst%20Martin%20-%202022%20-%20Entwicklung%20eines%20Antriebsmoduls%20fuer%20einen%20modular...pdf" TargetMode="External"/><Relationship Id="rId333" Type="http://schemas.openxmlformats.org/officeDocument/2006/relationships/hyperlink" Target="https://oldlib.jejunu.ac.kr/handle/2020.oak/24282" TargetMode="External"/><Relationship Id="rId354" Type="http://schemas.openxmlformats.org/officeDocument/2006/relationships/hyperlink" Target="https://journals.prz.edu.pl/amme/article/view/661" TargetMode="External"/><Relationship Id="rId51" Type="http://schemas.openxmlformats.org/officeDocument/2006/relationships/hyperlink" Target="https://www.researchgate.net/publication/361209114_Remapping_urban_heat_island_atlases_in_regenerative_cities" TargetMode="External"/><Relationship Id="rId72" Type="http://schemas.openxmlformats.org/officeDocument/2006/relationships/hyperlink" Target="https://www.ajol.info/index.php/gjds/article/view/234361" TargetMode="External"/><Relationship Id="rId93" Type="http://schemas.openxmlformats.org/officeDocument/2006/relationships/hyperlink" Target="https://www.ceeol.com/search/chapter-detail?id=1046887" TargetMode="External"/><Relationship Id="rId189" Type="http://schemas.openxmlformats.org/officeDocument/2006/relationships/hyperlink" Target="https://dergipark.org.tr/en/pub/fumbd/issue/72789/1118732" TargetMode="External"/><Relationship Id="rId3" Type="http://schemas.openxmlformats.org/officeDocument/2006/relationships/hyperlink" Target="https://www.academia.edu/download/47530231/Modern_Methods_of_Education_Research_and20160726-26887-hn8ld1.pdf" TargetMode="External"/><Relationship Id="rId214" Type="http://schemas.openxmlformats.org/officeDocument/2006/relationships/hyperlink" Target="https://link.springer.com/chapter/10.1007/978-3-031-14844-6_5" TargetMode="External"/><Relationship Id="rId235" Type="http://schemas.openxmlformats.org/officeDocument/2006/relationships/hyperlink" Target="https://scientiairanica.sharif.edu/article_22833.html" TargetMode="External"/><Relationship Id="rId256" Type="http://schemas.openxmlformats.org/officeDocument/2006/relationships/hyperlink" Target="https://repozitorium.omikk.bme.hu/bitstream/handle/10890/18714/ertekezes.pdf?sequence=2" TargetMode="External"/><Relationship Id="rId277" Type="http://schemas.openxmlformats.org/officeDocument/2006/relationships/hyperlink" Target="http://digital-library.ulbsibiu.ro/xmlui/handle/12345%206789/3247" TargetMode="External"/><Relationship Id="rId298" Type="http://schemas.openxmlformats.org/officeDocument/2006/relationships/hyperlink" Target="https://papers.ssrn.com/sol3/papers.cfm?abstract_id=4047977" TargetMode="External"/><Relationship Id="rId116" Type="http://schemas.openxmlformats.org/officeDocument/2006/relationships/hyperlink" Target="https://library.iated.org/view/MORARU2022IMP" TargetMode="External"/><Relationship Id="rId137" Type="http://schemas.openxmlformats.org/officeDocument/2006/relationships/hyperlink" Target="https://www.ceeol.com/search/article-detail?id=1062464" TargetMode="External"/><Relationship Id="rId158" Type="http://schemas.openxmlformats.org/officeDocument/2006/relationships/hyperlink" Target="https://www.atlantis-press.com/proceedings/icoposdev-21/125970400" TargetMode="External"/><Relationship Id="rId302" Type="http://schemas.openxmlformats.org/officeDocument/2006/relationships/hyperlink" Target="http://digital-library.ulbsibiu.ro/xmlui/handle/123456789/3247" TargetMode="External"/><Relationship Id="rId323" Type="http://schemas.openxmlformats.org/officeDocument/2006/relationships/hyperlink" Target="http://digital-library.ulbsibiu.ro/xmlui/handle/123456789/3247" TargetMode="External"/><Relationship Id="rId344" Type="http://schemas.openxmlformats.org/officeDocument/2006/relationships/hyperlink" Target="https://opus4.kobv.de/opus4-fau/frontdoor/index/index/docId/20139" TargetMode="External"/><Relationship Id="rId20" Type="http://schemas.openxmlformats.org/officeDocument/2006/relationships/hyperlink" Target="https://iopscience.iop.org/article/10.1088/1757-899X/1235/1/012014/meta" TargetMode="External"/><Relationship Id="rId41" Type="http://schemas.openxmlformats.org/officeDocument/2006/relationships/hyperlink" Target="https://www.conference.ase.ro/wp-content/uploads/2022/06/22042_Final.pdf" TargetMode="External"/><Relationship Id="rId62" Type="http://schemas.openxmlformats.org/officeDocument/2006/relationships/hyperlink" Target="https://scholar.google.com/scholar?oi=bibs&amp;hl=ro&amp;cites=3419980343059901740" TargetMode="External"/><Relationship Id="rId83" Type="http://schemas.openxmlformats.org/officeDocument/2006/relationships/hyperlink" Target="https://scholar.google.com/scholar?as_ylo=2022&amp;hl=ro&amp;as_sdt=2005&amp;sciodt=0,5&amp;cites=8725056239917561768&amp;scipsc=" TargetMode="External"/><Relationship Id="rId179" Type="http://schemas.openxmlformats.org/officeDocument/2006/relationships/hyperlink" Target="https://www.bja.gov.bt/wp-content/uploads/2022/04/008.pdf" TargetMode="External"/><Relationship Id="rId365" Type="http://schemas.openxmlformats.org/officeDocument/2006/relationships/hyperlink" Target="https://www.sciencedirect.com/science/article/pii/S1877050916313643" TargetMode="External"/><Relationship Id="rId190" Type="http://schemas.openxmlformats.org/officeDocument/2006/relationships/hyperlink" Target="https://ictactjournals.in/paper/ijsc_vol_12_iss_2_paper_2_2533_2539.pdf" TargetMode="External"/><Relationship Id="rId204" Type="http://schemas.openxmlformats.org/officeDocument/2006/relationships/hyperlink" Target="https://ojs.stiami.ac.id/index.php/transparansi/article/view/2265" TargetMode="External"/><Relationship Id="rId225" Type="http://schemas.openxmlformats.org/officeDocument/2006/relationships/hyperlink" Target="https://link.springer.com/chapter/10.1007/978-3-031-17254-0_3" TargetMode="External"/><Relationship Id="rId246" Type="http://schemas.openxmlformats.org/officeDocument/2006/relationships/hyperlink" Target="https://journals.prz.edu.pl/amme/article/view/661" TargetMode="External"/><Relationship Id="rId267" Type="http://schemas.openxmlformats.org/officeDocument/2006/relationships/hyperlink" Target="https://sciendo.com/it/article/10.2478/aucts-2022-0004" TargetMode="External"/><Relationship Id="rId288" Type="http://schemas.openxmlformats.org/officeDocument/2006/relationships/hyperlink" Target="https://www.nuozu.edu.ua/zagruzka2/DrAr/vidg1_Mamedov.pdf" TargetMode="External"/><Relationship Id="rId106" Type="http://schemas.openxmlformats.org/officeDocument/2006/relationships/hyperlink" Target="https://web.p.ebscohost.com/abstract?direct=true&amp;profile=ehost&amp;scope=site&amp;authtype=crawler&amp;jrnl=18424856&amp;AN=160974480&amp;h=0EsdxqqabxZqenysDFQLdLH%2b8Apt4p9zLtZn0Q6sqW78yciCLIB420e3FuThy8FTDwP9jr7Os2hZ3hanmYyUmA%3d%3d&amp;crl=c&amp;resultNs=AdminWebAuth&amp;resultLocal=ErrCrlNotAuth&amp;crlhashurl=login.aspx%3fdirect%3dtrue%26profile%3dehost%26scope%3dsite%26authtype%3dcrawler%26jrnl%3d18424856%26AN%3d160974480" TargetMode="External"/><Relationship Id="rId127" Type="http://schemas.openxmlformats.org/officeDocument/2006/relationships/hyperlink" Target="https://www.bio-conferences.org/articles/bioconf/abs/2022/13/bioconf_icophtcd2022_00006/bioconf_icophtcd2022_00006.html" TargetMode="External"/><Relationship Id="rId313" Type="http://schemas.openxmlformats.org/officeDocument/2006/relationships/hyperlink" Target="https://scholar.google.ro/scholar?hl=ro&amp;as_sdt=0%2C5&amp;q=Parametric+effects+of+single+point+incremental+sheet+forming&amp;btnG=" TargetMode="External"/><Relationship Id="rId10" Type="http://schemas.openxmlformats.org/officeDocument/2006/relationships/hyperlink" Target="https://www.researchgate.net/profile/Dr-Khushboo-Sharma/publication/359336587_Sodhsamits_Research_Paper/links/623556425b303e5c5aa7b4f0/Sodhsamits-Research-Paper.pdf" TargetMode="External"/><Relationship Id="rId31" Type="http://schemas.openxmlformats.org/officeDocument/2006/relationships/hyperlink" Target="https://hrcak.srce.hr/en/clanak/414242" TargetMode="External"/><Relationship Id="rId52" Type="http://schemas.openxmlformats.org/officeDocument/2006/relationships/hyperlink" Target="https://wasteadvantagemag.com/international-comparative-study-on-municipal-waste-management-situations-between-kuala-lumpur-and-dhaka-city-in-asia/" TargetMode="External"/><Relationship Id="rId73" Type="http://schemas.openxmlformats.org/officeDocument/2006/relationships/hyperlink" Target="https://cyberleninka.ru/article/n/ot-berezhlivogo-proizvodstva-k-berezhlivomu-gosudarstvu-evolyutsiya-predstavleniy-o-berezhlivom-upravlenii" TargetMode="External"/><Relationship Id="rId94" Type="http://schemas.openxmlformats.org/officeDocument/2006/relationships/hyperlink" Target="https://acikerisim.sakarya.edu.tr/handle/20.500.12619/98470" TargetMode="External"/><Relationship Id="rId148" Type="http://schemas.openxmlformats.org/officeDocument/2006/relationships/hyperlink" Target="https://wjarr.com/content/modelling-kinetics-adsorption-gold-i-cyanide-complex-ion-active-carbons-prepared-parinari" TargetMode="External"/><Relationship Id="rId169" Type="http://schemas.openxmlformats.org/officeDocument/2006/relationships/hyperlink" Target="https://aip.scitation.org/doi/abs/10.1063/5.0074564" TargetMode="External"/><Relationship Id="rId334" Type="http://schemas.openxmlformats.org/officeDocument/2006/relationships/hyperlink" Target="http://digital-library.ulbsibiu.ro/xmlui/handle/123456789/3247" TargetMode="External"/><Relationship Id="rId355" Type="http://schemas.openxmlformats.org/officeDocument/2006/relationships/hyperlink" Target="http://digital-library.ulbsibiu.ro/xmlui/handle/123456789/3247" TargetMode="External"/><Relationship Id="rId4" Type="http://schemas.openxmlformats.org/officeDocument/2006/relationships/hyperlink" Target="https://doi.org/10.35814/janata.v2i1.3544" TargetMode="External"/><Relationship Id="rId180" Type="http://schemas.openxmlformats.org/officeDocument/2006/relationships/hyperlink" Target="https://www.researchgate.net/profile/Mayowa-Olokun/publication/361998951_Development_of_an_ESP-32_Microcontroller_Based_Weather_Reporting_Device/links/62d2e5f8d351bd24f51c2555/Development-of-an-ESP-32-Microcontroller-Based-Weather-Reporting-Device.pdf" TargetMode="External"/><Relationship Id="rId215" Type="http://schemas.openxmlformats.org/officeDocument/2006/relationships/hyperlink" Target="https://qjoest.com/index.php/qjoest/article/view/79" TargetMode="External"/><Relationship Id="rId236" Type="http://schemas.openxmlformats.org/officeDocument/2006/relationships/hyperlink" Target="https://ictactjournals.in/paper/IJSC_Vol_13_Iss_1_Paper_1_2741_2749.pdf" TargetMode="External"/><Relationship Id="rId257" Type="http://schemas.openxmlformats.org/officeDocument/2006/relationships/hyperlink" Target="https://sciendo.com/it/article/10.2478/aucts-2022-0004" TargetMode="External"/><Relationship Id="rId278" Type="http://schemas.openxmlformats.org/officeDocument/2006/relationships/hyperlink" Target="https://web.s.ebscohost.com/abstract?direct=true&amp;profile=ehost&amp;scope=site&amp;authtype=crawler&amp;jrnl=0047651X&amp;AN=158659325&amp;h=M91kz9JFyIxIxNUjFoOM7gqJXSf5k%2bIYHuOHoAWdyJEiEi03w4dvi75Adh9HRmK%2b%2f48zMgqU61zHilX%2fAHE46g%3d%3d&amp;crl=c&amp;resultNs=AdminWebAuth&amp;resultLocal=ErrCrlNotAuth&amp;crlhashurl=login.aspx%3fdirect%3dtrue%26profile%3dehost%26scope%3dsite%26authtype%3dcrawler%26jrnl%3d0047651X%26AN%3d158659325" TargetMode="External"/><Relationship Id="rId303" Type="http://schemas.openxmlformats.org/officeDocument/2006/relationships/hyperlink" Target="http://digital-library.ulbsibiu.ro/xmlui/handle/123456789/3247" TargetMode="External"/><Relationship Id="rId42" Type="http://schemas.openxmlformats.org/officeDocument/2006/relationships/hyperlink" Target="https://www.cambridge.org/core/journals/global-sustainability/article/strategies-to-improve-sustainability-an-analysis-of-120-microenterprises-in-an-emerging-economy/8271778F3CDF695F13B2D5B2AD1895E2" TargetMode="External"/><Relationship Id="rId84" Type="http://schemas.openxmlformats.org/officeDocument/2006/relationships/hyperlink" Target="https://link.springer.com/chapter/10.1007/978-3-030-82751-9_6" TargetMode="External"/><Relationship Id="rId138" Type="http://schemas.openxmlformats.org/officeDocument/2006/relationships/hyperlink" Target="https://repozytorium.bg.ug.edu.pl/info/article/UOGc175002f91ff4fd6a2968ef63eaf88e6/" TargetMode="External"/><Relationship Id="rId345" Type="http://schemas.openxmlformats.org/officeDocument/2006/relationships/hyperlink" Target="https://journals.prz.edu.pl/amme/article/view/661" TargetMode="External"/><Relationship Id="rId191" Type="http://schemas.openxmlformats.org/officeDocument/2006/relationships/hyperlink" Target="https://www.authorea.com/users/518360/articles/592543-a-hybrid-cnn-bilstm-with-am-model-to-predict-and-estimate-load-harmonics-at-nestle-east-london-south-africa" TargetMode="External"/><Relationship Id="rId205" Type="http://schemas.openxmlformats.org/officeDocument/2006/relationships/hyperlink" Target="https://link.springer.com/chapter/10.1007/978-3-030-75945-2_15" TargetMode="External"/><Relationship Id="rId247" Type="http://schemas.openxmlformats.org/officeDocument/2006/relationships/hyperlink" Target="https://iopscience.iop.org/article/10.1088/1757-899X/1268/1/012005" TargetMode="External"/><Relationship Id="rId107" Type="http://schemas.openxmlformats.org/officeDocument/2006/relationships/hyperlink" Target="http://digital-library.ulbsibiu.ro/jspui/bitstream/123456789/3379/1/2022-Rosca%20Nicolae%20Alexandru_ro.pdf" TargetMode="External"/><Relationship Id="rId289" Type="http://schemas.openxmlformats.org/officeDocument/2006/relationships/hyperlink" Target="http://ir.nuozu.edu.ua:8080/bitstream/lib/4109/1/%D0%94%D0%B8%D1%81%D0%B5%D1%80%D1%82%D0%B0%D1%86i%D1%8F%20%D0%97%D0%B0%D0%B2%D0%B5%D1%80%D1%82%D0%B8%D0%BB%D0%B5%D0%BD%D0%BA%D0%BE%20%281%29.pdf" TargetMode="External"/><Relationship Id="rId11" Type="http://schemas.openxmlformats.org/officeDocument/2006/relationships/hyperlink" Target="https://www.jopafl.com/uploads/issue25/issue.pdf" TargetMode="External"/><Relationship Id="rId53" Type="http://schemas.openxmlformats.org/officeDocument/2006/relationships/hyperlink" Target="https://www.proquest.com/openview/4a966b64d8aca9dd144076223a9471f6/1?pq-origsite=gscholar&amp;cbl=18750&amp;diss=y" TargetMode="External"/><Relationship Id="rId149" Type="http://schemas.openxmlformats.org/officeDocument/2006/relationships/hyperlink" Target="https://assets.researchsquare.com/files/rs-2126392/v1/307eb0dd-9814-480f-8fb0-c5f6b719c2e3.pdf?c=1665490489" TargetMode="External"/><Relationship Id="rId314" Type="http://schemas.openxmlformats.org/officeDocument/2006/relationships/hyperlink" Target="https://journals.prz.edu.pl/amme/article/view/661" TargetMode="External"/><Relationship Id="rId356" Type="http://schemas.openxmlformats.org/officeDocument/2006/relationships/hyperlink" Target="https://repozitorium.omikk.bme.hu/bitstream/handle/10890/18714/ertekezes.pdf?sequence=2" TargetMode="External"/><Relationship Id="rId95" Type="http://schemas.openxmlformats.org/officeDocument/2006/relationships/hyperlink" Target="https://www.proquest.com/openview/0fa79cdda1f594646ed60597b8214d04/1?pq-origsite=gscholar&amp;cbl=18750&amp;diss=y" TargetMode="External"/><Relationship Id="rId160" Type="http://schemas.openxmlformats.org/officeDocument/2006/relationships/hyperlink" Target="https://journals.sagepub.com/doi/abs/10.1177/09544089221141554" TargetMode="External"/><Relationship Id="rId216" Type="http://schemas.openxmlformats.org/officeDocument/2006/relationships/hyperlink" Target="https://aisel.aisnet.org/isd2014/proceedings2022/knowledge/1/" TargetMode="External"/><Relationship Id="rId258" Type="http://schemas.openxmlformats.org/officeDocument/2006/relationships/hyperlink" Target="http://digital-library.ulbsibiu.ro/xmlui/handle/123456789/3247" TargetMode="External"/><Relationship Id="rId22" Type="http://schemas.openxmlformats.org/officeDocument/2006/relationships/hyperlink" Target="http://www.upt.ro/img/files/2021-2022/doctorat/teze/rezumat_teza/Simionescu_Rezumat_teza_en.pdf" TargetMode="External"/><Relationship Id="rId64" Type="http://schemas.openxmlformats.org/officeDocument/2006/relationships/hyperlink" Target="https://europepmc.org/article/med/36543672" TargetMode="External"/><Relationship Id="rId118" Type="http://schemas.openxmlformats.org/officeDocument/2006/relationships/hyperlink" Target="https://www.konference.fbm.vutbr.cz/workshop/useruploads/files/sbornik/sbornik_workshopu_2022.pdf" TargetMode="External"/><Relationship Id="rId325" Type="http://schemas.openxmlformats.org/officeDocument/2006/relationships/hyperlink" Target="https://journalppw.com/index.php/jpsp/article/view/7951" TargetMode="External"/><Relationship Id="rId367" Type="http://schemas.openxmlformats.org/officeDocument/2006/relationships/hyperlink" Target="https://www.mdpi.com/641008" TargetMode="External"/><Relationship Id="rId171" Type="http://schemas.openxmlformats.org/officeDocument/2006/relationships/hyperlink" Target="https://books.google.ro/books?lr=&amp;hl=ro&amp;id=nAqCEAAAQBAJ&amp;q=%22Bogdan%2C+M%22" TargetMode="External"/><Relationship Id="rId227" Type="http://schemas.openxmlformats.org/officeDocument/2006/relationships/hyperlink" Target="https://d197for5662m48.cloudfront.net/documents/publicationstatus/92802/preprint_pdf/e09015ff3ac5b84baeb263b45d3de630.pdf" TargetMode="External"/><Relationship Id="rId269" Type="http://schemas.openxmlformats.org/officeDocument/2006/relationships/hyperlink" Target="https://repozitorium.omikk.bme.hu/bitstream/handle/10890/18714/ertekezes.pdf?sequence=2" TargetMode="External"/><Relationship Id="rId33" Type="http://schemas.openxmlformats.org/officeDocument/2006/relationships/hyperlink" Target="https://www.utgjiu.ro/rev_ing/?page=curent&amp;nr=2022-4" TargetMode="External"/><Relationship Id="rId129" Type="http://schemas.openxmlformats.org/officeDocument/2006/relationships/hyperlink" Target="https://link.springer.com/chapter/10.1007/978-981-16-8954-3_40" TargetMode="External"/><Relationship Id="rId280" Type="http://schemas.openxmlformats.org/officeDocument/2006/relationships/hyperlink" Target="https://issuu.com/ajsccr.com/docs/img_46815" TargetMode="External"/><Relationship Id="rId336" Type="http://schemas.openxmlformats.org/officeDocument/2006/relationships/hyperlink" Target="http://digital-library.ulbsibiu.ro/xmlui/handle/123456789/3247" TargetMode="External"/><Relationship Id="rId75" Type="http://schemas.openxmlformats.org/officeDocument/2006/relationships/hyperlink" Target="https://thesis.cust.edu.pk/UploadedFiles/Aown%20Muhammad%20-%20MCE193002.pdf" TargetMode="External"/><Relationship Id="rId140" Type="http://schemas.openxmlformats.org/officeDocument/2006/relationships/hyperlink" Target="http://jiems.icms.ac.ir/article_138866_ef88a96bab9ae2777c588ab71c247642.pdf" TargetMode="External"/><Relationship Id="rId182" Type="http://schemas.openxmlformats.org/officeDocument/2006/relationships/hyperlink" Target="https://rsm.kashanu.ac.ir/article_112210_en.html?lang=fa" TargetMode="External"/><Relationship Id="rId6" Type="http://schemas.openxmlformats.org/officeDocument/2006/relationships/hyperlink" Target="http://repository.unj.ac.id/35414/7/DAFTAR%20PUSTAKA.pdf" TargetMode="External"/><Relationship Id="rId238" Type="http://schemas.openxmlformats.org/officeDocument/2006/relationships/hyperlink" Target="https://opus.bibliothek.uni-wuerzburg.de/frontdoor/index/index/docId/27228" TargetMode="External"/><Relationship Id="rId291" Type="http://schemas.openxmlformats.org/officeDocument/2006/relationships/hyperlink" Target="https://theses.hal.science/tel-04030486/" TargetMode="External"/><Relationship Id="rId305" Type="http://schemas.openxmlformats.org/officeDocument/2006/relationships/hyperlink" Target="https://scholar.google.com/citations?view_op=view_citation&amp;hl=en&amp;user=aYMjNncAAAAJ&amp;sortby=pubdate&amp;citation_for_view=aYMjNncAAAAJ:W7OEmFMy1HYC" TargetMode="External"/><Relationship Id="rId347" Type="http://schemas.openxmlformats.org/officeDocument/2006/relationships/hyperlink" Target="http://digital-library.ulbsibiu.ro/jspui/bitstream/123456789/3379/1/2022-Rosca%20Nicolae%20Alexandru_ro.pdf" TargetMode="External"/><Relationship Id="rId44" Type="http://schemas.openxmlformats.org/officeDocument/2006/relationships/hyperlink" Target="https://ideas.repec.org/a/cbu/jrnlec/y2022v4p137-145.html" TargetMode="External"/><Relationship Id="rId86" Type="http://schemas.openxmlformats.org/officeDocument/2006/relationships/hyperlink" Target="https://scholar.google.com/scholar?as_ylo=2022&amp;hl=ro&amp;as_sdt=2005&amp;sciodt=0,5&amp;cites=2601220005368910480&amp;scipsc=" TargetMode="External"/><Relationship Id="rId151" Type="http://schemas.openxmlformats.org/officeDocument/2006/relationships/hyperlink" Target="https://books.google.ro/books?hl=ro&amp;lr=&amp;id=2ze8DwAAQBAJ&amp;oi=fnd&amp;pg=PA104&amp;ots=vyIOiC-IBG&amp;sig=H9TdEgIXHvoW3zNValnIZ1jyFnU&amp;redir_esc=y" TargetMode="External"/><Relationship Id="rId193" Type="http://schemas.openxmlformats.org/officeDocument/2006/relationships/hyperlink" Target="https://ictactjournals.in/paper/ijsc_vol_12_iss_2_paper_2_2533_2539.pdf" TargetMode="External"/><Relationship Id="rId207" Type="http://schemas.openxmlformats.org/officeDocument/2006/relationships/hyperlink" Target="https://assets.researchsquare.com/files/rs-2102453/v1/388157cd-bbb9-4b7e-818a-1a2078f6dec6.pdf?c=1676218474" TargetMode="External"/><Relationship Id="rId249" Type="http://schemas.openxmlformats.org/officeDocument/2006/relationships/hyperlink" Target="https://www.proquest.com/docview/2765803007/5687F976D2604F76PQ/2?accountid=8083" TargetMode="External"/><Relationship Id="rId13" Type="http://schemas.openxmlformats.org/officeDocument/2006/relationships/hyperlink" Target="https://pure.tue.nl/ws/portalfiles/portal/215278050/Master_Thesis_HTI_Evie_Tossaint.pdf" TargetMode="External"/><Relationship Id="rId109" Type="http://schemas.openxmlformats.org/officeDocument/2006/relationships/hyperlink" Target="https://www.emerald.com/insight/content/doi/10.1108/RPJ-01-2021-0013/full/html" TargetMode="External"/><Relationship Id="rId260" Type="http://schemas.openxmlformats.org/officeDocument/2006/relationships/hyperlink" Target="https://www.sciencedirect.com/science/article/pii/S1474667016309259" TargetMode="External"/><Relationship Id="rId316" Type="http://schemas.openxmlformats.org/officeDocument/2006/relationships/hyperlink" Target="https://www.researchgate.net/profile/Fernando-Pavez/publication/366962196_Regenerative_Design_Performance_assessment_a_critical_review/links/63ca02d46fe15d6a5731f938/Regenerative-Design-Performance-assessment-a-critical-review.pdf" TargetMode="External"/><Relationship Id="rId55" Type="http://schemas.openxmlformats.org/officeDocument/2006/relationships/hyperlink" Target="https://www.igi-global.com/chapter/academic-library-innovation-through-a-business-model-canvas-lens/306426" TargetMode="External"/><Relationship Id="rId97" Type="http://schemas.openxmlformats.org/officeDocument/2006/relationships/hyperlink" Target="https://www.konference.fbm.vutbr.cz/workshop/useruploads/files/sbornik/sbornik_workshopu_2022.pdf" TargetMode="External"/><Relationship Id="rId120" Type="http://schemas.openxmlformats.org/officeDocument/2006/relationships/hyperlink" Target="https://journals.iqra.edu.pk/AJEST/Issue1-22/Article12/AJEST12102.pdf" TargetMode="External"/><Relationship Id="rId358" Type="http://schemas.openxmlformats.org/officeDocument/2006/relationships/hyperlink" Target="https://www.sciencedirect.com/science/article/pii/S1474667016309259" TargetMode="External"/><Relationship Id="rId162" Type="http://schemas.openxmlformats.org/officeDocument/2006/relationships/hyperlink" Target="https://journals.qurtuba.edu.pk/ojs/index.php/jms/article/view/436" TargetMode="External"/><Relationship Id="rId218" Type="http://schemas.openxmlformats.org/officeDocument/2006/relationships/hyperlink" Target="https://www.intechopen.com/chapters/83490" TargetMode="External"/><Relationship Id="rId271" Type="http://schemas.openxmlformats.org/officeDocument/2006/relationships/hyperlink" Target="https://incose.onlinelibrary.wiley.com/doi/abs/10.1002/iis2.12971" TargetMode="External"/><Relationship Id="rId24" Type="http://schemas.openxmlformats.org/officeDocument/2006/relationships/hyperlink" Target="https://www.mdpi.com/2673-7167/2/1/3" TargetMode="External"/><Relationship Id="rId66" Type="http://schemas.openxmlformats.org/officeDocument/2006/relationships/hyperlink" Target="https://digital-library.theiet.org/content/conferences/10.1049/icp.2022.2985" TargetMode="External"/><Relationship Id="rId131" Type="http://schemas.openxmlformats.org/officeDocument/2006/relationships/hyperlink" Target="https://dk.um.si/IzpisGradiva.php?id=82145" TargetMode="External"/><Relationship Id="rId327" Type="http://schemas.openxmlformats.org/officeDocument/2006/relationships/hyperlink" Target="http://digital-library.ulbsibiu.ro/xmlui/handle/123456789/3247" TargetMode="External"/><Relationship Id="rId369" Type="http://schemas.openxmlformats.org/officeDocument/2006/relationships/hyperlink" Target="https://www.matec-conferences.org/articles/matecconf/abs/2017/51/matecconf_mtem2017_04003/matecconf_mtem2017_04003.html" TargetMode="External"/><Relationship Id="rId173" Type="http://schemas.openxmlformats.org/officeDocument/2006/relationships/hyperlink" Target="http://dspace.nm-aist.ac.tz/bitstream/handle/20.500.12479/1590/MSc_EMoS_Hamisi_Msimbe_2022.pdf?sequence=1&amp;isAllowed=y" TargetMode="External"/><Relationship Id="rId229" Type="http://schemas.openxmlformats.org/officeDocument/2006/relationships/hyperlink" Target="https://www.sciencedirect.com/science/article/pii/S0920410522010142?casa_token=_75x4T-bmkAAAAAA:D_UZerax5tnqjfrovftNDRQ9fZQBBcggkylmPhSYiV2cAy37mdSc_0xOAl8B2JHh7w8AtSM" TargetMode="External"/><Relationship Id="rId240" Type="http://schemas.openxmlformats.org/officeDocument/2006/relationships/hyperlink" Target="https://www.znrfak.ni.ac.rs/SE-Journal/Archive/SE-Web%20Journal%20-%20Vol11-2/PDF/07-Niklola_Krstic.pdf" TargetMode="External"/><Relationship Id="rId35" Type="http://schemas.openxmlformats.org/officeDocument/2006/relationships/hyperlink" Target="https://repositorio.ucv.edu.pe/bitstream/handle/20.500.12692/105414/Rojas_GJL-SD.pdf?sequence=1" TargetMode="External"/><Relationship Id="rId77" Type="http://schemas.openxmlformats.org/officeDocument/2006/relationships/hyperlink" Target="https://uvadoc.uva.es/handle/10324/55719" TargetMode="External"/><Relationship Id="rId100" Type="http://schemas.openxmlformats.org/officeDocument/2006/relationships/hyperlink" Target="https://doi.org/10.1117/12.2646533" TargetMode="External"/><Relationship Id="rId282" Type="http://schemas.openxmlformats.org/officeDocument/2006/relationships/hyperlink" Target="http://digital-library.ulbsibiu.ro/xmlui/handle/12345%206789/3247" TargetMode="External"/><Relationship Id="rId338" Type="http://schemas.openxmlformats.org/officeDocument/2006/relationships/hyperlink" Target="https://repozitorium.omikk.bme.hu/bitstream/handle/10890/18714/ertekezes.pdf?sequence=2" TargetMode="External"/><Relationship Id="rId8" Type="http://schemas.openxmlformats.org/officeDocument/2006/relationships/hyperlink" Target="https://indianjournalofmarketing.com/index.php/tcsj/article/view/169683" TargetMode="External"/><Relationship Id="rId142" Type="http://schemas.openxmlformats.org/officeDocument/2006/relationships/hyperlink" Target="https://ojs.ual.es/ojs/index.php/eea/article/view/4671" TargetMode="External"/><Relationship Id="rId184" Type="http://schemas.openxmlformats.org/officeDocument/2006/relationships/hyperlink" Target="http://repositorio.uan.edu.co/handle/123456789/7162" TargetMode="External"/><Relationship Id="rId251" Type="http://schemas.openxmlformats.org/officeDocument/2006/relationships/hyperlink" Target="https://www.proquest.com/openview/77b15db8e760237a6b36b8dc3da2faec/1?pq-origsite=gscholar&amp;cbl=2035956" TargetMode="External"/><Relationship Id="rId46" Type="http://schemas.openxmlformats.org/officeDocument/2006/relationships/hyperlink" Target="https://www.tandfonline.com/doi/abs/10.1080/10978526.2022.2026782" TargetMode="External"/><Relationship Id="rId293" Type="http://schemas.openxmlformats.org/officeDocument/2006/relationships/hyperlink" Target="https://repositorium.sdum.uminho.pt/handle/1822/83752" TargetMode="External"/><Relationship Id="rId307" Type="http://schemas.openxmlformats.org/officeDocument/2006/relationships/hyperlink" Target="https://scholar.google.com/citations?view_op=view_citation&amp;hl=en&amp;user=Qe7daL8AAAAJ&amp;pagesize=80&amp;citation_for_view=Qe7daL8AAAAJ:iH-uZ7U-co4C" TargetMode="External"/><Relationship Id="rId349" Type="http://schemas.openxmlformats.org/officeDocument/2006/relationships/hyperlink" Target="https://journalppw.com/index.php/jpsp/article/view/7951" TargetMode="External"/><Relationship Id="rId88" Type="http://schemas.openxmlformats.org/officeDocument/2006/relationships/hyperlink" Target="https://scholar.google.com/scholar?as_ylo=2022&amp;hl=ro&amp;as_sdt=2005&amp;sciodt=0,5&amp;cites=5325202550929249068,13839643207499200416&amp;scipsc=" TargetMode="External"/><Relationship Id="rId111" Type="http://schemas.openxmlformats.org/officeDocument/2006/relationships/hyperlink" Target="https://ascelibrary.org/doi/abs/10.1061/(ASCE)ME.1943-5479.0001004" TargetMode="External"/><Relationship Id="rId153" Type="http://schemas.openxmlformats.org/officeDocument/2006/relationships/hyperlink" Target="https://eijssa.journals.ekb.eg/article_278965.html" TargetMode="External"/><Relationship Id="rId195" Type="http://schemas.openxmlformats.org/officeDocument/2006/relationships/hyperlink" Target="https://hrcak.srce.hr/275736" TargetMode="External"/><Relationship Id="rId209" Type="http://schemas.openxmlformats.org/officeDocument/2006/relationships/hyperlink" Target="https://pubs.aip.org/aip/acp/article-abstract/2644/1/030035/2831440/A-new-approach-in-developing-a-software?redirectedFrom=fulltext" TargetMode="External"/><Relationship Id="rId360" Type="http://schemas.openxmlformats.org/officeDocument/2006/relationships/hyperlink" Target="https://openarchive.nure.ua/items/320d8462-4206-480f-ba14-75e1bfff9f34" TargetMode="External"/><Relationship Id="rId220" Type="http://schemas.openxmlformats.org/officeDocument/2006/relationships/hyperlink" Target="https://www.authorea.com/users/518360/articles/592543-a-hybrid-cnn-bilstm-with-am-model-to-predict-and-estimate-load-harmonics-at-nestle-east-london-south-africa"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atna-mam.utcluj.ro/index.php/Acta/issue/view/65" TargetMode="External"/><Relationship Id="rId21" Type="http://schemas.openxmlformats.org/officeDocument/2006/relationships/hyperlink" Target="https://www.mdpi.com/journal/ijerph/editors" TargetMode="External"/><Relationship Id="rId63" Type="http://schemas.openxmlformats.org/officeDocument/2006/relationships/hyperlink" Target="https://www.mdpi.com/journal/polymers" TargetMode="External"/><Relationship Id="rId159" Type="http://schemas.openxmlformats.org/officeDocument/2006/relationships/hyperlink" Target="http://www.davidpublisher.com/index.php/Home/Journal/detail?journalid=44&amp;jx=ps&amp;cont=editorial" TargetMode="External"/><Relationship Id="rId170" Type="http://schemas.openxmlformats.org/officeDocument/2006/relationships/hyperlink" Target="https://www.mdpi.com/journal/coatings" TargetMode="External"/><Relationship Id="rId226" Type="http://schemas.openxmlformats.org/officeDocument/2006/relationships/hyperlink" Target="http://www.inderscience.com/" TargetMode="External"/><Relationship Id="rId268" Type="http://schemas.openxmlformats.org/officeDocument/2006/relationships/hyperlink" Target="https://www.mdpi.com/journal/materials/editors" TargetMode="External"/><Relationship Id="rId32" Type="http://schemas.openxmlformats.org/officeDocument/2006/relationships/hyperlink" Target="https://www.mdpi.com/journal/materials" TargetMode="External"/><Relationship Id="rId74" Type="http://schemas.openxmlformats.org/officeDocument/2006/relationships/hyperlink" Target="https://www.sciencedirect.com/journal/journal-of-environmental-chemical-engineering" TargetMode="External"/><Relationship Id="rId128" Type="http://schemas.openxmlformats.org/officeDocument/2006/relationships/hyperlink" Target="https://www.mdpi.com/journal/energies" TargetMode="External"/><Relationship Id="rId5" Type="http://schemas.openxmlformats.org/officeDocument/2006/relationships/hyperlink" Target="https://www.mdpi.com/journal/processes" TargetMode="External"/><Relationship Id="rId181" Type="http://schemas.openxmlformats.org/officeDocument/2006/relationships/hyperlink" Target="https://www.springer.com/journal/138" TargetMode="External"/><Relationship Id="rId237" Type="http://schemas.openxmlformats.org/officeDocument/2006/relationships/hyperlink" Target="https://journaljpri.com/index.php/JPRI" TargetMode="External"/><Relationship Id="rId279" Type="http://schemas.openxmlformats.org/officeDocument/2006/relationships/hyperlink" Target="https://sciendo.com/journal/AUCTS?tab=editorial-board" TargetMode="External"/><Relationship Id="rId43" Type="http://schemas.openxmlformats.org/officeDocument/2006/relationships/hyperlink" Target="https://www.mdpi.com/journal/sustainability" TargetMode="External"/><Relationship Id="rId139" Type="http://schemas.openxmlformats.org/officeDocument/2006/relationships/hyperlink" Target="https://www.mdpi.com/journal/smartcities" TargetMode="External"/><Relationship Id="rId290" Type="http://schemas.openxmlformats.org/officeDocument/2006/relationships/hyperlink" Target="https://www.mdpi.com/journal/sensors" TargetMode="External"/><Relationship Id="rId85" Type="http://schemas.openxmlformats.org/officeDocument/2006/relationships/hyperlink" Target="https://www.springer.com/journal/12540" TargetMode="External"/><Relationship Id="rId150" Type="http://schemas.openxmlformats.org/officeDocument/2006/relationships/hyperlink" Target="https://www.mdpi.com/journal/sustainability" TargetMode="External"/><Relationship Id="rId192" Type="http://schemas.openxmlformats.org/officeDocument/2006/relationships/hyperlink" Target="https://www.journals.elsevier.com/applied-soft-computing" TargetMode="External"/><Relationship Id="rId206" Type="http://schemas.openxmlformats.org/officeDocument/2006/relationships/hyperlink" Target="https://conferences.ulbsibiu.ro/mdis/2022/scientific_committee.php" TargetMode="External"/><Relationship Id="rId248" Type="http://schemas.openxmlformats.org/officeDocument/2006/relationships/hyperlink" Target="https://www.mdpi.com/2073-4395/13/2/391" TargetMode="External"/><Relationship Id="rId12" Type="http://schemas.openxmlformats.org/officeDocument/2006/relationships/hyperlink" Target="https://www.mdpi.com/journal/sustainability/editors" TargetMode="External"/><Relationship Id="rId33" Type="http://schemas.openxmlformats.org/officeDocument/2006/relationships/hyperlink" Target="https://www.mdpi.com/journal/coatings" TargetMode="External"/><Relationship Id="rId108" Type="http://schemas.openxmlformats.org/officeDocument/2006/relationships/hyperlink" Target="https://www.mdpi.com/journal/sustainability" TargetMode="External"/><Relationship Id="rId129" Type="http://schemas.openxmlformats.org/officeDocument/2006/relationships/hyperlink" Target="https://www.mdpi.com/journal/applsci" TargetMode="External"/><Relationship Id="rId280" Type="http://schemas.openxmlformats.org/officeDocument/2006/relationships/hyperlink" Target="https://www.mdpi.com/journal/metals/submission_reviewers" TargetMode="External"/><Relationship Id="rId54" Type="http://schemas.openxmlformats.org/officeDocument/2006/relationships/hyperlink" Target="https://www.mdpi.com/journal/qubs" TargetMode="External"/><Relationship Id="rId75" Type="http://schemas.openxmlformats.org/officeDocument/2006/relationships/hyperlink" Target="https://www.sciencedirect.com/journal/waste-management" TargetMode="External"/><Relationship Id="rId96" Type="http://schemas.openxmlformats.org/officeDocument/2006/relationships/hyperlink" Target="https://irispublishers.com/mcms/editorialboard.php" TargetMode="External"/><Relationship Id="rId140" Type="http://schemas.openxmlformats.org/officeDocument/2006/relationships/hyperlink" Target="https://www.mdpi.com/journal/applsci" TargetMode="External"/><Relationship Id="rId161" Type="http://schemas.openxmlformats.org/officeDocument/2006/relationships/hyperlink" Target="http://www.managementgeneral.ro/" TargetMode="External"/><Relationship Id="rId182" Type="http://schemas.openxmlformats.org/officeDocument/2006/relationships/hyperlink" Target="https://www.mdpi.com/journal/jimaging" TargetMode="External"/><Relationship Id="rId217" Type="http://schemas.openxmlformats.org/officeDocument/2006/relationships/hyperlink" Target="https://www.journals.elsevier.com/materials-today-proceedings" TargetMode="External"/><Relationship Id="rId6" Type="http://schemas.openxmlformats.org/officeDocument/2006/relationships/hyperlink" Target="https://www.mdpi.com/journal/processes/editors" TargetMode="External"/><Relationship Id="rId238" Type="http://schemas.openxmlformats.org/officeDocument/2006/relationships/hyperlink" Target="https://www.mdpi.com/journal/materials/submission_reviewers" TargetMode="External"/><Relationship Id="rId259" Type="http://schemas.openxmlformats.org/officeDocument/2006/relationships/hyperlink" Target="https://www.mdpi.com/journal/sustainability" TargetMode="External"/><Relationship Id="rId23" Type="http://schemas.openxmlformats.org/officeDocument/2006/relationships/hyperlink" Target="https://www.mdpi.com/journal/coatings" TargetMode="External"/><Relationship Id="rId119" Type="http://schemas.openxmlformats.org/officeDocument/2006/relationships/hyperlink" Target="https://atna-mam.utcluj.ro/index.php/Acta/issue/view/65" TargetMode="External"/><Relationship Id="rId270" Type="http://schemas.openxmlformats.org/officeDocument/2006/relationships/hyperlink" Target="https://www.mdpi.com/journal/metals/editors" TargetMode="External"/><Relationship Id="rId291" Type="http://schemas.openxmlformats.org/officeDocument/2006/relationships/hyperlink" Target="https://www.mdpi.com/journal/polymers/special_issues/Polymeric_Fibers_Textiles" TargetMode="External"/><Relationship Id="rId44" Type="http://schemas.openxmlformats.org/officeDocument/2006/relationships/hyperlink" Target="https://www.mdpi.com/journal/polymers" TargetMode="External"/><Relationship Id="rId65" Type="http://schemas.openxmlformats.org/officeDocument/2006/relationships/hyperlink" Target="https://www.mdpi.com/journal/fibers" TargetMode="External"/><Relationship Id="rId86" Type="http://schemas.openxmlformats.org/officeDocument/2006/relationships/hyperlink" Target="https://www.mdpi.com/journal/materials" TargetMode="External"/><Relationship Id="rId130" Type="http://schemas.openxmlformats.org/officeDocument/2006/relationships/hyperlink" Target="https://www.mdpi.com/journal/applsci" TargetMode="External"/><Relationship Id="rId151" Type="http://schemas.openxmlformats.org/officeDocument/2006/relationships/hyperlink" Target="https://www.mdpi.com/journal/BDCC" TargetMode="External"/><Relationship Id="rId172" Type="http://schemas.openxmlformats.org/officeDocument/2006/relationships/hyperlink" Target="https://www.mdpi.com/journal/fractalfract" TargetMode="External"/><Relationship Id="rId193" Type="http://schemas.openxmlformats.org/officeDocument/2006/relationships/hyperlink" Target="https://www.sciencedirect.com/journal/city-culture-and-society" TargetMode="External"/><Relationship Id="rId207" Type="http://schemas.openxmlformats.org/officeDocument/2006/relationships/hyperlink" Target="https://conferences.ulbsibiu.ro/mdis/2022/scientific_committee.php" TargetMode="External"/><Relationship Id="rId228" Type="http://schemas.openxmlformats.org/officeDocument/2006/relationships/hyperlink" Target="https://www.mdpi.com/journal/applsci" TargetMode="External"/><Relationship Id="rId249" Type="http://schemas.openxmlformats.org/officeDocument/2006/relationships/hyperlink" Target="http://textile.webhost.uoradea.ro/Annals/Comitet%20stiintific.html" TargetMode="External"/><Relationship Id="rId13" Type="http://schemas.openxmlformats.org/officeDocument/2006/relationships/hyperlink" Target="https://www.mdpi.com/journal/applsci" TargetMode="External"/><Relationship Id="rId109" Type="http://schemas.openxmlformats.org/officeDocument/2006/relationships/hyperlink" Target="https://www.mdpi.com/journal/sustainability" TargetMode="External"/><Relationship Id="rId260" Type="http://schemas.openxmlformats.org/officeDocument/2006/relationships/hyperlink" Target="https://www.tandfonline.com/action/journalInformation?show=editorialBoard&amp;journalCode=tmpt20" TargetMode="External"/><Relationship Id="rId281" Type="http://schemas.openxmlformats.org/officeDocument/2006/relationships/hyperlink" Target="https://susy.mdpi.com/academic-editor/special_issues/process/1081946" TargetMode="External"/><Relationship Id="rId34" Type="http://schemas.openxmlformats.org/officeDocument/2006/relationships/hyperlink" Target="https://www.mdpi.com/journal/materials" TargetMode="External"/><Relationship Id="rId55" Type="http://schemas.openxmlformats.org/officeDocument/2006/relationships/hyperlink" Target="https://www.springer.com/journal/10965" TargetMode="External"/><Relationship Id="rId76" Type="http://schemas.openxmlformats.org/officeDocument/2006/relationships/hyperlink" Target="https://www.mdpi.com/journal/machines" TargetMode="External"/><Relationship Id="rId97" Type="http://schemas.openxmlformats.org/officeDocument/2006/relationships/hyperlink" Target="https://ojs.bilpublishing.com/index.php/opmr/about/editorialTeam" TargetMode="External"/><Relationship Id="rId120" Type="http://schemas.openxmlformats.org/officeDocument/2006/relationships/hyperlink" Target="https://www.igi-global.com/journals/open-access/reviewers/international-journal-quality-control-standards/220802" TargetMode="External"/><Relationship Id="rId141" Type="http://schemas.openxmlformats.org/officeDocument/2006/relationships/hyperlink" Target="https://www.mdpi.com/journal/sensors" TargetMode="External"/><Relationship Id="rId7" Type="http://schemas.openxmlformats.org/officeDocument/2006/relationships/hyperlink" Target="https://www.mdpi.com/journal/machines" TargetMode="External"/><Relationship Id="rId162" Type="http://schemas.openxmlformats.org/officeDocument/2006/relationships/hyperlink" Target="http://www.davidpublisher.org/index.php/Home/Journal/detail?journalid=7&amp;jx=MS&amp;cont=editorial" TargetMode="External"/><Relationship Id="rId183" Type="http://schemas.openxmlformats.org/officeDocument/2006/relationships/hyperlink" Target="https://sciendo.com/journal/IJASITELS?tab=editorial-board" TargetMode="External"/><Relationship Id="rId218" Type="http://schemas.openxmlformats.org/officeDocument/2006/relationships/hyperlink" Target="https://www.journals.elsevier.com/materials-today-proceedings" TargetMode="External"/><Relationship Id="rId239" Type="http://schemas.openxmlformats.org/officeDocument/2006/relationships/hyperlink" Target="https://www.mdpi.com/journal/materials" TargetMode="External"/><Relationship Id="rId250" Type="http://schemas.openxmlformats.org/officeDocument/2006/relationships/hyperlink" Target="https://journals.sagepub.com/home/trj" TargetMode="External"/><Relationship Id="rId271" Type="http://schemas.openxmlformats.org/officeDocument/2006/relationships/hyperlink" Target="https://www.mdpi.com/journal/metals/editors" TargetMode="External"/><Relationship Id="rId292" Type="http://schemas.openxmlformats.org/officeDocument/2006/relationships/hyperlink" Target="https://www.mdpi.com/journal/textiles/special_issues/4ZQACMQ0L9" TargetMode="External"/><Relationship Id="rId24" Type="http://schemas.openxmlformats.org/officeDocument/2006/relationships/hyperlink" Target="https://www.mdpi.com/journal/polymers" TargetMode="External"/><Relationship Id="rId45" Type="http://schemas.openxmlformats.org/officeDocument/2006/relationships/hyperlink" Target="https://www.mdpi.com/journal/polymers" TargetMode="External"/><Relationship Id="rId66" Type="http://schemas.openxmlformats.org/officeDocument/2006/relationships/hyperlink" Target="https://www.mdpi.com/journal/polymers" TargetMode="External"/><Relationship Id="rId87" Type="http://schemas.openxmlformats.org/officeDocument/2006/relationships/hyperlink" Target="https://www.mdpi.com/journal/polymers" TargetMode="External"/><Relationship Id="rId110" Type="http://schemas.openxmlformats.org/officeDocument/2006/relationships/hyperlink" Target="https://www.mdpi.com/journal/energies" TargetMode="External"/><Relationship Id="rId131" Type="http://schemas.openxmlformats.org/officeDocument/2006/relationships/hyperlink" Target="https://www.mdpi.com/journal/sustainability" TargetMode="External"/><Relationship Id="rId152" Type="http://schemas.openxmlformats.org/officeDocument/2006/relationships/hyperlink" Target="https://www.mdpi.com/journal/applsci" TargetMode="External"/><Relationship Id="rId173" Type="http://schemas.openxmlformats.org/officeDocument/2006/relationships/hyperlink" Target="https://www.mdpi.com/journal/metals" TargetMode="External"/><Relationship Id="rId194" Type="http://schemas.openxmlformats.org/officeDocument/2006/relationships/hyperlink" Target="https://www.sciencedirect.com/journal/computers-and-electrical-engineering" TargetMode="External"/><Relationship Id="rId208" Type="http://schemas.openxmlformats.org/officeDocument/2006/relationships/hyperlink" Target="https://magazines.ulbsibiu.ro/ijasitels/index.php/IJASITELS/about/editorialTeam" TargetMode="External"/><Relationship Id="rId229" Type="http://schemas.openxmlformats.org/officeDocument/2006/relationships/hyperlink" Target="https://www.mdpi.com/journal/materials" TargetMode="External"/><Relationship Id="rId240" Type="http://schemas.openxmlformats.org/officeDocument/2006/relationships/hyperlink" Target="https://www.mdpi.com/journal/materials" TargetMode="External"/><Relationship Id="rId261" Type="http://schemas.openxmlformats.org/officeDocument/2006/relationships/hyperlink" Target="https://www.mdpi.com/journal/aerospace" TargetMode="External"/><Relationship Id="rId14" Type="http://schemas.openxmlformats.org/officeDocument/2006/relationships/hyperlink" Target="https://www.frontiersin.org/research-topics/24647/optimizing-the-management-system-and-ergonomics-in-organizations-appropriate-to-the-personality-of-employees" TargetMode="External"/><Relationship Id="rId35" Type="http://schemas.openxmlformats.org/officeDocument/2006/relationships/hyperlink" Target="https://www.mdpi.com/journal/sensors" TargetMode="External"/><Relationship Id="rId56" Type="http://schemas.openxmlformats.org/officeDocument/2006/relationships/hyperlink" Target="https://www.mdpi.com/journal/fibers" TargetMode="External"/><Relationship Id="rId77" Type="http://schemas.openxmlformats.org/officeDocument/2006/relationships/hyperlink" Target="https://www.mdpi.com/journal/materials" TargetMode="External"/><Relationship Id="rId100" Type="http://schemas.openxmlformats.org/officeDocument/2006/relationships/hyperlink" Target="https://www.utgjiu.ro/rev_mec/?page=comitet" TargetMode="External"/><Relationship Id="rId282" Type="http://schemas.openxmlformats.org/officeDocument/2006/relationships/hyperlink" Target="https://susy.mdpi.com/academic-editor/special_issues/process/902981" TargetMode="External"/><Relationship Id="rId8" Type="http://schemas.openxmlformats.org/officeDocument/2006/relationships/hyperlink" Target="https://www.mdpi.com/journal/machines/editors" TargetMode="External"/><Relationship Id="rId98" Type="http://schemas.openxmlformats.org/officeDocument/2006/relationships/hyperlink" Target="https://www.sciencepublishinggroup.com/journal/editorialboard?journalid=525" TargetMode="External"/><Relationship Id="rId121" Type="http://schemas.openxmlformats.org/officeDocument/2006/relationships/hyperlink" Target="http://www.rmee.org/editorial_board.htm" TargetMode="External"/><Relationship Id="rId142" Type="http://schemas.openxmlformats.org/officeDocument/2006/relationships/hyperlink" Target="https://www.mdpi.com/journal/smartcities" TargetMode="External"/><Relationship Id="rId163" Type="http://schemas.openxmlformats.org/officeDocument/2006/relationships/hyperlink" Target="http://ojs.usp-pl.com/index.php/Modern-Management-Forum/about/editorialTeam" TargetMode="External"/><Relationship Id="rId184" Type="http://schemas.openxmlformats.org/officeDocument/2006/relationships/hyperlink" Target="https://sciendo.com/journal/IJASITELS?tab=editorial-board" TargetMode="External"/><Relationship Id="rId219" Type="http://schemas.openxmlformats.org/officeDocument/2006/relationships/hyperlink" Target="https://www.mdpi.com/journal/sensors" TargetMode="External"/><Relationship Id="rId230" Type="http://schemas.openxmlformats.org/officeDocument/2006/relationships/hyperlink" Target="https://www.mdpi.com/journal/jmse" TargetMode="External"/><Relationship Id="rId251" Type="http://schemas.openxmlformats.org/officeDocument/2006/relationships/hyperlink" Target="https://journals.sagepub.com/home/trj" TargetMode="External"/><Relationship Id="rId25" Type="http://schemas.openxmlformats.org/officeDocument/2006/relationships/hyperlink" Target="https://www.mdpi.com/journal/recycling" TargetMode="External"/><Relationship Id="rId46" Type="http://schemas.openxmlformats.org/officeDocument/2006/relationships/hyperlink" Target="https://www.mdpi.com/journal/materials" TargetMode="External"/><Relationship Id="rId67" Type="http://schemas.openxmlformats.org/officeDocument/2006/relationships/hyperlink" Target="https://www.sciencedirect.com/journal/journal-of-environmental-chemical-engineering" TargetMode="External"/><Relationship Id="rId272" Type="http://schemas.openxmlformats.org/officeDocument/2006/relationships/hyperlink" Target="https://www.mdpi.com/journal/metals/editors" TargetMode="External"/><Relationship Id="rId293" Type="http://schemas.openxmlformats.org/officeDocument/2006/relationships/hyperlink" Target="https://www.mdpi.com/journal/catalysts/submission_reviewers" TargetMode="External"/><Relationship Id="rId88" Type="http://schemas.openxmlformats.org/officeDocument/2006/relationships/hyperlink" Target="https://www.mdpi.com/journal/energies" TargetMode="External"/><Relationship Id="rId111" Type="http://schemas.openxmlformats.org/officeDocument/2006/relationships/hyperlink" Target="https://www.mdpi.com/journal/sustainability" TargetMode="External"/><Relationship Id="rId132" Type="http://schemas.openxmlformats.org/officeDocument/2006/relationships/hyperlink" Target="https://www.mdpi.com/journal/aerospace" TargetMode="External"/><Relationship Id="rId153" Type="http://schemas.openxmlformats.org/officeDocument/2006/relationships/hyperlink" Target="http://revtn.ro/_legacy/editorial-board.htm" TargetMode="External"/><Relationship Id="rId174" Type="http://schemas.openxmlformats.org/officeDocument/2006/relationships/hyperlink" Target="https://www.mdpi.com/journal/applsci" TargetMode="External"/><Relationship Id="rId195" Type="http://schemas.openxmlformats.org/officeDocument/2006/relationships/hyperlink" Target="https://www.mdpi.com/journal/processes" TargetMode="External"/><Relationship Id="rId209" Type="http://schemas.openxmlformats.org/officeDocument/2006/relationships/hyperlink" Target="https://magazines.ulbsibiu.ro/ijasitels/index.php/IJASITELS/about/editorialTeam" TargetMode="External"/><Relationship Id="rId220" Type="http://schemas.openxmlformats.org/officeDocument/2006/relationships/hyperlink" Target="https://www.journals.elsevier.com/materials-today-proceedings" TargetMode="External"/><Relationship Id="rId241" Type="http://schemas.openxmlformats.org/officeDocument/2006/relationships/hyperlink" Target="https://www.mdpi.com/journal/materials" TargetMode="External"/><Relationship Id="rId15" Type="http://schemas.openxmlformats.org/officeDocument/2006/relationships/hyperlink" Target="https://www.frontiersin.org/research-topics/42221/highlights-in-environmental-psychology-pro-environmental-purchase-intent" TargetMode="External"/><Relationship Id="rId36" Type="http://schemas.openxmlformats.org/officeDocument/2006/relationships/hyperlink" Target="https://www.mdpi.com/journal/materials" TargetMode="External"/><Relationship Id="rId57" Type="http://schemas.openxmlformats.org/officeDocument/2006/relationships/hyperlink" Target="https://www.mdpi.com/journal/designs" TargetMode="External"/><Relationship Id="rId262" Type="http://schemas.openxmlformats.org/officeDocument/2006/relationships/hyperlink" Target="https://www.mdpi.com/journal/coatings" TargetMode="External"/><Relationship Id="rId283" Type="http://schemas.openxmlformats.org/officeDocument/2006/relationships/hyperlink" Target="https://www.mdpi.com/journal/mathematics" TargetMode="External"/><Relationship Id="rId78" Type="http://schemas.openxmlformats.org/officeDocument/2006/relationships/hyperlink" Target="https://www.mdpi.com/journal/materials" TargetMode="External"/><Relationship Id="rId99" Type="http://schemas.openxmlformats.org/officeDocument/2006/relationships/hyperlink" Target="https://www.clausiuspress.com/journal/JEMM/editorialBoard.html" TargetMode="External"/><Relationship Id="rId101" Type="http://schemas.openxmlformats.org/officeDocument/2006/relationships/hyperlink" Target="https://www.scirea.org/journal/EditorialBoard?JournalID=43000" TargetMode="External"/><Relationship Id="rId122" Type="http://schemas.openxmlformats.org/officeDocument/2006/relationships/hyperlink" Target="https://sciendo.com/journal/foli?tab=editorial-board" TargetMode="External"/><Relationship Id="rId143" Type="http://schemas.openxmlformats.org/officeDocument/2006/relationships/hyperlink" Target="https://www.mdpi.com/journal/sensors" TargetMode="External"/><Relationship Id="rId164" Type="http://schemas.openxmlformats.org/officeDocument/2006/relationships/hyperlink" Target="http://www.mnmk.ro/colegiu.php" TargetMode="External"/><Relationship Id="rId185" Type="http://schemas.openxmlformats.org/officeDocument/2006/relationships/hyperlink" Target="http://www.dline.info/jdim/editorial-board/" TargetMode="External"/><Relationship Id="rId9" Type="http://schemas.openxmlformats.org/officeDocument/2006/relationships/hyperlink" Target="https://www.mdpi.com/journal/sustainability" TargetMode="External"/><Relationship Id="rId210" Type="http://schemas.openxmlformats.org/officeDocument/2006/relationships/hyperlink" Target="https://www.webofscience.com/wos/woscc/full-record/WOS:000908978400001" TargetMode="External"/><Relationship Id="rId26" Type="http://schemas.openxmlformats.org/officeDocument/2006/relationships/hyperlink" Target="https://www.mdpi.com/journal/materials" TargetMode="External"/><Relationship Id="rId231" Type="http://schemas.openxmlformats.org/officeDocument/2006/relationships/hyperlink" Target="https://www.mdpi.com/journal/energies" TargetMode="External"/><Relationship Id="rId252" Type="http://schemas.openxmlformats.org/officeDocument/2006/relationships/hyperlink" Target="https://journals.sagepub.com/home/trj" TargetMode="External"/><Relationship Id="rId273" Type="http://schemas.openxmlformats.org/officeDocument/2006/relationships/hyperlink" Target="https://www.mdpi.com/journal/metals/editors" TargetMode="External"/><Relationship Id="rId294" Type="http://schemas.openxmlformats.org/officeDocument/2006/relationships/hyperlink" Target="https://www.mdpi.com/2624-8549/5/1/13" TargetMode="External"/><Relationship Id="rId47" Type="http://schemas.openxmlformats.org/officeDocument/2006/relationships/hyperlink" Target="mailto:polysaccharides@mdpi.com" TargetMode="External"/><Relationship Id="rId68" Type="http://schemas.openxmlformats.org/officeDocument/2006/relationships/hyperlink" Target="https://www.mdpi.com/journal/materials" TargetMode="External"/><Relationship Id="rId89" Type="http://schemas.openxmlformats.org/officeDocument/2006/relationships/hyperlink" Target="https://www.sciencedirect.com/journal/applied-thermal-engineering" TargetMode="External"/><Relationship Id="rId112" Type="http://schemas.openxmlformats.org/officeDocument/2006/relationships/hyperlink" Target="https://www.mdpi.com/journal/ijerph" TargetMode="External"/><Relationship Id="rId133" Type="http://schemas.openxmlformats.org/officeDocument/2006/relationships/hyperlink" Target="https://www.mdpi.com/journal/energies" TargetMode="External"/><Relationship Id="rId154" Type="http://schemas.openxmlformats.org/officeDocument/2006/relationships/hyperlink" Target="https://asmedigitalcollection.asme.org/medicaldiagnostics/pages/about" TargetMode="External"/><Relationship Id="rId175" Type="http://schemas.openxmlformats.org/officeDocument/2006/relationships/hyperlink" Target="https://www.mdpi.com/journal/agriculture" TargetMode="External"/><Relationship Id="rId196" Type="http://schemas.openxmlformats.org/officeDocument/2006/relationships/hyperlink" Target="https://www.sciencedirect.com/journal/simulation-modelling-practice-and-theory" TargetMode="External"/><Relationship Id="rId200" Type="http://schemas.openxmlformats.org/officeDocument/2006/relationships/hyperlink" Target="http://www.dline.info/jdim/editorial-board/" TargetMode="External"/><Relationship Id="rId16" Type="http://schemas.openxmlformats.org/officeDocument/2006/relationships/hyperlink" Target="https://www.mdpi.com/journal/sustainability/topical_collections/risk_assessmen_management" TargetMode="External"/><Relationship Id="rId221" Type="http://schemas.openxmlformats.org/officeDocument/2006/relationships/hyperlink" Target="https://www.mdpi.com/journal/sensors" TargetMode="External"/><Relationship Id="rId242" Type="http://schemas.openxmlformats.org/officeDocument/2006/relationships/hyperlink" Target="https://www.mdpi.com/journal/materials" TargetMode="External"/><Relationship Id="rId263" Type="http://schemas.openxmlformats.org/officeDocument/2006/relationships/hyperlink" Target="https://www.springer.com/journal/10845/editors" TargetMode="External"/><Relationship Id="rId284" Type="http://schemas.openxmlformats.org/officeDocument/2006/relationships/hyperlink" Target="https://www.mdpi.com/journal/metals" TargetMode="External"/><Relationship Id="rId37" Type="http://schemas.openxmlformats.org/officeDocument/2006/relationships/hyperlink" Target="https://www.mdpi.com/journal/polymers" TargetMode="External"/><Relationship Id="rId58" Type="http://schemas.openxmlformats.org/officeDocument/2006/relationships/hyperlink" Target="https://www.mdpi.com/journal/polymers" TargetMode="External"/><Relationship Id="rId79" Type="http://schemas.openxmlformats.org/officeDocument/2006/relationships/hyperlink" Target="https://www.mdpi.com/journal/polymers" TargetMode="External"/><Relationship Id="rId102" Type="http://schemas.openxmlformats.org/officeDocument/2006/relationships/hyperlink" Target="https://www.mdpi.com/journal/sustainability" TargetMode="External"/><Relationship Id="rId123" Type="http://schemas.openxmlformats.org/officeDocument/2006/relationships/hyperlink" Target="https://www.mdpi.com/journal/education" TargetMode="External"/><Relationship Id="rId144" Type="http://schemas.openxmlformats.org/officeDocument/2006/relationships/hyperlink" Target="https://www.mdpi.com/journal/sustainability" TargetMode="External"/><Relationship Id="rId90" Type="http://schemas.openxmlformats.org/officeDocument/2006/relationships/hyperlink" Target="https://www.sciencedirect.com/journal/waste-management" TargetMode="External"/><Relationship Id="rId165" Type="http://schemas.openxmlformats.org/officeDocument/2006/relationships/hyperlink" Target="https://jeeeccs.net/index.php/journal/about/editorialBoardStatic" TargetMode="External"/><Relationship Id="rId186" Type="http://schemas.openxmlformats.org/officeDocument/2006/relationships/hyperlink" Target="https://www.jisem-journal.com/home/editorial-board" TargetMode="External"/><Relationship Id="rId211" Type="http://schemas.openxmlformats.org/officeDocument/2006/relationships/hyperlink" Target="https://www.webofscience.com/wos/woscc/full-record/WOS:000832255000001" TargetMode="External"/><Relationship Id="rId232" Type="http://schemas.openxmlformats.org/officeDocument/2006/relationships/hyperlink" Target="https://www.mdpi.com/journal/energies" TargetMode="External"/><Relationship Id="rId253" Type="http://schemas.openxmlformats.org/officeDocument/2006/relationships/hyperlink" Target="https://www.mdpi.com/journal/actuators" TargetMode="External"/><Relationship Id="rId274" Type="http://schemas.openxmlformats.org/officeDocument/2006/relationships/hyperlink" Target="https://www.springer.com/journal/40430/editors" TargetMode="External"/><Relationship Id="rId295" Type="http://schemas.openxmlformats.org/officeDocument/2006/relationships/hyperlink" Target="https://www.mdpi.com/2073-4441/15/3/376" TargetMode="External"/><Relationship Id="rId27" Type="http://schemas.openxmlformats.org/officeDocument/2006/relationships/hyperlink" Target="https://www.mdpi.com/journal/sustainability" TargetMode="External"/><Relationship Id="rId48" Type="http://schemas.openxmlformats.org/officeDocument/2006/relationships/hyperlink" Target="https://www.mdpi.com/journal/polysaccharides" TargetMode="External"/><Relationship Id="rId69" Type="http://schemas.openxmlformats.org/officeDocument/2006/relationships/hyperlink" Target="https://www.mdpi.com/journal/polymers" TargetMode="External"/><Relationship Id="rId113" Type="http://schemas.openxmlformats.org/officeDocument/2006/relationships/hyperlink" Target="https://www.mdpi.com/journal/sustainability" TargetMode="External"/><Relationship Id="rId134" Type="http://schemas.openxmlformats.org/officeDocument/2006/relationships/hyperlink" Target="https://www.mdpi.com/journal/machines" TargetMode="External"/><Relationship Id="rId80" Type="http://schemas.openxmlformats.org/officeDocument/2006/relationships/hyperlink" Target="https://www.mdpi.com/journal/ijerph" TargetMode="External"/><Relationship Id="rId155" Type="http://schemas.openxmlformats.org/officeDocument/2006/relationships/hyperlink" Target="http://revtn.ro/index.php/revtn/about/editorialTeam" TargetMode="External"/><Relationship Id="rId176" Type="http://schemas.openxmlformats.org/officeDocument/2006/relationships/hyperlink" Target="https://www.mdpi.com/journal/coatings/special_issues/magnesium_aluminum" TargetMode="External"/><Relationship Id="rId197" Type="http://schemas.openxmlformats.org/officeDocument/2006/relationships/hyperlink" Target="https://www.sciencedirect.com/journal/simulation-modelling-practice-and-theory" TargetMode="External"/><Relationship Id="rId201" Type="http://schemas.openxmlformats.org/officeDocument/2006/relationships/hyperlink" Target="http://www.dline.info/jet/eb.php" TargetMode="External"/><Relationship Id="rId222" Type="http://schemas.openxmlformats.org/officeDocument/2006/relationships/hyperlink" Target="https://www.mdpi.com/journal/urbansci" TargetMode="External"/><Relationship Id="rId243" Type="http://schemas.openxmlformats.org/officeDocument/2006/relationships/hyperlink" Target="https://www.mdpi.com/journal/metals" TargetMode="External"/><Relationship Id="rId264" Type="http://schemas.openxmlformats.org/officeDocument/2006/relationships/hyperlink" Target="https://www.mdpi.com/journal/materials/editors" TargetMode="External"/><Relationship Id="rId285" Type="http://schemas.openxmlformats.org/officeDocument/2006/relationships/hyperlink" Target="https://www.mdpi.com/journal/mathematics" TargetMode="External"/><Relationship Id="rId17" Type="http://schemas.openxmlformats.org/officeDocument/2006/relationships/hyperlink" Target="https://www.mdpi.com/journal/sustainability/topical_collections/Circular_Economy_and_Sustainable_Strategies" TargetMode="External"/><Relationship Id="rId38" Type="http://schemas.openxmlformats.org/officeDocument/2006/relationships/hyperlink" Target="https://taylorandfrancis.com/" TargetMode="External"/><Relationship Id="rId59" Type="http://schemas.openxmlformats.org/officeDocument/2006/relationships/hyperlink" Target="https://www.mdpi.com/journal/materials" TargetMode="External"/><Relationship Id="rId103" Type="http://schemas.openxmlformats.org/officeDocument/2006/relationships/hyperlink" Target="https://www.mdpi.com/journal/risks/special_issues/advances_in_sustainable_risk_management" TargetMode="External"/><Relationship Id="rId124" Type="http://schemas.openxmlformats.org/officeDocument/2006/relationships/hyperlink" Target="https://www.mdpi.com/journal/education" TargetMode="External"/><Relationship Id="rId70" Type="http://schemas.openxmlformats.org/officeDocument/2006/relationships/hyperlink" Target="https://www.mdpi.com/journal/coatings" TargetMode="External"/><Relationship Id="rId91" Type="http://schemas.openxmlformats.org/officeDocument/2006/relationships/hyperlink" Target="http://iopscience.iop.org/journal/1742-6596" TargetMode="External"/><Relationship Id="rId145" Type="http://schemas.openxmlformats.org/officeDocument/2006/relationships/hyperlink" Target="https://www.mdpi.com/journal/sensors" TargetMode="External"/><Relationship Id="rId166" Type="http://schemas.openxmlformats.org/officeDocument/2006/relationships/hyperlink" Target="http://www.rmee.org/editorial_board.htm" TargetMode="External"/><Relationship Id="rId187" Type="http://schemas.openxmlformats.org/officeDocument/2006/relationships/hyperlink" Target="http://www.sapub.org/Journal/editorialboard.aspx?journalid=1081" TargetMode="External"/><Relationship Id="rId1" Type="http://schemas.openxmlformats.org/officeDocument/2006/relationships/hyperlink" Target="http://revtn.ro/_legacy/" TargetMode="External"/><Relationship Id="rId212" Type="http://schemas.openxmlformats.org/officeDocument/2006/relationships/hyperlink" Target="https://www.mdpi.com/journal/electronics" TargetMode="External"/><Relationship Id="rId233" Type="http://schemas.openxmlformats.org/officeDocument/2006/relationships/hyperlink" Target="https://textile.webhost.uoradea.ro/Annals/Comitet%20stiintific.html" TargetMode="External"/><Relationship Id="rId254" Type="http://schemas.openxmlformats.org/officeDocument/2006/relationships/hyperlink" Target="https://www.mdpi.com/journal/actuators" TargetMode="External"/><Relationship Id="rId28" Type="http://schemas.openxmlformats.org/officeDocument/2006/relationships/hyperlink" Target="https://www.mdpi.com/journal/fuels" TargetMode="External"/><Relationship Id="rId49" Type="http://schemas.openxmlformats.org/officeDocument/2006/relationships/hyperlink" Target="https://www.mdpi.com/journal/metals" TargetMode="External"/><Relationship Id="rId114" Type="http://schemas.openxmlformats.org/officeDocument/2006/relationships/hyperlink" Target="https://www.mdpi.com/journal/electronics" TargetMode="External"/><Relationship Id="rId275" Type="http://schemas.openxmlformats.org/officeDocument/2006/relationships/hyperlink" Target="https://www.sciencedirect.com/journal/manufacturing-letters/about/editorial-board" TargetMode="External"/><Relationship Id="rId296" Type="http://schemas.openxmlformats.org/officeDocument/2006/relationships/hyperlink" Target="https://www.mdpi.com/2073-4441/15/3/376" TargetMode="External"/><Relationship Id="rId60" Type="http://schemas.openxmlformats.org/officeDocument/2006/relationships/hyperlink" Target="https://www.mdpi.com/journal/materials" TargetMode="External"/><Relationship Id="rId81" Type="http://schemas.openxmlformats.org/officeDocument/2006/relationships/hyperlink" Target="https://www.tandfonline.com/toc/oaen20/current" TargetMode="External"/><Relationship Id="rId135" Type="http://schemas.openxmlformats.org/officeDocument/2006/relationships/hyperlink" Target="https://www.frontiersin.org/journals/virtual-reality" TargetMode="External"/><Relationship Id="rId156" Type="http://schemas.openxmlformats.org/officeDocument/2006/relationships/hyperlink" Target="http://www.cedc.ro/pages/english/conference-and-journal/msd-journal/editorial-board.php" TargetMode="External"/><Relationship Id="rId177" Type="http://schemas.openxmlformats.org/officeDocument/2006/relationships/hyperlink" Target="https://www.mdpi.com/journal/futureinternet/topical_advisory_panel" TargetMode="External"/><Relationship Id="rId198" Type="http://schemas.openxmlformats.org/officeDocument/2006/relationships/hyperlink" Target="https://www.mdpi.com/journal/sustainability" TargetMode="External"/><Relationship Id="rId202" Type="http://schemas.openxmlformats.org/officeDocument/2006/relationships/hyperlink" Target="https://www.mdpi.com/journal/futureinternet/special_issues/CV_DL_ML_A" TargetMode="External"/><Relationship Id="rId223" Type="http://schemas.openxmlformats.org/officeDocument/2006/relationships/hyperlink" Target="https://www.mdpi.com/journal/applsci" TargetMode="External"/><Relationship Id="rId244" Type="http://schemas.openxmlformats.org/officeDocument/2006/relationships/hyperlink" Target="https://www.mdpi.com/journal/metals" TargetMode="External"/><Relationship Id="rId18" Type="http://schemas.openxmlformats.org/officeDocument/2006/relationships/hyperlink" Target="https://inmateh.eu/about-us/editorial-board/" TargetMode="External"/><Relationship Id="rId39" Type="http://schemas.openxmlformats.org/officeDocument/2006/relationships/hyperlink" Target="https://www.mdpi.com/journal/micromachines" TargetMode="External"/><Relationship Id="rId265" Type="http://schemas.openxmlformats.org/officeDocument/2006/relationships/hyperlink" Target="https://www.mdpi.com/journal/materials/editors" TargetMode="External"/><Relationship Id="rId286" Type="http://schemas.openxmlformats.org/officeDocument/2006/relationships/hyperlink" Target="https://www.mdpi.com/journal/metals" TargetMode="External"/><Relationship Id="rId50" Type="http://schemas.openxmlformats.org/officeDocument/2006/relationships/hyperlink" Target="https://www.mdpi.com/journal/polymers" TargetMode="External"/><Relationship Id="rId104" Type="http://schemas.openxmlformats.org/officeDocument/2006/relationships/hyperlink" Target="https://www.igi-global.com/journals/open-access/reviewers/international-journal-quality-control-standards/220802" TargetMode="External"/><Relationship Id="rId125" Type="http://schemas.openxmlformats.org/officeDocument/2006/relationships/hyperlink" Target="https://sciendo.com/journal/foli?tab=editorial-board" TargetMode="External"/><Relationship Id="rId146" Type="http://schemas.openxmlformats.org/officeDocument/2006/relationships/hyperlink" Target="https://www.mdpi.com/journal/sensors" TargetMode="External"/><Relationship Id="rId167" Type="http://schemas.openxmlformats.org/officeDocument/2006/relationships/hyperlink" Target="http://sceco.ub.ro/index.php/SCECO/about/editorialTeam" TargetMode="External"/><Relationship Id="rId188" Type="http://schemas.openxmlformats.org/officeDocument/2006/relationships/hyperlink" Target="https://sciendo.com/journal/AUCTS?tab=issues" TargetMode="External"/><Relationship Id="rId71" Type="http://schemas.openxmlformats.org/officeDocument/2006/relationships/hyperlink" Target="https://www.mdpi.com/journal/materials" TargetMode="External"/><Relationship Id="rId92" Type="http://schemas.openxmlformats.org/officeDocument/2006/relationships/hyperlink" Target="https://www.mdpi.com/journal/polymers" TargetMode="External"/><Relationship Id="rId213" Type="http://schemas.openxmlformats.org/officeDocument/2006/relationships/hyperlink" Target="https://sciendo.com/journal/IJASITELS?tab=editorial-board" TargetMode="External"/><Relationship Id="rId234" Type="http://schemas.openxmlformats.org/officeDocument/2006/relationships/hyperlink" Target="https://medcraveonline.com/JTEFT/reviewer-board" TargetMode="External"/><Relationship Id="rId2" Type="http://schemas.openxmlformats.org/officeDocument/2006/relationships/hyperlink" Target="https://www.mdpi.com/journal/applsci" TargetMode="External"/><Relationship Id="rId29" Type="http://schemas.openxmlformats.org/officeDocument/2006/relationships/hyperlink" Target="https://www.mdpi.com/journal/fluids" TargetMode="External"/><Relationship Id="rId255" Type="http://schemas.openxmlformats.org/officeDocument/2006/relationships/hyperlink" Target="https://www.mdpi.com/journal/aerospace" TargetMode="External"/><Relationship Id="rId276" Type="http://schemas.openxmlformats.org/officeDocument/2006/relationships/hyperlink" Target="https://www.mdpi.com/journal/materials/special_issues/Metal_Forming_Mechanical" TargetMode="External"/><Relationship Id="rId40" Type="http://schemas.openxmlformats.org/officeDocument/2006/relationships/hyperlink" Target="https://www.sciencedirect.com/journal/polymer-degradation-and-stability" TargetMode="External"/><Relationship Id="rId115" Type="http://schemas.openxmlformats.org/officeDocument/2006/relationships/hyperlink" Target="https://www.mdpi.com/journal/sustainability" TargetMode="External"/><Relationship Id="rId136" Type="http://schemas.openxmlformats.org/officeDocument/2006/relationships/hyperlink" Target="https://www.frontiersin.org/journals/virtual-reality" TargetMode="External"/><Relationship Id="rId157" Type="http://schemas.openxmlformats.org/officeDocument/2006/relationships/hyperlink" Target="https://jes.utm.md/editorial-board/" TargetMode="External"/><Relationship Id="rId178" Type="http://schemas.openxmlformats.org/officeDocument/2006/relationships/hyperlink" Target="https://magazines.ulbsibiu.ro/ijasitels/index.php/IJASITELS/issue/view/10/7" TargetMode="External"/><Relationship Id="rId61" Type="http://schemas.openxmlformats.org/officeDocument/2006/relationships/hyperlink" Target="https://www.mdpi.com/journal/qubs" TargetMode="External"/><Relationship Id="rId82" Type="http://schemas.openxmlformats.org/officeDocument/2006/relationships/hyperlink" Target="https://www.mdpi.com/journal/materials" TargetMode="External"/><Relationship Id="rId199" Type="http://schemas.openxmlformats.org/officeDocument/2006/relationships/hyperlink" Target="https://www.sciencedirect.com/journal/sustainable-energy-technologies-and-assessments" TargetMode="External"/><Relationship Id="rId203" Type="http://schemas.openxmlformats.org/officeDocument/2006/relationships/hyperlink" Target="https://www.mdpi.com/journal/electronics" TargetMode="External"/><Relationship Id="rId19" Type="http://schemas.openxmlformats.org/officeDocument/2006/relationships/hyperlink" Target="https://www.mdpi.com/journal/processes/special_issues/Y5R08VN0L5" TargetMode="External"/><Relationship Id="rId224" Type="http://schemas.openxmlformats.org/officeDocument/2006/relationships/hyperlink" Target="https://www.mdpi.com/journal/energies" TargetMode="External"/><Relationship Id="rId245" Type="http://schemas.openxmlformats.org/officeDocument/2006/relationships/hyperlink" Target="https://www.springer.com/journal/11044" TargetMode="External"/><Relationship Id="rId266" Type="http://schemas.openxmlformats.org/officeDocument/2006/relationships/hyperlink" Target="https://www.mdpi.com/journal/materials/editors" TargetMode="External"/><Relationship Id="rId287" Type="http://schemas.openxmlformats.org/officeDocument/2006/relationships/hyperlink" Target="https://www.mdpi.com/journal/metals" TargetMode="External"/><Relationship Id="rId30" Type="http://schemas.openxmlformats.org/officeDocument/2006/relationships/hyperlink" Target="https://www.mdpi.com/journal/materials/special_issues/Ecodesign_Composite" TargetMode="External"/><Relationship Id="rId105" Type="http://schemas.openxmlformats.org/officeDocument/2006/relationships/hyperlink" Target="https://www.mdpi.com/journal/mathematics" TargetMode="External"/><Relationship Id="rId126" Type="http://schemas.openxmlformats.org/officeDocument/2006/relationships/hyperlink" Target="http://www.rmee.org/editorial_board.htm" TargetMode="External"/><Relationship Id="rId147" Type="http://schemas.openxmlformats.org/officeDocument/2006/relationships/hyperlink" Target="https://www.mdpi.com/journal/electronics" TargetMode="External"/><Relationship Id="rId168" Type="http://schemas.openxmlformats.org/officeDocument/2006/relationships/hyperlink" Target="https://www.mdpi.com/journal/materials" TargetMode="External"/><Relationship Id="rId51" Type="http://schemas.openxmlformats.org/officeDocument/2006/relationships/hyperlink" Target="https://www.mdpi.com/journal/polymers" TargetMode="External"/><Relationship Id="rId72" Type="http://schemas.openxmlformats.org/officeDocument/2006/relationships/hyperlink" Target="https://www.sciencedirect.com/journal/cleaner-and-circular-bioeconomy" TargetMode="External"/><Relationship Id="rId93" Type="http://schemas.openxmlformats.org/officeDocument/2006/relationships/hyperlink" Target="https://www.sciencedirect.com/journal/cleaner-and-circular-bioeconomy" TargetMode="External"/><Relationship Id="rId189" Type="http://schemas.openxmlformats.org/officeDocument/2006/relationships/hyperlink" Target="https://www.dline.info/jet/index.php" TargetMode="External"/><Relationship Id="rId3" Type="http://schemas.openxmlformats.org/officeDocument/2006/relationships/hyperlink" Target="https://www.mdpi.com/journal/materials" TargetMode="External"/><Relationship Id="rId214" Type="http://schemas.openxmlformats.org/officeDocument/2006/relationships/hyperlink" Target="https://www.sciencedirect.com/journal/materials-today-proceedings" TargetMode="External"/><Relationship Id="rId235" Type="http://schemas.openxmlformats.org/officeDocument/2006/relationships/hyperlink" Target="https://journalijpss.com/index.php/IJPSS" TargetMode="External"/><Relationship Id="rId256" Type="http://schemas.openxmlformats.org/officeDocument/2006/relationships/hyperlink" Target="https://www.mdpi.com/journal/actuators" TargetMode="External"/><Relationship Id="rId277" Type="http://schemas.openxmlformats.org/officeDocument/2006/relationships/hyperlink" Target="https://sciendo.com/journal/AUCTS?tab=editorial-board" TargetMode="External"/><Relationship Id="rId116" Type="http://schemas.openxmlformats.org/officeDocument/2006/relationships/hyperlink" Target="https://atna-mam.utcluj.ro/index.php/Acta/issue/view/65" TargetMode="External"/><Relationship Id="rId137" Type="http://schemas.openxmlformats.org/officeDocument/2006/relationships/hyperlink" Target="https://www.frontiersin.org/journals/virtual-reality" TargetMode="External"/><Relationship Id="rId158" Type="http://schemas.openxmlformats.org/officeDocument/2006/relationships/hyperlink" Target="https://ijomam.com/editorial-board/" TargetMode="External"/><Relationship Id="rId20" Type="http://schemas.openxmlformats.org/officeDocument/2006/relationships/hyperlink" Target="https://pjms.zim.pcz.pl/resources/html/cms/SCIENTIFICCOUNCIL" TargetMode="External"/><Relationship Id="rId41" Type="http://schemas.openxmlformats.org/officeDocument/2006/relationships/hyperlink" Target="https://www.mdpi.com/journal/coatings" TargetMode="External"/><Relationship Id="rId62" Type="http://schemas.openxmlformats.org/officeDocument/2006/relationships/hyperlink" Target="https://www.mdpi.com/journal/materials" TargetMode="External"/><Relationship Id="rId83" Type="http://schemas.openxmlformats.org/officeDocument/2006/relationships/hyperlink" Target="https://www.mdpi.com/journal/polymers" TargetMode="External"/><Relationship Id="rId179" Type="http://schemas.openxmlformats.org/officeDocument/2006/relationships/hyperlink" Target="https://www.mdpi.com/journal/entropy" TargetMode="External"/><Relationship Id="rId190" Type="http://schemas.openxmlformats.org/officeDocument/2006/relationships/hyperlink" Target="https://magazines.ulbsibiu.ro/ijasitels/index.php/IJASITELS/issue/view/10/7" TargetMode="External"/><Relationship Id="rId204" Type="http://schemas.openxmlformats.org/officeDocument/2006/relationships/hyperlink" Target="https://www.mdpi.com/journal/sensors" TargetMode="External"/><Relationship Id="rId225" Type="http://schemas.openxmlformats.org/officeDocument/2006/relationships/hyperlink" Target="https://www.mdpi.com/journal/jsan" TargetMode="External"/><Relationship Id="rId246" Type="http://schemas.openxmlformats.org/officeDocument/2006/relationships/hyperlink" Target="https://www.mdpi.com/journal/sensors" TargetMode="External"/><Relationship Id="rId267" Type="http://schemas.openxmlformats.org/officeDocument/2006/relationships/hyperlink" Target="https://www.mdpi.com/journal/materials/editors" TargetMode="External"/><Relationship Id="rId288" Type="http://schemas.openxmlformats.org/officeDocument/2006/relationships/hyperlink" Target="https://www.mdpi.com/journal/bioengineering" TargetMode="External"/><Relationship Id="rId106" Type="http://schemas.openxmlformats.org/officeDocument/2006/relationships/hyperlink" Target="https://www.mdpi.com/journal/ijerph" TargetMode="External"/><Relationship Id="rId127" Type="http://schemas.openxmlformats.org/officeDocument/2006/relationships/hyperlink" Target="http://www.rmee.org/editorial_board.htm" TargetMode="External"/><Relationship Id="rId10" Type="http://schemas.openxmlformats.org/officeDocument/2006/relationships/hyperlink" Target="https://www.mdpi.com/journal/sustainability/editor" TargetMode="External"/><Relationship Id="rId31" Type="http://schemas.openxmlformats.org/officeDocument/2006/relationships/hyperlink" Target="https://www.sciencedirect.com/journal/journal-of-environmental-chemical-engineering" TargetMode="External"/><Relationship Id="rId52" Type="http://schemas.openxmlformats.org/officeDocument/2006/relationships/hyperlink" Target="https://www.mdpi.com/journal/symmetry" TargetMode="External"/><Relationship Id="rId73" Type="http://schemas.openxmlformats.org/officeDocument/2006/relationships/hyperlink" Target="https://www.mdpi.com/journal/gels" TargetMode="External"/><Relationship Id="rId94" Type="http://schemas.openxmlformats.org/officeDocument/2006/relationships/hyperlink" Target="http://revtn.ro/index.php/revtn/about/editorialTeam" TargetMode="External"/><Relationship Id="rId148" Type="http://schemas.openxmlformats.org/officeDocument/2006/relationships/hyperlink" Target="https://www.mdpi.com/journal/electronics" TargetMode="External"/><Relationship Id="rId169" Type="http://schemas.openxmlformats.org/officeDocument/2006/relationships/hyperlink" Target="https://ijomam.com/" TargetMode="External"/><Relationship Id="rId4" Type="http://schemas.openxmlformats.org/officeDocument/2006/relationships/hyperlink" Target="https://www.mdpi.com/journal/materials/editors" TargetMode="External"/><Relationship Id="rId180" Type="http://schemas.openxmlformats.org/officeDocument/2006/relationships/hyperlink" Target="https://www.springer.com/journal/11042" TargetMode="External"/><Relationship Id="rId215" Type="http://schemas.openxmlformats.org/officeDocument/2006/relationships/hyperlink" Target="https://www.journals.elsevier.com/materials-today-proceedings" TargetMode="External"/><Relationship Id="rId236" Type="http://schemas.openxmlformats.org/officeDocument/2006/relationships/hyperlink" Target="https://journalejmp.com/index.php/EJMP" TargetMode="External"/><Relationship Id="rId257" Type="http://schemas.openxmlformats.org/officeDocument/2006/relationships/hyperlink" Target="https://www.mdpi.com/journal/machines" TargetMode="External"/><Relationship Id="rId278" Type="http://schemas.openxmlformats.org/officeDocument/2006/relationships/hyperlink" Target="https://jeeeccs.net/index.php/journal/about/editorialBoardStatic" TargetMode="External"/><Relationship Id="rId42" Type="http://schemas.openxmlformats.org/officeDocument/2006/relationships/hyperlink" Target="https://www.mdpi.com/journal/physchem" TargetMode="External"/><Relationship Id="rId84" Type="http://schemas.openxmlformats.org/officeDocument/2006/relationships/hyperlink" Target="https://www.mdpi.com/journal/polymers" TargetMode="External"/><Relationship Id="rId138" Type="http://schemas.openxmlformats.org/officeDocument/2006/relationships/hyperlink" Target="https://www.mdpi.com/journal/electronics" TargetMode="External"/><Relationship Id="rId191" Type="http://schemas.openxmlformats.org/officeDocument/2006/relationships/hyperlink" Target="https://www.tandfonline.com/journals/nvsd20" TargetMode="External"/><Relationship Id="rId205" Type="http://schemas.openxmlformats.org/officeDocument/2006/relationships/hyperlink" Target="https://www.tandfonline.com/toc/hihc20/current" TargetMode="External"/><Relationship Id="rId247" Type="http://schemas.openxmlformats.org/officeDocument/2006/relationships/hyperlink" Target="https://www.mdpi.com/journal/textiles" TargetMode="External"/><Relationship Id="rId107" Type="http://schemas.openxmlformats.org/officeDocument/2006/relationships/hyperlink" Target="https://www.mdpi.com/journal/ijerph" TargetMode="External"/><Relationship Id="rId289" Type="http://schemas.openxmlformats.org/officeDocument/2006/relationships/hyperlink" Target="https://www.springer.com/journal/12289/editors" TargetMode="External"/><Relationship Id="rId11" Type="http://schemas.openxmlformats.org/officeDocument/2006/relationships/hyperlink" Target="https://www.mdpi.com/journal/sustainability" TargetMode="External"/><Relationship Id="rId53" Type="http://schemas.openxmlformats.org/officeDocument/2006/relationships/hyperlink" Target="https://www.mdpi.com/journal/applsci" TargetMode="External"/><Relationship Id="rId149" Type="http://schemas.openxmlformats.org/officeDocument/2006/relationships/hyperlink" Target="https://www.mdpi.com/journal/electronics" TargetMode="External"/><Relationship Id="rId95" Type="http://schemas.openxmlformats.org/officeDocument/2006/relationships/hyperlink" Target="https://techniumscience.com/index.php/technium/about/editorialTeam" TargetMode="External"/><Relationship Id="rId160" Type="http://schemas.openxmlformats.org/officeDocument/2006/relationships/hyperlink" Target="http://www.rmci.ase.ro/" TargetMode="External"/><Relationship Id="rId216" Type="http://schemas.openxmlformats.org/officeDocument/2006/relationships/hyperlink" Target="https://www.journals.elsevier.com/materials-today-proceedings" TargetMode="External"/><Relationship Id="rId258" Type="http://schemas.openxmlformats.org/officeDocument/2006/relationships/hyperlink" Target="https://www.mdpi.com/journal/chips" TargetMode="External"/><Relationship Id="rId22" Type="http://schemas.openxmlformats.org/officeDocument/2006/relationships/hyperlink" Target="https://www.mdpi.com/journal/safety/editors" TargetMode="External"/><Relationship Id="rId64" Type="http://schemas.openxmlformats.org/officeDocument/2006/relationships/hyperlink" Target="https://www.mdpi.com/journal/applsci" TargetMode="External"/><Relationship Id="rId118" Type="http://schemas.openxmlformats.org/officeDocument/2006/relationships/hyperlink" Target="https://atna-mam.utcluj.ro/index.php/Acta/issue/view/65" TargetMode="External"/><Relationship Id="rId171" Type="http://schemas.openxmlformats.org/officeDocument/2006/relationships/hyperlink" Target="https://www.mdpi.com/journal/micromachines" TargetMode="External"/><Relationship Id="rId227" Type="http://schemas.openxmlformats.org/officeDocument/2006/relationships/hyperlink" Target="https://www.mdpi.com/journal/applsci" TargetMode="External"/><Relationship Id="rId269" Type="http://schemas.openxmlformats.org/officeDocument/2006/relationships/hyperlink" Target="https://www.mdpi.com/journal/metals/editors"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iated.org/archive/iceri2022" TargetMode="External"/><Relationship Id="rId21" Type="http://schemas.openxmlformats.org/officeDocument/2006/relationships/hyperlink" Target="https://ksem22.smart-conf.net/committee.html" TargetMode="External"/><Relationship Id="rId42" Type="http://schemas.openxmlformats.org/officeDocument/2006/relationships/hyperlink" Target="https://noapteacercetatorilor.ulbsibiu.ro/ro/" TargetMode="External"/><Relationship Id="rId47" Type="http://schemas.openxmlformats.org/officeDocument/2006/relationships/hyperlink" Target="https://noapteacercetatorilor.ulbsibiu.ro/ro/" TargetMode="External"/><Relationship Id="rId63" Type="http://schemas.openxmlformats.org/officeDocument/2006/relationships/hyperlink" Target="https://www.38danubia.org/scientific-committee" TargetMode="External"/><Relationship Id="rId68" Type="http://schemas.openxmlformats.org/officeDocument/2006/relationships/hyperlink" Target="https://imane.ro/" TargetMode="External"/><Relationship Id="rId2" Type="http://schemas.openxmlformats.org/officeDocument/2006/relationships/hyperlink" Target="http://www.7th-gmee.org/com.html" TargetMode="External"/><Relationship Id="rId16" Type="http://schemas.openxmlformats.org/officeDocument/2006/relationships/hyperlink" Target="https://www.edass.org/international-conference/" TargetMode="External"/><Relationship Id="rId29" Type="http://schemas.openxmlformats.org/officeDocument/2006/relationships/hyperlink" Target="http://www.stomasibiu.wordpress.com/" TargetMode="External"/><Relationship Id="rId11" Type="http://schemas.openxmlformats.org/officeDocument/2006/relationships/hyperlink" Target="http://www.icaa2022.com/?op=committee" TargetMode="External"/><Relationship Id="rId24" Type="http://schemas.openxmlformats.org/officeDocument/2006/relationships/hyperlink" Target="https://iated.org/archive/inted2022" TargetMode="External"/><Relationship Id="rId32" Type="http://schemas.openxmlformats.org/officeDocument/2006/relationships/hyperlink" Target="https://www.lobbyart-anthropology.ro/Anthropology--and--Communication.php" TargetMode="External"/><Relationship Id="rId37" Type="http://schemas.openxmlformats.org/officeDocument/2006/relationships/hyperlink" Target="https://pro-ve-2022.ipl.pt/committees" TargetMode="External"/><Relationship Id="rId40" Type="http://schemas.openxmlformats.org/officeDocument/2006/relationships/hyperlink" Target="http://www.iwemb.org/2022/committee.html" TargetMode="External"/><Relationship Id="rId45" Type="http://schemas.openxmlformats.org/officeDocument/2006/relationships/hyperlink" Target="https://conferences.ulbsibiu.ro/mdis/2022/scientific_committee.php" TargetMode="External"/><Relationship Id="rId53" Type="http://schemas.openxmlformats.org/officeDocument/2006/relationships/hyperlink" Target="http://textile.webhost.uoradea.ro/Conferinta/2022/index.html" TargetMode="External"/><Relationship Id="rId58" Type="http://schemas.openxmlformats.org/officeDocument/2006/relationships/hyperlink" Target="http://conference.icmas.eu/" TargetMode="External"/><Relationship Id="rId66" Type="http://schemas.openxmlformats.org/officeDocument/2006/relationships/hyperlink" Target="https://noapteacercetatorilor.ulbsibiu.ro/ro/program/facultatea-de-inginerie/" TargetMode="External"/><Relationship Id="rId5" Type="http://schemas.openxmlformats.org/officeDocument/2006/relationships/hyperlink" Target="http://www.icnisc2022.com/?op=committee" TargetMode="External"/><Relationship Id="rId61" Type="http://schemas.openxmlformats.org/officeDocument/2006/relationships/hyperlink" Target="https://noapteacercetatorilor.ulbsibiu.ro/ro/program/facultatea-de-inginerie/" TargetMode="External"/><Relationship Id="rId19" Type="http://schemas.openxmlformats.org/officeDocument/2006/relationships/hyperlink" Target="https://2022.iccsa.org/workshops.html" TargetMode="External"/><Relationship Id="rId14" Type="http://schemas.openxmlformats.org/officeDocument/2006/relationships/hyperlink" Target="http://www.msee2022.com/?op=committees" TargetMode="External"/><Relationship Id="rId22" Type="http://schemas.openxmlformats.org/officeDocument/2006/relationships/hyperlink" Target="https://modtech.ro/conference/docs/Call-for-Papers-ModTech2022.pdf" TargetMode="External"/><Relationship Id="rId27" Type="http://schemas.openxmlformats.org/officeDocument/2006/relationships/hyperlink" Target="https://noapteacercetatorilor.ulbsibiu.ro/ro/program/facultatea-de-inginerie/" TargetMode="External"/><Relationship Id="rId30" Type="http://schemas.openxmlformats.org/officeDocument/2006/relationships/hyperlink" Target="http://www.stomasibiu.wordpress.com/" TargetMode="External"/><Relationship Id="rId35" Type="http://schemas.openxmlformats.org/officeDocument/2006/relationships/hyperlink" Target="https://events.ulbsibiu.ro/innovationdays/2022.php" TargetMode="External"/><Relationship Id="rId43" Type="http://schemas.openxmlformats.org/officeDocument/2006/relationships/hyperlink" Target="https://events.ulbsibiu.ro/innovationdays/2022.php" TargetMode="External"/><Relationship Id="rId48" Type="http://schemas.openxmlformats.org/officeDocument/2006/relationships/hyperlink" Target="https://www.38danubia.org/" TargetMode="External"/><Relationship Id="rId56" Type="http://schemas.openxmlformats.org/officeDocument/2006/relationships/hyperlink" Target="https://noapteacercetatorilor.ulbsibiu.ro/ro/program/facultatea-de-inginerie/" TargetMode="External"/><Relationship Id="rId64" Type="http://schemas.openxmlformats.org/officeDocument/2006/relationships/hyperlink" Target="https://www.38danubia.org/_files/ugd/8c566f_0f8dcd9d0b994d4fa5e79889beaf4a98.pdf" TargetMode="External"/><Relationship Id="rId69" Type="http://schemas.openxmlformats.org/officeDocument/2006/relationships/hyperlink" Target="https://www.cadetinova.ro/index.php/ro/organizare/comitet-stiintific-de-recenzare" TargetMode="External"/><Relationship Id="rId8" Type="http://schemas.openxmlformats.org/officeDocument/2006/relationships/hyperlink" Target="http://ing.utgjiu.ro/wp-content/conferinte/confereng2022/index.html" TargetMode="External"/><Relationship Id="rId51" Type="http://schemas.openxmlformats.org/officeDocument/2006/relationships/hyperlink" Target="https://noapteacercetatorilor.ulbsibiu.ro/ro/" TargetMode="External"/><Relationship Id="rId72" Type="http://schemas.openxmlformats.org/officeDocument/2006/relationships/hyperlink" Target="https://www.unipa.it/FORTHEM-Food-Science-Lab--Beyond-the-Horizon-Europe-and-Green-Deal/" TargetMode="External"/><Relationship Id="rId3" Type="http://schemas.openxmlformats.org/officeDocument/2006/relationships/hyperlink" Target="https://www.primemeetings.org/2022/magnetism-magnetic-materials/committee" TargetMode="External"/><Relationship Id="rId12" Type="http://schemas.openxmlformats.org/officeDocument/2006/relationships/hyperlink" Target="https://www.icbdai.com/committee" TargetMode="External"/><Relationship Id="rId17" Type="http://schemas.openxmlformats.org/officeDocument/2006/relationships/hyperlink" Target="http://www.sschd2022.com/?op=committee" TargetMode="External"/><Relationship Id="rId25" Type="http://schemas.openxmlformats.org/officeDocument/2006/relationships/hyperlink" Target="https://iated.org/archive/iceri2022" TargetMode="External"/><Relationship Id="rId33" Type="http://schemas.openxmlformats.org/officeDocument/2006/relationships/hyperlink" Target="https://iccp.ro/iccp2022/" TargetMode="External"/><Relationship Id="rId38" Type="http://schemas.openxmlformats.org/officeDocument/2006/relationships/hyperlink" Target="http://arquivo.uninova.pt/doceis/doceis22/program_committee/" TargetMode="External"/><Relationship Id="rId46" Type="http://schemas.openxmlformats.org/officeDocument/2006/relationships/hyperlink" Target="https://noapteacercetatorilor.ulbsibiu.ro/ro/" TargetMode="External"/><Relationship Id="rId59" Type="http://schemas.openxmlformats.org/officeDocument/2006/relationships/hyperlink" Target="http://conference.icmas.eu/" TargetMode="External"/><Relationship Id="rId67" Type="http://schemas.openxmlformats.org/officeDocument/2006/relationships/hyperlink" Target="http://conference.icmas.eu/2017/01/06/international-scientific-committee/" TargetMode="External"/><Relationship Id="rId20" Type="http://schemas.openxmlformats.org/officeDocument/2006/relationships/hyperlink" Target="https://noapteacercetatorilor.ulbsibiu.ro/ro/" TargetMode="External"/><Relationship Id="rId41" Type="http://schemas.openxmlformats.org/officeDocument/2006/relationships/hyperlink" Target="https://www.iaria.org/conferences2022/ComIARIACongress22.html" TargetMode="External"/><Relationship Id="rId54" Type="http://schemas.openxmlformats.org/officeDocument/2006/relationships/hyperlink" Target="https://noapteacercetatorilor.ulbsibiu.ro/ro/program/facultatea-de-inginerie/" TargetMode="External"/><Relationship Id="rId62" Type="http://schemas.openxmlformats.org/officeDocument/2006/relationships/hyperlink" Target="https://noapteacercetatorilor.ulbsibiu.ro/ro/program/facultatea-de-inginerie/" TargetMode="External"/><Relationship Id="rId70" Type="http://schemas.openxmlformats.org/officeDocument/2006/relationships/hyperlink" Target="https://newtech2022.sciencesconf.org/resource/page/id/3" TargetMode="External"/><Relationship Id="rId1" Type="http://schemas.openxmlformats.org/officeDocument/2006/relationships/hyperlink" Target="https://en.iconsad.org/" TargetMode="External"/><Relationship Id="rId6" Type="http://schemas.openxmlformats.org/officeDocument/2006/relationships/hyperlink" Target="http://www.icmse2022.net/?op=committee" TargetMode="External"/><Relationship Id="rId15" Type="http://schemas.openxmlformats.org/officeDocument/2006/relationships/hyperlink" Target="http://www.hmas2022.com/?op=committee" TargetMode="External"/><Relationship Id="rId23" Type="http://schemas.openxmlformats.org/officeDocument/2006/relationships/hyperlink" Target="http://www.modtech.ro/" TargetMode="External"/><Relationship Id="rId28" Type="http://schemas.openxmlformats.org/officeDocument/2006/relationships/hyperlink" Target="http://www.stomasibiu.wordpress.com/" TargetMode="External"/><Relationship Id="rId36" Type="http://schemas.openxmlformats.org/officeDocument/2006/relationships/hyperlink" Target="https://events.ulbsibiu.ro/innovationdays/" TargetMode="External"/><Relationship Id="rId49" Type="http://schemas.openxmlformats.org/officeDocument/2006/relationships/hyperlink" Target="http://cadetinova.ro/index.php/en/" TargetMode="External"/><Relationship Id="rId57" Type="http://schemas.openxmlformats.org/officeDocument/2006/relationships/hyperlink" Target="https://noapteacercetatorilor.ulbsibiu.ro/ro/program/facultatea-de-inginerie/" TargetMode="External"/><Relationship Id="rId10" Type="http://schemas.openxmlformats.org/officeDocument/2006/relationships/hyperlink" Target="http://www.edep2022.com/?op=committee" TargetMode="External"/><Relationship Id="rId31" Type="http://schemas.openxmlformats.org/officeDocument/2006/relationships/hyperlink" Target="https://modtech.ro/conference/ModTech2022_Presentation.php" TargetMode="External"/><Relationship Id="rId44" Type="http://schemas.openxmlformats.org/officeDocument/2006/relationships/hyperlink" Target="https://sites.google.com/ulbsibiu.ro/sbc-summit" TargetMode="External"/><Relationship Id="rId52" Type="http://schemas.openxmlformats.org/officeDocument/2006/relationships/hyperlink" Target="https://noapteacercetatorilor.ulbsibiu.ro/ro/program/facultatea-de-inginerie/" TargetMode="External"/><Relationship Id="rId60" Type="http://schemas.openxmlformats.org/officeDocument/2006/relationships/hyperlink" Target="https://noapteacercetatorilor.ulbsibiu.ro/ro/" TargetMode="External"/><Relationship Id="rId65" Type="http://schemas.openxmlformats.org/officeDocument/2006/relationships/hyperlink" Target="https://noapteacercetatorilor.ulbsibiu.ro/ro/" TargetMode="External"/><Relationship Id="rId73" Type="http://schemas.openxmlformats.org/officeDocument/2006/relationships/hyperlink" Target="https://gsemm.gr/eventsEn/" TargetMode="External"/><Relationship Id="rId4" Type="http://schemas.openxmlformats.org/officeDocument/2006/relationships/hyperlink" Target="https://2022.icgeesd.cn/committee" TargetMode="External"/><Relationship Id="rId9" Type="http://schemas.openxmlformats.org/officeDocument/2006/relationships/hyperlink" Target="http://www.aics2022.com/?op=committee" TargetMode="External"/><Relationship Id="rId13" Type="http://schemas.openxmlformats.org/officeDocument/2006/relationships/hyperlink" Target="http://www.iwmse2022.net/?op=committee" TargetMode="External"/><Relationship Id="rId18" Type="http://schemas.openxmlformats.org/officeDocument/2006/relationships/hyperlink" Target="https://noapteacercetatorilor.ulbsibiu.ro/ro/" TargetMode="External"/><Relationship Id="rId39" Type="http://schemas.openxmlformats.org/officeDocument/2006/relationships/hyperlink" Target="https://smartgreens.scitevents.org/ProgramCommittee.aspx?y=2022" TargetMode="External"/><Relationship Id="rId34" Type="http://schemas.openxmlformats.org/officeDocument/2006/relationships/hyperlink" Target="https://connected-systems.org/VisionNet2022/committee.html" TargetMode="External"/><Relationship Id="rId50" Type="http://schemas.openxmlformats.org/officeDocument/2006/relationships/hyperlink" Target="https://www.38danubia.org/" TargetMode="External"/><Relationship Id="rId55" Type="http://schemas.openxmlformats.org/officeDocument/2006/relationships/hyperlink" Target="https://noapteacercetatorilor.ulbsibiu.ro/ro/" TargetMode="External"/><Relationship Id="rId7" Type="http://schemas.openxmlformats.org/officeDocument/2006/relationships/hyperlink" Target="http://www.utgjiu.ro/cercetare/fdsm/Symposium/SYMECH2022" TargetMode="External"/><Relationship Id="rId71" Type="http://schemas.openxmlformats.org/officeDocument/2006/relationships/hyperlink" Target="https://noapteacercetatorilor.ulbsibiu.ro/r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events.ulbsibiu.ro/event.cupadeschi/"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ijomam.com/wp-content/uploads/2022/11/pp148-155.pdf" TargetMode="External"/><Relationship Id="rId21" Type="http://schemas.openxmlformats.org/officeDocument/2006/relationships/hyperlink" Target="https://www.webofscience.com/wos/woscc/full-record/WOS:000892702000001" TargetMode="External"/><Relationship Id="rId63" Type="http://schemas.openxmlformats.org/officeDocument/2006/relationships/hyperlink" Target="https://www.mdpi.com/1996-1944/15/19/7020" TargetMode="External"/><Relationship Id="rId159" Type="http://schemas.openxmlformats.org/officeDocument/2006/relationships/hyperlink" Target="https://www.scopus.com/record/display.uri?src=s&amp;origin=cto&amp;ctoId=CTODS_1637394682&amp;stateKey=CTOF_1637394683&amp;eid=2-s2.0-85139298608" TargetMode="External"/><Relationship Id="rId170" Type="http://schemas.openxmlformats.org/officeDocument/2006/relationships/hyperlink" Target="https://1510q6i4x-y-https-www-webofscience-com.z.e-nformation.ro/wos/woscc/full-record/WOS:000786137100001" TargetMode="External"/><Relationship Id="rId226" Type="http://schemas.openxmlformats.org/officeDocument/2006/relationships/hyperlink" Target="https://doi.org/10.3390/machines10100886" TargetMode="External"/><Relationship Id="rId268" Type="http://schemas.openxmlformats.org/officeDocument/2006/relationships/hyperlink" Target="https://www.sciencedirect.com/science/article/abs/pii/S2214785322035957" TargetMode="External"/><Relationship Id="rId32" Type="http://schemas.openxmlformats.org/officeDocument/2006/relationships/hyperlink" Target="https://www.mdpi.com/2071-1050/14/14/8737" TargetMode="External"/><Relationship Id="rId74" Type="http://schemas.openxmlformats.org/officeDocument/2006/relationships/hyperlink" Target="https://doi.org/10.3390/ma15082735" TargetMode="External"/><Relationship Id="rId128" Type="http://schemas.openxmlformats.org/officeDocument/2006/relationships/hyperlink" Target="https://atna-mam.utcluj.ro/index.php/Acta/article/view/1740" TargetMode="External"/><Relationship Id="rId5" Type="http://schemas.openxmlformats.org/officeDocument/2006/relationships/hyperlink" Target="https://www.webofscience.com/wos/woscc/full-record/WOS:000868786400008" TargetMode="External"/><Relationship Id="rId181" Type="http://schemas.openxmlformats.org/officeDocument/2006/relationships/hyperlink" Target="https://ieeexplore.ieee.org/document/9804721" TargetMode="External"/><Relationship Id="rId237" Type="http://schemas.openxmlformats.org/officeDocument/2006/relationships/hyperlink" Target="https://www.mdpi.com/1996-1944/15/8/2735" TargetMode="External"/><Relationship Id="rId279" Type="http://schemas.openxmlformats.org/officeDocument/2006/relationships/hyperlink" Target="https://www.sciencedirect.com/science/article/pii/S2214785322014572?via%3Dihub" TargetMode="External"/><Relationship Id="rId43" Type="http://schemas.openxmlformats.org/officeDocument/2006/relationships/hyperlink" Target="https://www.mdpi.com/2076-3417/12/5/2475" TargetMode="External"/><Relationship Id="rId139" Type="http://schemas.openxmlformats.org/officeDocument/2006/relationships/hyperlink" Target="https://0m10m2huf-y-https-www-webofscience-com.z.e-nformation.ro/wos/woscc/full-record/WOS:000936379500012" TargetMode="External"/><Relationship Id="rId290" Type="http://schemas.openxmlformats.org/officeDocument/2006/relationships/hyperlink" Target="https://doi.org/10.3389/fphy.2022.929463" TargetMode="External"/><Relationship Id="rId85" Type="http://schemas.openxmlformats.org/officeDocument/2006/relationships/hyperlink" Target="https://www.webofscience.com/wos/woscc/full-record/WOS:000839704000001" TargetMode="External"/><Relationship Id="rId150" Type="http://schemas.openxmlformats.org/officeDocument/2006/relationships/hyperlink" Target="https://doi.org/10.3390/a15040105" TargetMode="External"/><Relationship Id="rId192" Type="http://schemas.openxmlformats.org/officeDocument/2006/relationships/hyperlink" Target="https://www.webofscience.com/wos/woscc/full-record/WOS:000839704000001" TargetMode="External"/><Relationship Id="rId206" Type="http://schemas.openxmlformats.org/officeDocument/2006/relationships/hyperlink" Target="https://ieeexplore.ieee.org/document/9959758" TargetMode="External"/><Relationship Id="rId248" Type="http://schemas.openxmlformats.org/officeDocument/2006/relationships/hyperlink" Target="https://www.mdpi.com/2075-1702/10/10/886/htm" TargetMode="External"/><Relationship Id="rId12" Type="http://schemas.openxmlformats.org/officeDocument/2006/relationships/hyperlink" Target="https://www.mdpi.com/1660-4601/19/18/11333" TargetMode="External"/><Relationship Id="rId108" Type="http://schemas.openxmlformats.org/officeDocument/2006/relationships/hyperlink" Target="https://0m10m0j9g-y-https-www-webofscience-com.z.e-nformation.ro/wos/woscc/full-record/WOS:000773188500018" TargetMode="External"/><Relationship Id="rId54" Type="http://schemas.openxmlformats.org/officeDocument/2006/relationships/hyperlink" Target="https://www-webofscience-com.am.e-nformation.ro/wos/woscc/full-record/WOS:000794353000001" TargetMode="External"/><Relationship Id="rId75" Type="http://schemas.openxmlformats.org/officeDocument/2006/relationships/hyperlink" Target="https://www.webofscience.com/wos/woscc/full-record/WOS:000822293000001" TargetMode="External"/><Relationship Id="rId96" Type="http://schemas.openxmlformats.org/officeDocument/2006/relationships/hyperlink" Target="https://www.mdpi.com/1660-4601/19/17/10935" TargetMode="External"/><Relationship Id="rId140" Type="http://schemas.openxmlformats.org/officeDocument/2006/relationships/hyperlink" Target="https://atna-mam.utcluj.ro/index.php/Acta/article/view/2009" TargetMode="External"/><Relationship Id="rId161" Type="http://schemas.openxmlformats.org/officeDocument/2006/relationships/hyperlink" Target="https://dx.doi.org/10.14569/IJACSA.2022.0130964" TargetMode="External"/><Relationship Id="rId182" Type="http://schemas.openxmlformats.org/officeDocument/2006/relationships/hyperlink" Target="https://www.webofscience.com/wos/woscc/full-record/WOS:000839704000001" TargetMode="External"/><Relationship Id="rId217" Type="http://schemas.openxmlformats.org/officeDocument/2006/relationships/hyperlink" Target="https://www.scopus.com/record/display.uri?eid=2-s2.0-85127569219&amp;origin=resultslist&amp;sort=plf-f" TargetMode="External"/><Relationship Id="rId6" Type="http://schemas.openxmlformats.org/officeDocument/2006/relationships/hyperlink" Target="https://www.sciencedirect.com/science/article/pii/S2444569X2200107X" TargetMode="External"/><Relationship Id="rId238" Type="http://schemas.openxmlformats.org/officeDocument/2006/relationships/hyperlink" Target="https://doi.org/10.3390/ma15082735" TargetMode="External"/><Relationship Id="rId259" Type="http://schemas.openxmlformats.org/officeDocument/2006/relationships/hyperlink" Target="https://www.webofscience.com/wos/woscc/full-record/WOS:000771333700001" TargetMode="External"/><Relationship Id="rId23" Type="http://schemas.openxmlformats.org/officeDocument/2006/relationships/hyperlink" Target="https://www.webofscience.com/wos/woscc/full-record/WOS:000869482700004" TargetMode="External"/><Relationship Id="rId119" Type="http://schemas.openxmlformats.org/officeDocument/2006/relationships/hyperlink" Target="https://ijomam.com/wp-content/uploads/2022/11/pp94-98.pdf" TargetMode="External"/><Relationship Id="rId270" Type="http://schemas.openxmlformats.org/officeDocument/2006/relationships/hyperlink" Target="https://www.matec-conferences.org/articles/matecconf/abs/2022/15/matecconf_newtech22_01006/matecconf_newtech22_01006.html" TargetMode="External"/><Relationship Id="rId291" Type="http://schemas.openxmlformats.org/officeDocument/2006/relationships/hyperlink" Target="https://www.mdpi.com/2079-6412/12/3/391/pdf" TargetMode="External"/><Relationship Id="rId44" Type="http://schemas.openxmlformats.org/officeDocument/2006/relationships/hyperlink" Target="https://doi.org/10.3390/app12052475" TargetMode="External"/><Relationship Id="rId65" Type="http://schemas.openxmlformats.org/officeDocument/2006/relationships/hyperlink" Target="https://www-webofscience-com.am.e-nformation.ro/wos/woscc/full-record/WOS:000895207400001" TargetMode="External"/><Relationship Id="rId86" Type="http://schemas.openxmlformats.org/officeDocument/2006/relationships/hyperlink" Target="https://www.mdpi.com/2227-7390/10/15/2725" TargetMode="External"/><Relationship Id="rId130" Type="http://schemas.openxmlformats.org/officeDocument/2006/relationships/hyperlink" Target="https://atna-mam.utcluj.ro/index.php/Acta/article/view/1743" TargetMode="External"/><Relationship Id="rId151" Type="http://schemas.openxmlformats.org/officeDocument/2006/relationships/hyperlink" Target="https://www.mdpi.com/2078-2489/13/10/472" TargetMode="External"/><Relationship Id="rId172" Type="http://schemas.openxmlformats.org/officeDocument/2006/relationships/hyperlink" Target="https://151096iah-y-https-www-scopus-com.z.e-nformation.ro/record/display.uri?eid=2-s2.0-85140009979&amp;origin=resultslist&amp;sort=plf-f" TargetMode="External"/><Relationship Id="rId193" Type="http://schemas.openxmlformats.org/officeDocument/2006/relationships/hyperlink" Target="https://www.mdpi.com/2227-7390/10/15/2725" TargetMode="External"/><Relationship Id="rId207" Type="http://schemas.openxmlformats.org/officeDocument/2006/relationships/hyperlink" Target="https://www.scopus.com/record/display.uri?eid=2-s2.0-85132367286&amp;origin=resultslist&amp;sort=plf-f" TargetMode="External"/><Relationship Id="rId228" Type="http://schemas.openxmlformats.org/officeDocument/2006/relationships/hyperlink" Target="https://www.mdpi.com/2075-1702/10/10/886" TargetMode="External"/><Relationship Id="rId249" Type="http://schemas.openxmlformats.org/officeDocument/2006/relationships/hyperlink" Target="https://doi.org/10.3390/machines10100886" TargetMode="External"/><Relationship Id="rId13" Type="http://schemas.openxmlformats.org/officeDocument/2006/relationships/hyperlink" Target="https://www.webofscience.com/wos/woscc/full-record/WOS:000794689400001" TargetMode="External"/><Relationship Id="rId109" Type="http://schemas.openxmlformats.org/officeDocument/2006/relationships/hyperlink" Target="https://atna-mam.utcluj.ro/index.php/Acta/article/view/1747" TargetMode="External"/><Relationship Id="rId260" Type="http://schemas.openxmlformats.org/officeDocument/2006/relationships/hyperlink" Target="https://www.mdpi.com/2076-3417/12/5/2475" TargetMode="External"/><Relationship Id="rId281" Type="http://schemas.openxmlformats.org/officeDocument/2006/relationships/hyperlink" Target="https://www.scopus.com/record/display.uri?eid=2-s2.0-85142357543&amp;origin=resultslist&amp;sort=plf-f" TargetMode="External"/><Relationship Id="rId34" Type="http://schemas.openxmlformats.org/officeDocument/2006/relationships/hyperlink" Target="https://www.mdpi.com/2071-1050/14/9/5231" TargetMode="External"/><Relationship Id="rId55" Type="http://schemas.openxmlformats.org/officeDocument/2006/relationships/hyperlink" Target="https://www.mdpi.com/1996-1944/15/9/3088" TargetMode="External"/><Relationship Id="rId76" Type="http://schemas.openxmlformats.org/officeDocument/2006/relationships/hyperlink" Target="https://www.mdpi.com/2076-3417/12/13/6636" TargetMode="External"/><Relationship Id="rId97" Type="http://schemas.openxmlformats.org/officeDocument/2006/relationships/hyperlink" Target="https://1510q6buz-y-https-www-webofscience-com.z.e-nformation.ro/wos/woscc/full-record/WOS:000801539100001" TargetMode="External"/><Relationship Id="rId120" Type="http://schemas.openxmlformats.org/officeDocument/2006/relationships/hyperlink" Target="https://www-scopus-com.am.e-nformation.ro/record/display.uri?eid=2-s2.0-85134387640&amp;origin=resultslist&amp;sort=plf-f&amp;src=s&amp;st1=Verification+of+the+normal+distribution+of+experimental+data+obtained+by+milling+of+aluminum+alloys&amp;sid=410c413e5d705ce99fc764ecfd72135c&amp;sot=b&amp;sdt=b&amp;sl=114&amp;s=TITLE-ABS-KEY%28Verification+of+the+normal+distribution+of+experimental+data+obtained+by+milling+of+aluminum+alloys%29&amp;relpos=0&amp;citeCnt=0&amp;searchTerm=" TargetMode="External"/><Relationship Id="rId141" Type="http://schemas.openxmlformats.org/officeDocument/2006/relationships/hyperlink" Target="https://0m10m2huf-y-https-www-webofscience-com.z.e-nformation.ro/wos/woscc/full-record/WOS:000936379500009" TargetMode="External"/><Relationship Id="rId7" Type="http://schemas.openxmlformats.org/officeDocument/2006/relationships/hyperlink" Target="https://www.webofscience.com/wos/woscc/full-record/WOS:000902493300001" TargetMode="External"/><Relationship Id="rId162" Type="http://schemas.openxmlformats.org/officeDocument/2006/relationships/hyperlink" Target="https://www.scopus.com/record/display.uri?src=s&amp;origin=cto&amp;ctoId=CTODS_1637394682&amp;stateKey=CTOF_1637394683&amp;eid=2-s2.0-85126988249" TargetMode="External"/><Relationship Id="rId183" Type="http://schemas.openxmlformats.org/officeDocument/2006/relationships/hyperlink" Target="https://www.mdpi.com/2227-7390/10/15/2725" TargetMode="External"/><Relationship Id="rId218" Type="http://schemas.openxmlformats.org/officeDocument/2006/relationships/hyperlink" Target="https://www.sciencedirect.com/science/article/pii/S2214785322014572" TargetMode="External"/><Relationship Id="rId239" Type="http://schemas.openxmlformats.org/officeDocument/2006/relationships/hyperlink" Target="https://www.webofscience.com/wos/woscc/full-record/WOS:000775334900001" TargetMode="External"/><Relationship Id="rId250" Type="http://schemas.openxmlformats.org/officeDocument/2006/relationships/hyperlink" Target="https://www.scopus.com/record/display.uri?eid=2-s2.0-85142357543&amp;origin=resultslist&amp;sort=plf-f" TargetMode="External"/><Relationship Id="rId271" Type="http://schemas.openxmlformats.org/officeDocument/2006/relationships/hyperlink" Target="https://doi.org/10.1051/matecconf/202236801006" TargetMode="External"/><Relationship Id="rId292" Type="http://schemas.openxmlformats.org/officeDocument/2006/relationships/hyperlink" Target="https://doi.org/10.3390/coatings12030391" TargetMode="External"/><Relationship Id="rId24" Type="http://schemas.openxmlformats.org/officeDocument/2006/relationships/hyperlink" Target="https://univagora.ro/jour/index.php/ijccc/article/view/4854" TargetMode="External"/><Relationship Id="rId45" Type="http://schemas.openxmlformats.org/officeDocument/2006/relationships/hyperlink" Target="https://1510q6er5-y-https-www-webofscience-com.z.e-nformation.ro/wos/woscc/full-record/WOS:000822293000001" TargetMode="External"/><Relationship Id="rId66" Type="http://schemas.openxmlformats.org/officeDocument/2006/relationships/hyperlink" Target="https://www.mdpi.com/2072-666X/13/11/1986" TargetMode="External"/><Relationship Id="rId87" Type="http://schemas.openxmlformats.org/officeDocument/2006/relationships/hyperlink" Target="https://www.webofscience.com/wos/woscc/full-record/WOS:000866278700017" TargetMode="External"/><Relationship Id="rId110" Type="http://schemas.openxmlformats.org/officeDocument/2006/relationships/hyperlink" Target="https://0m10m0j9g-y-https-www-webofscience-com.z.e-nformation.ro/wos/woscc/full-record/WOS:000858234800001" TargetMode="External"/><Relationship Id="rId131" Type="http://schemas.openxmlformats.org/officeDocument/2006/relationships/hyperlink" Target="https://0m10m0j9g-y-https-www-webofscience-com.z.e-nformation.ro/wos/woscc/full-record/WOS:000773188500018" TargetMode="External"/><Relationship Id="rId152" Type="http://schemas.openxmlformats.org/officeDocument/2006/relationships/hyperlink" Target="https://doi.org/10.3390/info13100472" TargetMode="External"/><Relationship Id="rId173" Type="http://schemas.openxmlformats.org/officeDocument/2006/relationships/hyperlink" Target="https://ht.csr-pub.eu/index.php/ht/article/view/315/246" TargetMode="External"/><Relationship Id="rId194" Type="http://schemas.openxmlformats.org/officeDocument/2006/relationships/hyperlink" Target="https://www.webofscience.com/wos/woscc/full-record/WOS:000866278700017" TargetMode="External"/><Relationship Id="rId208" Type="http://schemas.openxmlformats.org/officeDocument/2006/relationships/hyperlink" Target="https://www.sciencedirect.com/science/article/pii/S2214785322035957?pes=vor" TargetMode="External"/><Relationship Id="rId229" Type="http://schemas.openxmlformats.org/officeDocument/2006/relationships/hyperlink" Target="https://doi.org/10.3390/machines10100886" TargetMode="External"/><Relationship Id="rId240" Type="http://schemas.openxmlformats.org/officeDocument/2006/relationships/hyperlink" Target="https://www.mdpi.com/1660-4601/19/6/3707/htm" TargetMode="External"/><Relationship Id="rId261" Type="http://schemas.openxmlformats.org/officeDocument/2006/relationships/hyperlink" Target="https://doi.org/10.3390/app12052475" TargetMode="External"/><Relationship Id="rId14" Type="http://schemas.openxmlformats.org/officeDocument/2006/relationships/hyperlink" Target="https://www.mdpi.com/1660-4601/19/9/5177" TargetMode="External"/><Relationship Id="rId35" Type="http://schemas.openxmlformats.org/officeDocument/2006/relationships/hyperlink" Target="https://www.webofscience.com/wos/woscc/full-record/WOS:000743124200001" TargetMode="External"/><Relationship Id="rId56" Type="http://schemas.openxmlformats.org/officeDocument/2006/relationships/hyperlink" Target="https://doi.org/10.3390/ma15093088" TargetMode="External"/><Relationship Id="rId77" Type="http://schemas.openxmlformats.org/officeDocument/2006/relationships/hyperlink" Target="https://doi.org/10.3390/app12136636" TargetMode="External"/><Relationship Id="rId100" Type="http://schemas.openxmlformats.org/officeDocument/2006/relationships/hyperlink" Target="https://www.mdpi.com/search?authors=Dobrot%C4%83&amp;journal=sensors&amp;volume=22&amp;issue=1" TargetMode="External"/><Relationship Id="rId282" Type="http://schemas.openxmlformats.org/officeDocument/2006/relationships/hyperlink" Target="https://www.scopus.com/record/display.uri?eid=2-s2.0-85142349858&amp;origin=resultslist&amp;sort=plf-f&amp;src=s&amp;sid=7ccb1885b3451959b1c0fadad0ddabaa&amp;sot=a&amp;sdt=a&amp;sl=38&amp;s=AU-ID%2857215866756%29+AND+PUBYEAR+IS+2022&amp;relpos=3&amp;citeCnt=0&amp;searchTerm=" TargetMode="External"/><Relationship Id="rId8" Type="http://schemas.openxmlformats.org/officeDocument/2006/relationships/hyperlink" Target="https://www.mdpi.com/1660-4601/19/24/16568" TargetMode="External"/><Relationship Id="rId98" Type="http://schemas.openxmlformats.org/officeDocument/2006/relationships/hyperlink" Target="https://www.mdpi.com/2071-1050/14/10/5758" TargetMode="External"/><Relationship Id="rId121" Type="http://schemas.openxmlformats.org/officeDocument/2006/relationships/hyperlink" Target="https://ijomam.com/wp-content/uploads/2017/02/pag.-89-94_VERIFICATION-OF-THE-NORMAL-DISTRIBUTION-OF-EXPERIMENTAL-DATA.pdf" TargetMode="External"/><Relationship Id="rId142" Type="http://schemas.openxmlformats.org/officeDocument/2006/relationships/hyperlink" Target="https://atna-mam.utcluj.ro/index.php/Acta/article/view/2006" TargetMode="External"/><Relationship Id="rId163" Type="http://schemas.openxmlformats.org/officeDocument/2006/relationships/hyperlink" Target="https://www.mdpi.com/2076-3417/12/6/3038" TargetMode="External"/><Relationship Id="rId184" Type="http://schemas.openxmlformats.org/officeDocument/2006/relationships/hyperlink" Target="https://www.scopus.com/record/display.uri?eid=2-s2.0-85134177773&amp;origin=resultslist&amp;sort=plf-f&amp;src=s&amp;st1=Extending+Sniper+with+Support+to+Access+Operand+Values%3a+A+Case+Study+on+Reusability+Measurement&amp;sid=ca0c6882e1c2d028fe5132efcc5fe07a&amp;sot=b&amp;sdt=b&amp;sl=102&amp;s=TITLE%28Extending+Sniper+with+Support+to+Access+Operand+Values%3a+A+Case+Study+on+Reusability+Measurement%29&amp;relpos=0&amp;citeCnt=0&amp;searchTerm=" TargetMode="External"/><Relationship Id="rId219" Type="http://schemas.openxmlformats.org/officeDocument/2006/relationships/hyperlink" Target="https://doi.org/10.1016/j.matpr.2022.03.134" TargetMode="External"/><Relationship Id="rId230" Type="http://schemas.openxmlformats.org/officeDocument/2006/relationships/hyperlink" Target="https://www.webofscience.com/wos/woscc/full-record/WOS:000833724900001" TargetMode="External"/><Relationship Id="rId251" Type="http://schemas.openxmlformats.org/officeDocument/2006/relationships/hyperlink" Target="https://www.webofscience.com/wos/woscc/full-record/WOS:000833724900001" TargetMode="External"/><Relationship Id="rId25" Type="http://schemas.openxmlformats.org/officeDocument/2006/relationships/hyperlink" Target="https://www.webofscience.com/wos/woscc/full-record/WOS:000858039400001" TargetMode="External"/><Relationship Id="rId46" Type="http://schemas.openxmlformats.org/officeDocument/2006/relationships/hyperlink" Target="https://www-webofscience-com.am.e-nformation.ro/wos/woscc/full-record/WOS:000751266200001" TargetMode="External"/><Relationship Id="rId67" Type="http://schemas.openxmlformats.org/officeDocument/2006/relationships/hyperlink" Target="https://doi.org/10.3390/mi13111986" TargetMode="External"/><Relationship Id="rId272" Type="http://schemas.openxmlformats.org/officeDocument/2006/relationships/hyperlink" Target="https://www.webofscience.com/wos/woscc/full-record/WOS:000874293700001" TargetMode="External"/><Relationship Id="rId293" Type="http://schemas.openxmlformats.org/officeDocument/2006/relationships/hyperlink" Target="about:blank" TargetMode="External"/><Relationship Id="rId88" Type="http://schemas.openxmlformats.org/officeDocument/2006/relationships/hyperlink" Target="https://link.springer.com/chapter/10.1007/978-3-031-12429-7_17" TargetMode="External"/><Relationship Id="rId111" Type="http://schemas.openxmlformats.org/officeDocument/2006/relationships/hyperlink" Target="https://doi.org/10.3390/coatings12091349" TargetMode="External"/><Relationship Id="rId132" Type="http://schemas.openxmlformats.org/officeDocument/2006/relationships/hyperlink" Target="https://atna-mam.utcluj.ro/index.php/Acta/article/view/1747" TargetMode="External"/><Relationship Id="rId153" Type="http://schemas.openxmlformats.org/officeDocument/2006/relationships/hyperlink" Target="https://1510q6er5-y-https-www-webofscience-com.z.e-nformation.ro/wos/woscc/full-record/WOS:000771333700001" TargetMode="External"/><Relationship Id="rId174" Type="http://schemas.openxmlformats.org/officeDocument/2006/relationships/hyperlink" Target="https://www.webofscience.com/wos/woscc/full-record/WOS:000724739500001" TargetMode="External"/><Relationship Id="rId195" Type="http://schemas.openxmlformats.org/officeDocument/2006/relationships/hyperlink" Target="https://link.springer.com/chapter/10.1007/978-3-031-12429-7_17" TargetMode="External"/><Relationship Id="rId209" Type="http://schemas.openxmlformats.org/officeDocument/2006/relationships/hyperlink" Target="https://doi.org/10.1016/j.matpr.2022.05.308" TargetMode="External"/><Relationship Id="rId220" Type="http://schemas.openxmlformats.org/officeDocument/2006/relationships/hyperlink" Target="https://www.scopus.com/record/display.uri?eid=2-s2.0-85142357543&amp;origin=resultslist&amp;sort=plf-f" TargetMode="External"/><Relationship Id="rId241" Type="http://schemas.openxmlformats.org/officeDocument/2006/relationships/hyperlink" Target="https://www.webofscience.com/wos/woscc/full-record/WOS:000818797700002" TargetMode="External"/><Relationship Id="rId15" Type="http://schemas.openxmlformats.org/officeDocument/2006/relationships/hyperlink" Target="https://www.webofscience.com/wos/woscc/full-record/WOS:000758396600001" TargetMode="External"/><Relationship Id="rId36" Type="http://schemas.openxmlformats.org/officeDocument/2006/relationships/hyperlink" Target="https://www.mdpi.com/2071-1050/14/1/72" TargetMode="External"/><Relationship Id="rId57" Type="http://schemas.openxmlformats.org/officeDocument/2006/relationships/hyperlink" Target="https://www-webofscience-com.am.e-nformation.ro/wos/woscc/full-record/WOS:000831642700001" TargetMode="External"/><Relationship Id="rId262" Type="http://schemas.openxmlformats.org/officeDocument/2006/relationships/hyperlink" Target="https://www.webofscience.com/wos/woscc/full-record/WOS:000857018300001" TargetMode="External"/><Relationship Id="rId283" Type="http://schemas.openxmlformats.org/officeDocument/2006/relationships/hyperlink" Target="https://www.mdpi.com/1424-8220/22/1/28" TargetMode="External"/><Relationship Id="rId78" Type="http://schemas.openxmlformats.org/officeDocument/2006/relationships/hyperlink" Target="https://www.webofscience.com/wos/woscc/full-record/WOS:000751266200001" TargetMode="External"/><Relationship Id="rId99" Type="http://schemas.openxmlformats.org/officeDocument/2006/relationships/hyperlink" Target="https://www.webofscience.com/wos/woscc/full-record/WOS:000751266200001" TargetMode="External"/><Relationship Id="rId101" Type="http://schemas.openxmlformats.org/officeDocument/2006/relationships/hyperlink" Target="https://doi.org/10.3390/s22010028" TargetMode="External"/><Relationship Id="rId122" Type="http://schemas.openxmlformats.org/officeDocument/2006/relationships/hyperlink" Target="https://0m10m0j9g-y-https-www-webofscience-com.z.e-nformation.ro/wos/woscc/full-record/WOS:000785237200001" TargetMode="External"/><Relationship Id="rId143" Type="http://schemas.openxmlformats.org/officeDocument/2006/relationships/hyperlink" Target="https://0m10m2huf-y-https-www-webofscience-com.z.e-nformation.ro/wos/woscc/full-record/WOS:000902544400001" TargetMode="External"/><Relationship Id="rId164" Type="http://schemas.openxmlformats.org/officeDocument/2006/relationships/hyperlink" Target="https://doi.org/10.3390/app12063038" TargetMode="External"/><Relationship Id="rId185" Type="http://schemas.openxmlformats.org/officeDocument/2006/relationships/hyperlink" Target="https://ieeexplore.ieee.org/document/9805869" TargetMode="External"/><Relationship Id="rId9" Type="http://schemas.openxmlformats.org/officeDocument/2006/relationships/hyperlink" Target="https://www.webofscience.com/wos/woscc/full-record/WOS:000856495600001" TargetMode="External"/><Relationship Id="rId210" Type="http://schemas.openxmlformats.org/officeDocument/2006/relationships/hyperlink" Target="https://www.scopus.com/record/display.uri?eid=2-s2.0-85142345524&amp;origin=resultslist&amp;sort=plf-f" TargetMode="External"/><Relationship Id="rId26" Type="http://schemas.openxmlformats.org/officeDocument/2006/relationships/hyperlink" Target="https://www.mdpi.com/2073-4433/13/9/1452" TargetMode="External"/><Relationship Id="rId231" Type="http://schemas.openxmlformats.org/officeDocument/2006/relationships/hyperlink" Target="https://www.mdpi.com/2075-1702/10/7/531" TargetMode="External"/><Relationship Id="rId252" Type="http://schemas.openxmlformats.org/officeDocument/2006/relationships/hyperlink" Target="https://www.mdpi.com/2075-1702/10/7/531" TargetMode="External"/><Relationship Id="rId273" Type="http://schemas.openxmlformats.org/officeDocument/2006/relationships/hyperlink" Target="https://www.mdpi.com/2075-1702/10/10/886" TargetMode="External"/><Relationship Id="rId294" Type="http://schemas.openxmlformats.org/officeDocument/2006/relationships/hyperlink" Target="https://link.springer.com/chapter/10.1007/978-3-031-08842-1_33" TargetMode="External"/><Relationship Id="rId47" Type="http://schemas.openxmlformats.org/officeDocument/2006/relationships/hyperlink" Target="https://www.mdpi.com/1424-8220/22/1/28" TargetMode="External"/><Relationship Id="rId68" Type="http://schemas.openxmlformats.org/officeDocument/2006/relationships/hyperlink" Target="https://1510q6ck8-y-https-www-webofscience-com.z.e-nformation.ro/wos/woscc/full-record/WOS:000824110300001" TargetMode="External"/><Relationship Id="rId89" Type="http://schemas.openxmlformats.org/officeDocument/2006/relationships/hyperlink" Target="https://www.mdpi.com/1996-1944/15/18/6453" TargetMode="External"/><Relationship Id="rId112" Type="http://schemas.openxmlformats.org/officeDocument/2006/relationships/hyperlink" Target="https://0m10m2huf-y-https-www-webofscience-com.z.e-nformation.ro/wos/woscc/full-record/WOS:000900235200001" TargetMode="External"/><Relationship Id="rId133" Type="http://schemas.openxmlformats.org/officeDocument/2006/relationships/hyperlink" Target="https://0m10m0j9g-y-https-www-webofscience-com.z.e-nformation.ro/wos/woscc/full-record/WOS:000773188500003" TargetMode="External"/><Relationship Id="rId154" Type="http://schemas.openxmlformats.org/officeDocument/2006/relationships/hyperlink" Target="https://www.mdpi.com/2076-3417/12/5/2475" TargetMode="External"/><Relationship Id="rId175" Type="http://schemas.openxmlformats.org/officeDocument/2006/relationships/hyperlink" Target="https://www.sciencedirect.com/science/article/abs/pii/S2210670721006995" TargetMode="External"/><Relationship Id="rId196" Type="http://schemas.openxmlformats.org/officeDocument/2006/relationships/hyperlink" Target="https://www.webofscience.com/wos/woscc/full-record/WOS:000765802100175" TargetMode="External"/><Relationship Id="rId200" Type="http://schemas.openxmlformats.org/officeDocument/2006/relationships/hyperlink" Target="https://www.webofscience.com/wos/woscc/full-record/WOS:000776129400001" TargetMode="External"/><Relationship Id="rId16" Type="http://schemas.openxmlformats.org/officeDocument/2006/relationships/hyperlink" Target="https://www.mdpi.com/1660-4601/19/2/677" TargetMode="External"/><Relationship Id="rId221" Type="http://schemas.openxmlformats.org/officeDocument/2006/relationships/hyperlink" Target="https://www.webofscience.com/wos/woscc/full-record/WOS:000833724900001" TargetMode="External"/><Relationship Id="rId242" Type="http://schemas.openxmlformats.org/officeDocument/2006/relationships/hyperlink" Target="http://../Users/Administrator/Downloads/1-s2.0-S2214785322012251-main.pdf" TargetMode="External"/><Relationship Id="rId263" Type="http://schemas.openxmlformats.org/officeDocument/2006/relationships/hyperlink" Target="https://www.mdpi.com/1996-1944/15/18/6453" TargetMode="External"/><Relationship Id="rId284" Type="http://schemas.openxmlformats.org/officeDocument/2006/relationships/hyperlink" Target="https://10.0.13.62/s22010028" TargetMode="External"/><Relationship Id="rId37" Type="http://schemas.openxmlformats.org/officeDocument/2006/relationships/hyperlink" Target="https://www.webofscience.com/wos/woscc/full-record/WOS:000850985000001" TargetMode="External"/><Relationship Id="rId58" Type="http://schemas.openxmlformats.org/officeDocument/2006/relationships/hyperlink" Target="https://www.mdpi.com/1996-1944/15/14/4740" TargetMode="External"/><Relationship Id="rId79" Type="http://schemas.openxmlformats.org/officeDocument/2006/relationships/hyperlink" Target="https://www.mdpi.com/1424-8220/22/1/28" TargetMode="External"/><Relationship Id="rId102" Type="http://schemas.openxmlformats.org/officeDocument/2006/relationships/hyperlink" Target="https://www.webofscience.com/wos/woscc/full-record/WOS:000771333700001" TargetMode="External"/><Relationship Id="rId123" Type="http://schemas.openxmlformats.org/officeDocument/2006/relationships/hyperlink" Target="https://www.mdpi.com/2076-3417/12/8/4053" TargetMode="External"/><Relationship Id="rId144" Type="http://schemas.openxmlformats.org/officeDocument/2006/relationships/hyperlink" Target="https://www.mdpi.com/2504-4494/6/6/134" TargetMode="External"/><Relationship Id="rId90" Type="http://schemas.openxmlformats.org/officeDocument/2006/relationships/hyperlink" Target="https://www-webofscience-com.am.e-nformation.ro/wos/woscc/full-record/WOS:000751266200001" TargetMode="External"/><Relationship Id="rId165" Type="http://schemas.openxmlformats.org/officeDocument/2006/relationships/hyperlink" Target="https://www.scopus.com/record/display.uri?src=s&amp;origin=cto&amp;ctoId=CTODS_1637394682&amp;stateKey=CTOF_1637394683&amp;eid=2-s2.0-85140443462" TargetMode="External"/><Relationship Id="rId186" Type="http://schemas.openxmlformats.org/officeDocument/2006/relationships/hyperlink" Target="https://www.webofscience.com/wos/woscc/full-record/WOS:000809973500001" TargetMode="External"/><Relationship Id="rId211" Type="http://schemas.openxmlformats.org/officeDocument/2006/relationships/hyperlink" Target="https://www.webofscience.com/wos/woscc/full-record/WOS:000833724900001" TargetMode="External"/><Relationship Id="rId232" Type="http://schemas.openxmlformats.org/officeDocument/2006/relationships/hyperlink" Target="https://doi.org/10.3390/machines10070531" TargetMode="External"/><Relationship Id="rId253" Type="http://schemas.openxmlformats.org/officeDocument/2006/relationships/hyperlink" Target="https://doi.org/10.3390/machines10070531" TargetMode="External"/><Relationship Id="rId274" Type="http://schemas.openxmlformats.org/officeDocument/2006/relationships/hyperlink" Target="https://doi.org/10.3390/machines10100886" TargetMode="External"/><Relationship Id="rId295" Type="http://schemas.openxmlformats.org/officeDocument/2006/relationships/hyperlink" Target="https://doi.org/10.1007/978-3-031-08842-1_33" TargetMode="External"/><Relationship Id="rId27" Type="http://schemas.openxmlformats.org/officeDocument/2006/relationships/hyperlink" Target="https://www.webofscience.com/wos/woscc/full-record/WOS:000913381000020" TargetMode="External"/><Relationship Id="rId48" Type="http://schemas.openxmlformats.org/officeDocument/2006/relationships/hyperlink" Target="https://www-webofscience-com.am.e-nformation.ro/wos/woscc/full-record/WOS:000767339700001" TargetMode="External"/><Relationship Id="rId69" Type="http://schemas.openxmlformats.org/officeDocument/2006/relationships/hyperlink" Target="https://www.mdpi.com/2071-1050/14/13/7985" TargetMode="External"/><Relationship Id="rId113" Type="http://schemas.openxmlformats.org/officeDocument/2006/relationships/hyperlink" Target="https://doi.org/10.3390/aerospace9120817" TargetMode="External"/><Relationship Id="rId134" Type="http://schemas.openxmlformats.org/officeDocument/2006/relationships/hyperlink" Target="https://atna-mam.utcluj.ro/index.php/Acta/article/view/1732" TargetMode="External"/><Relationship Id="rId80" Type="http://schemas.openxmlformats.org/officeDocument/2006/relationships/hyperlink" Target="https://doi.org/10.3390/s22010028" TargetMode="External"/><Relationship Id="rId155" Type="http://schemas.openxmlformats.org/officeDocument/2006/relationships/hyperlink" Target="https://doi.org/10.3390/app12052475" TargetMode="External"/><Relationship Id="rId176" Type="http://schemas.openxmlformats.org/officeDocument/2006/relationships/hyperlink" Target="https://www.webofscience.com/wos/woscc/full-record/WOS:000757074100001" TargetMode="External"/><Relationship Id="rId197" Type="http://schemas.openxmlformats.org/officeDocument/2006/relationships/hyperlink" Target="https://www.sciencedirect.com/science/article/pii/S1877050922001739" TargetMode="External"/><Relationship Id="rId201" Type="http://schemas.openxmlformats.org/officeDocument/2006/relationships/hyperlink" Target="https://www.mdpi.com/2076-3417/12/6/3038" TargetMode="External"/><Relationship Id="rId222" Type="http://schemas.openxmlformats.org/officeDocument/2006/relationships/hyperlink" Target="https://www.mdpi.com/2075-1702/10/7/531" TargetMode="External"/><Relationship Id="rId243" Type="http://schemas.openxmlformats.org/officeDocument/2006/relationships/hyperlink" Target="https://link.springer.com/chapter/10.1007/978-3-031-08842-1_33" TargetMode="External"/><Relationship Id="rId264" Type="http://schemas.openxmlformats.org/officeDocument/2006/relationships/hyperlink" Target="https://doi.org/10.3390/ma15186453" TargetMode="External"/><Relationship Id="rId285" Type="http://schemas.openxmlformats.org/officeDocument/2006/relationships/hyperlink" Target="https://www.nature.com/articles/s41598-022-22970-y" TargetMode="External"/><Relationship Id="rId17" Type="http://schemas.openxmlformats.org/officeDocument/2006/relationships/hyperlink" Target="https://www.webofscience.com/wos/woscc/full-record/WOS:000904239800001" TargetMode="External"/><Relationship Id="rId38" Type="http://schemas.openxmlformats.org/officeDocument/2006/relationships/hyperlink" Target="https://www.mdpi.com/2076-3417/12/17/8411" TargetMode="External"/><Relationship Id="rId59" Type="http://schemas.openxmlformats.org/officeDocument/2006/relationships/hyperlink" Target="https://www-webofscience-com.am.e-nformation.ro/wos/woscc/full-record/WOS:000832452100001" TargetMode="External"/><Relationship Id="rId103" Type="http://schemas.openxmlformats.org/officeDocument/2006/relationships/hyperlink" Target="https://www.mdpi.com/2076-3417/12/5/2475" TargetMode="External"/><Relationship Id="rId124" Type="http://schemas.openxmlformats.org/officeDocument/2006/relationships/hyperlink" Target="https://0m10m0j9g-y-https-www-webofscience-com.z.e-nformation.ro/wos/woscc/full-record/WOS:000845743800001" TargetMode="External"/><Relationship Id="rId70" Type="http://schemas.openxmlformats.org/officeDocument/2006/relationships/hyperlink" Target="https://1510q2wtr-y-https-www-webofscience-com.z.e-nformation.ro/wos/woscc/full-record/WOS:000851141400001" TargetMode="External"/><Relationship Id="rId91" Type="http://schemas.openxmlformats.org/officeDocument/2006/relationships/hyperlink" Target="https://www.mdpi.com/1424-8220/22/1/28" TargetMode="External"/><Relationship Id="rId145" Type="http://schemas.openxmlformats.org/officeDocument/2006/relationships/hyperlink" Target="https://0m10m0j9g-y-https-www-webofscience-com.z.e-nformation.ro/wos/woscc/full-record/WOS:000787333600001" TargetMode="External"/><Relationship Id="rId166" Type="http://schemas.openxmlformats.org/officeDocument/2006/relationships/hyperlink" Target="https://link.springer.com/chapter/10.1007/978-3-031-12429-7_17" TargetMode="External"/><Relationship Id="rId187" Type="http://schemas.openxmlformats.org/officeDocument/2006/relationships/hyperlink" Target="https://onlinelibrary.wiley.com/doi/full/10.1002/int.22942" TargetMode="External"/><Relationship Id="rId1" Type="http://schemas.openxmlformats.org/officeDocument/2006/relationships/hyperlink" Target="https://www.mdpi.com/2071-1050/14/23/16265" TargetMode="External"/><Relationship Id="rId212" Type="http://schemas.openxmlformats.org/officeDocument/2006/relationships/hyperlink" Target="https://www.mdpi.com/2075-1702/10/7/531" TargetMode="External"/><Relationship Id="rId233" Type="http://schemas.openxmlformats.org/officeDocument/2006/relationships/hyperlink" Target="https://www.sciencedirect.com/science/article/pii/S2214785322014572?via%3Dihub" TargetMode="External"/><Relationship Id="rId254" Type="http://schemas.openxmlformats.org/officeDocument/2006/relationships/hyperlink" Target="https://www.webofscience.com/wos/woscc/full-record/WOS:000874293700001" TargetMode="External"/><Relationship Id="rId28" Type="http://schemas.openxmlformats.org/officeDocument/2006/relationships/hyperlink" Target="https://inmateh.eu/volumes/volume-68--no3-2022/exploring-the-social-sustainability-of-rubber-farmers--individual-farmers-perspective/" TargetMode="External"/><Relationship Id="rId49" Type="http://schemas.openxmlformats.org/officeDocument/2006/relationships/hyperlink" Target="https://journals.vgtu.lt/index.php/JBEM/article/view/16242/11028" TargetMode="External"/><Relationship Id="rId114" Type="http://schemas.openxmlformats.org/officeDocument/2006/relationships/hyperlink" Target="https://0m10m0j9g-y-https-www-webofscience-com.z.e-nformation.ro/wos/woscc/full-record/WOS:000813440900001" TargetMode="External"/><Relationship Id="rId275" Type="http://schemas.openxmlformats.org/officeDocument/2006/relationships/hyperlink" Target="https://www.webofscience.com/wos/woscc/full-record/WOS:000833724900001" TargetMode="External"/><Relationship Id="rId296" Type="http://schemas.openxmlformats.org/officeDocument/2006/relationships/hyperlink" Target="https://1510q6gv2-y-https-www-webofscience-com.z.e-nformation.ro/wos/woscc/full-record/WOS:000818797700002" TargetMode="External"/><Relationship Id="rId60" Type="http://schemas.openxmlformats.org/officeDocument/2006/relationships/hyperlink" Target="https://www.mdpi.com/2071-1050/14/14/8721" TargetMode="External"/><Relationship Id="rId81" Type="http://schemas.openxmlformats.org/officeDocument/2006/relationships/hyperlink" Target="https://www.scopus.com/record/display.uri?eid=2-s2.0-85148768606&amp;origin=resultslist&amp;sort=plf-f" TargetMode="External"/><Relationship Id="rId135" Type="http://schemas.openxmlformats.org/officeDocument/2006/relationships/hyperlink" Target="https://0m10m0j9g-y-https-www-webofscience-com.z.e-nformation.ro/wos/woscc/full-record/WOS:000773188500017" TargetMode="External"/><Relationship Id="rId156" Type="http://schemas.openxmlformats.org/officeDocument/2006/relationships/hyperlink" Target="https://1510q6er5-y-https-www-webofscience-com.z.e-nformation.ro/wos/woscc/full-record/WOS:000822293000001" TargetMode="External"/><Relationship Id="rId177" Type="http://schemas.openxmlformats.org/officeDocument/2006/relationships/hyperlink" Target="https://www.mdpi.com/1424-8220/22/2/495" TargetMode="External"/><Relationship Id="rId198" Type="http://schemas.openxmlformats.org/officeDocument/2006/relationships/hyperlink" Target="https://www.scopus.com/record/display.uri?eid=2-s2.0-85146117683&amp;origin=resultslist&amp;sort=plf-f&amp;src=s&amp;sid=6f8cb5ecb49c79c62e6f289e30b7da13&amp;sot=b&amp;sdt=b&amp;s=TITLE-ABS-KEY%28Multimodal+emotion+detection+from+multiple+data+streams+for+improved+decision+making%29&amp;sl=95&amp;sessionSearchId=6f8cb5ecb49c79c62e6f289e30b7da13" TargetMode="External"/><Relationship Id="rId202" Type="http://schemas.openxmlformats.org/officeDocument/2006/relationships/hyperlink" Target="https://doi.org/10.3390/app12063038" TargetMode="External"/><Relationship Id="rId223" Type="http://schemas.openxmlformats.org/officeDocument/2006/relationships/hyperlink" Target="https://doi.org/10.3390/machines10070531" TargetMode="External"/><Relationship Id="rId244" Type="http://schemas.openxmlformats.org/officeDocument/2006/relationships/hyperlink" Target="https://www.webofscience.com/wos/woscc/full-record/WOS:000833724900001" TargetMode="External"/><Relationship Id="rId18" Type="http://schemas.openxmlformats.org/officeDocument/2006/relationships/hyperlink" Target="https://www.mdpi.com/2227-9717/10/12/2647" TargetMode="External"/><Relationship Id="rId39" Type="http://schemas.openxmlformats.org/officeDocument/2006/relationships/hyperlink" Target="https://www.webofscience.com/wos/woscc/full-record/WOS:000833350900001" TargetMode="External"/><Relationship Id="rId265" Type="http://schemas.openxmlformats.org/officeDocument/2006/relationships/hyperlink" Target="https://www.webofscience.com/wos/woscc/full-record/WOS:000747631000001" TargetMode="External"/><Relationship Id="rId286" Type="http://schemas.openxmlformats.org/officeDocument/2006/relationships/hyperlink" Target="https://doi.org/10.3390/nano12091566" TargetMode="External"/><Relationship Id="rId50" Type="http://schemas.openxmlformats.org/officeDocument/2006/relationships/hyperlink" Target="https://doi.org/10.3846/jbem.2022.16242" TargetMode="External"/><Relationship Id="rId104" Type="http://schemas.openxmlformats.org/officeDocument/2006/relationships/hyperlink" Target="https://1510q0bhr-y-https-www-webofscience-com.z.e-nformation.ro/wos/woscc/full-record/WOS:000868452100021" TargetMode="External"/><Relationship Id="rId125" Type="http://schemas.openxmlformats.org/officeDocument/2006/relationships/hyperlink" Target="https://0m10m0j9g-y-https-www-webofscience-com.z.e-nformation.ro/wos/woscc/full-record/WOS:000773188500007" TargetMode="External"/><Relationship Id="rId146" Type="http://schemas.openxmlformats.org/officeDocument/2006/relationships/hyperlink" Target="https://atna-mam.utcluj.ro/index.php/Acta/article/view/1770" TargetMode="External"/><Relationship Id="rId167" Type="http://schemas.openxmlformats.org/officeDocument/2006/relationships/hyperlink" Target="https://doi.org/10.1007/978-3-031-12429-7_17" TargetMode="External"/><Relationship Id="rId188" Type="http://schemas.openxmlformats.org/officeDocument/2006/relationships/hyperlink" Target="https://www.webofscience.com/wos/woscc/full-record/WOS:000756222700001" TargetMode="External"/><Relationship Id="rId71" Type="http://schemas.openxmlformats.org/officeDocument/2006/relationships/hyperlink" Target="https://www.mdpi.com/1660-4601/19/17/10935" TargetMode="External"/><Relationship Id="rId92" Type="http://schemas.openxmlformats.org/officeDocument/2006/relationships/hyperlink" Target="https://www-webofscience-com.am.e-nformation.ro/wos/woscc/full-record/WOS:000767339700001" TargetMode="External"/><Relationship Id="rId213" Type="http://schemas.openxmlformats.org/officeDocument/2006/relationships/hyperlink" Target="https://doi.org/10.3390/machines10070531" TargetMode="External"/><Relationship Id="rId234" Type="http://schemas.openxmlformats.org/officeDocument/2006/relationships/hyperlink" Target="https://doi.org/10.1016/j.matpr.2022.03.134" TargetMode="External"/><Relationship Id="rId2" Type="http://schemas.openxmlformats.org/officeDocument/2006/relationships/hyperlink" Target="https://doi.org/10.3390/su142316265" TargetMode="External"/><Relationship Id="rId29" Type="http://schemas.openxmlformats.org/officeDocument/2006/relationships/hyperlink" Target="https://www.webofscience.com/wos/woscc/full-record/WOS:000907185300001," TargetMode="External"/><Relationship Id="rId255" Type="http://schemas.openxmlformats.org/officeDocument/2006/relationships/hyperlink" Target="https://www.mdpi.com/2075-1702/10/10/886/htm" TargetMode="External"/><Relationship Id="rId276" Type="http://schemas.openxmlformats.org/officeDocument/2006/relationships/hyperlink" Target="https://www.mdpi.com/2075-1702/10/7/531" TargetMode="External"/><Relationship Id="rId297" Type="http://schemas.openxmlformats.org/officeDocument/2006/relationships/hyperlink" Target="https://doi.org/10.1016/j.matpr.2022.02.563" TargetMode="External"/><Relationship Id="rId40" Type="http://schemas.openxmlformats.org/officeDocument/2006/relationships/hyperlink" Target="https://www.mdpi.com/2071-1050/14/14/8885" TargetMode="External"/><Relationship Id="rId115" Type="http://schemas.openxmlformats.org/officeDocument/2006/relationships/hyperlink" Target="https://www.imim.pl/files/archiwum/Vol2_2022/34.pdf" TargetMode="External"/><Relationship Id="rId136" Type="http://schemas.openxmlformats.org/officeDocument/2006/relationships/hyperlink" Target="https://atna-mam.utcluj.ro/index.php/Acta/article/view/1746" TargetMode="External"/><Relationship Id="rId157" Type="http://schemas.openxmlformats.org/officeDocument/2006/relationships/hyperlink" Target="https://151096erx-y-https-www-scopus-com.z.e-nformation.ro/record/display.uri?eid=2-s2.0-85145896903&amp;origin=resultslist&amp;sort=plf-f&amp;src=s&amp;sid=3faae4dfe6884a9b71396602ec3caeef&amp;sot=b&amp;sdt=b&amp;s=AUTHOR-NAME%28COFARU+N*%29&amp;sl=22&amp;sessionSearchId=3faae4dfe6884a9b71396602ec3caeef" TargetMode="External"/><Relationship Id="rId178" Type="http://schemas.openxmlformats.org/officeDocument/2006/relationships/hyperlink" Target="https://www.webofscience.com/wos/woscc/full-record/WOS:000756222700001" TargetMode="External"/><Relationship Id="rId61" Type="http://schemas.openxmlformats.org/officeDocument/2006/relationships/hyperlink" Target="https://doi.org/10.3390/su14148721" TargetMode="External"/><Relationship Id="rId82" Type="http://schemas.openxmlformats.org/officeDocument/2006/relationships/hyperlink" Target="https://link.springer.com/chapter/10.1007/978-3-031-24291-5_34" TargetMode="External"/><Relationship Id="rId199" Type="http://schemas.openxmlformats.org/officeDocument/2006/relationships/hyperlink" Target="https://www.sciencedirect.com/science/article/pii/S1877050922019937" TargetMode="External"/><Relationship Id="rId203" Type="http://schemas.openxmlformats.org/officeDocument/2006/relationships/hyperlink" Target="https://www.scopus.com/record/display.uri?eid=2-s2.0-85146117683&amp;origin=resultslist&amp;sort=plfdt-f&amp;listId=47630182&amp;listTypeValue=Docs&amp;src=s&amp;imp=t&amp;sid=9e4e6a3ed6ce9d8d12de55d9f67cf55f&amp;sot=sl&amp;sdt=sl&amp;sl=0&amp;relpos=0&amp;citeCnt=0&amp;searchTerm=" TargetMode="External"/><Relationship Id="rId19" Type="http://schemas.openxmlformats.org/officeDocument/2006/relationships/hyperlink" Target="https://www.webofscience.com/wos/woscc/full-record/WOS:000894903400001" TargetMode="External"/><Relationship Id="rId224" Type="http://schemas.openxmlformats.org/officeDocument/2006/relationships/hyperlink" Target="https://www.webofscience.com/wos/woscc/full-record/WOS:000874293700001" TargetMode="External"/><Relationship Id="rId245" Type="http://schemas.openxmlformats.org/officeDocument/2006/relationships/hyperlink" Target="https://www.mdpi.com/2075-1702/10/7/531" TargetMode="External"/><Relationship Id="rId266" Type="http://schemas.openxmlformats.org/officeDocument/2006/relationships/hyperlink" Target="https://www.mdpi.com/2075-4701/12/1/124" TargetMode="External"/><Relationship Id="rId287" Type="http://schemas.openxmlformats.org/officeDocument/2006/relationships/hyperlink" Target="https://www.mdpi.com/1660-4601/19/6/3707/pdf" TargetMode="External"/><Relationship Id="rId30" Type="http://schemas.openxmlformats.org/officeDocument/2006/relationships/hyperlink" Target="https://inmateh.eu/volumes/volume-68--no3-2022/teaching-strategies-and-student-academic-performance-in-agriculture-studies-the-mediating-effect/" TargetMode="External"/><Relationship Id="rId105" Type="http://schemas.openxmlformats.org/officeDocument/2006/relationships/hyperlink" Target="https://ijmd.ro/2022/jaw-bone-atrophy-induced-by-exposure-to-toxic-environment-using-radiological-interpretation/" TargetMode="External"/><Relationship Id="rId126" Type="http://schemas.openxmlformats.org/officeDocument/2006/relationships/hyperlink" Target="https://atna-mam.utcluj.ro/index.php/Acta/article/view/1736" TargetMode="External"/><Relationship Id="rId147" Type="http://schemas.openxmlformats.org/officeDocument/2006/relationships/hyperlink" Target="https://www.scopus.com/record/display.uri?eid=2-s2.0-85143752126&amp;origin=resultslist&amp;sort=plf-f" TargetMode="External"/><Relationship Id="rId168" Type="http://schemas.openxmlformats.org/officeDocument/2006/relationships/hyperlink" Target="https://1510q6i4x-y-https-www-webofscience-com.z.e-nformation.ro/wos/woscc/full-record/WOS:000724739500001" TargetMode="External"/><Relationship Id="rId51" Type="http://schemas.openxmlformats.org/officeDocument/2006/relationships/hyperlink" Target="https://www-webofscience-com.am.e-nformation.ro/wos/woscc/full-record/WOS:000786980300001" TargetMode="External"/><Relationship Id="rId72" Type="http://schemas.openxmlformats.org/officeDocument/2006/relationships/hyperlink" Target="https://www.webofscience.com/wos/woscc/full-record/WOS:000786980300001" TargetMode="External"/><Relationship Id="rId93" Type="http://schemas.openxmlformats.org/officeDocument/2006/relationships/hyperlink" Target="https://journals.vgtu.lt/index.php/JBEM/article/view/16242/11028" TargetMode="External"/><Relationship Id="rId189" Type="http://schemas.openxmlformats.org/officeDocument/2006/relationships/hyperlink" Target="https://www.mdpi.com/2076-3417/12/3/985" TargetMode="External"/><Relationship Id="rId3" Type="http://schemas.openxmlformats.org/officeDocument/2006/relationships/hyperlink" Target="https://www.scopus.com/record/display.uri?eid=2-s2.0-85145896903&amp;origin=resultslist&amp;sort=plf-f" TargetMode="External"/><Relationship Id="rId214" Type="http://schemas.openxmlformats.org/officeDocument/2006/relationships/hyperlink" Target="https://www.webofscience.com/wos/woscc/full-record/WOS:000874293700001" TargetMode="External"/><Relationship Id="rId235" Type="http://schemas.openxmlformats.org/officeDocument/2006/relationships/hyperlink" Target="https://www.scopus.com/record/display.uri?eid=2-s2.0-85142357543&amp;origin=resultslist&amp;sort=plf-f" TargetMode="External"/><Relationship Id="rId256" Type="http://schemas.openxmlformats.org/officeDocument/2006/relationships/hyperlink" Target="https://doi.org/10.3390/machines10100886" TargetMode="External"/><Relationship Id="rId277" Type="http://schemas.openxmlformats.org/officeDocument/2006/relationships/hyperlink" Target="https://doi.org/10.3390/machines10070531" TargetMode="External"/><Relationship Id="rId116" Type="http://schemas.openxmlformats.org/officeDocument/2006/relationships/hyperlink" Target="https://www-scopus-com.am.e-nformation.ro/record/display.uri?eid=2-s2.0-85142615347&amp;origin=resultslist&amp;sort=plf-f&amp;src=s&amp;st1=Modelling+of+the+Automatic+Testing+Process+of+Electronic+Control+Units+in+the+Automotive+Industry&amp;sid=92e791886df17d9d93f259c27770ccd8&amp;sot=b&amp;sdt=b&amp;sl=112&amp;s=TITLE-ABS-KEY%28Modelling+of+the+Automatic+Testing+Process+of+Electronic+Control+Units+in+the+Automotive+Industry%29&amp;relpos=0&amp;citeCnt=0&amp;searchTerm=" TargetMode="External"/><Relationship Id="rId137" Type="http://schemas.openxmlformats.org/officeDocument/2006/relationships/hyperlink" Target="https://0m10m0j9g-y-https-www-webofscience-com.z.e-nformation.ro/wos/woscc/full-record/WOS:000773188500022" TargetMode="External"/><Relationship Id="rId158" Type="http://schemas.openxmlformats.org/officeDocument/2006/relationships/hyperlink" Target="https://electroinf.uoradea.ro/index.php/volumes-2/jeee-vol-15-no-1-may-2022.html" TargetMode="External"/><Relationship Id="rId20" Type="http://schemas.openxmlformats.org/officeDocument/2006/relationships/hyperlink" Target="https://www.mdpi.com/1999-4907/13/11/1961" TargetMode="External"/><Relationship Id="rId41" Type="http://schemas.openxmlformats.org/officeDocument/2006/relationships/hyperlink" Target="https://www.scopus.com/record/display.uri?eid=2-s2.0-85141707658&amp;origin=resultslist&amp;sort=plf-f&amp;src=s&amp;sid=03c03f2018fb17334a5ca0171615debe&amp;sot=a&amp;sdt=a&amp;s=AU-ID%2855888486300%29+AND+PUBYEAR+IS+2022&amp;sl=38&amp;sessionSearchId=03c03f2018fb17334a5ca0171615debe" TargetMode="External"/><Relationship Id="rId62" Type="http://schemas.openxmlformats.org/officeDocument/2006/relationships/hyperlink" Target="https://www-webofscience-com.am.e-nformation.ro/wos/woscc/full-record/WOS:000866983600001" TargetMode="External"/><Relationship Id="rId83" Type="http://schemas.openxmlformats.org/officeDocument/2006/relationships/hyperlink" Target="https://www.webofscience.com/wos/woscc/full-record/WOS:000757074100001" TargetMode="External"/><Relationship Id="rId179" Type="http://schemas.openxmlformats.org/officeDocument/2006/relationships/hyperlink" Target="https://www.mdpi.com/2076-3417/12/3/985" TargetMode="External"/><Relationship Id="rId190" Type="http://schemas.openxmlformats.org/officeDocument/2006/relationships/hyperlink" Target="https://www.webofscience.com/wos/woscc/full-record/WOS:000838522700001" TargetMode="External"/><Relationship Id="rId204" Type="http://schemas.openxmlformats.org/officeDocument/2006/relationships/hyperlink" Target="https://www.sciencedirect.com/science/article/pii/S1877050922019937" TargetMode="External"/><Relationship Id="rId225" Type="http://schemas.openxmlformats.org/officeDocument/2006/relationships/hyperlink" Target="https://www.mdpi.com/2075-1702/10/10/886/htm" TargetMode="External"/><Relationship Id="rId246" Type="http://schemas.openxmlformats.org/officeDocument/2006/relationships/hyperlink" Target="https://doi.org/10.3390/machines10070531" TargetMode="External"/><Relationship Id="rId267" Type="http://schemas.openxmlformats.org/officeDocument/2006/relationships/hyperlink" Target="https://doi.org/10.3390/met12010124" TargetMode="External"/><Relationship Id="rId288" Type="http://schemas.openxmlformats.org/officeDocument/2006/relationships/hyperlink" Target="https://doi.org/10.3390/ijerph19063707" TargetMode="External"/><Relationship Id="rId106" Type="http://schemas.openxmlformats.org/officeDocument/2006/relationships/hyperlink" Target="https://0m10m0j9g-y-https-www-webofscience-com.z.e-nformation.ro/wos/woscc/full-record/WOS:000773188500014" TargetMode="External"/><Relationship Id="rId127" Type="http://schemas.openxmlformats.org/officeDocument/2006/relationships/hyperlink" Target="https://0m10m0j9g-y-https-www-webofscience-com.z.e-nformation.ro/wos/woscc/full-record/WOS:000773188500011" TargetMode="External"/><Relationship Id="rId10" Type="http://schemas.openxmlformats.org/officeDocument/2006/relationships/hyperlink" Target="https://www.mdpi.com/1660-4601/19/18/11716" TargetMode="External"/><Relationship Id="rId31" Type="http://schemas.openxmlformats.org/officeDocument/2006/relationships/hyperlink" Target="https://www.webofscience.com/wos/woscc/full-record/WOS:000831967800001" TargetMode="External"/><Relationship Id="rId52" Type="http://schemas.openxmlformats.org/officeDocument/2006/relationships/hyperlink" Target="https://www.mdpi.com/1996-1944/15/8/2735" TargetMode="External"/><Relationship Id="rId73" Type="http://schemas.openxmlformats.org/officeDocument/2006/relationships/hyperlink" Target="https://www.mdpi.com/1996-1944/15/8/2735" TargetMode="External"/><Relationship Id="rId94" Type="http://schemas.openxmlformats.org/officeDocument/2006/relationships/hyperlink" Target="https://doi.org/10.3846/jbem.2022.16242" TargetMode="External"/><Relationship Id="rId148" Type="http://schemas.openxmlformats.org/officeDocument/2006/relationships/hyperlink" Target="https://electroinf.uoradea.ro/images/articles/CERCETARE/Reviste/JEEE/JEEE_V15_N2_OCT_2022/BOGDAN_JEEE.pdf" TargetMode="External"/><Relationship Id="rId169" Type="http://schemas.openxmlformats.org/officeDocument/2006/relationships/hyperlink" Target="https://ieeexplore.ieee.org/abstract/document/9805869" TargetMode="External"/><Relationship Id="rId4" Type="http://schemas.openxmlformats.org/officeDocument/2006/relationships/hyperlink" Target="https://www.mdpi.com/2076-3417/12/13/6636" TargetMode="External"/><Relationship Id="rId180" Type="http://schemas.openxmlformats.org/officeDocument/2006/relationships/hyperlink" Target="https://www.webofscience.com/wos/woscc/full-record/WOS:000838522700001" TargetMode="External"/><Relationship Id="rId215" Type="http://schemas.openxmlformats.org/officeDocument/2006/relationships/hyperlink" Target="https://www.mdpi.com/2075-1702/10/10/886" TargetMode="External"/><Relationship Id="rId236" Type="http://schemas.openxmlformats.org/officeDocument/2006/relationships/hyperlink" Target="https://www.webofscience.com/wos/woscc/full-record/WOS:000786980300001" TargetMode="External"/><Relationship Id="rId257" Type="http://schemas.openxmlformats.org/officeDocument/2006/relationships/hyperlink" Target="https://www.webofscience.com/wos/woscc/full-record/WOS:000874293700001" TargetMode="External"/><Relationship Id="rId278" Type="http://schemas.openxmlformats.org/officeDocument/2006/relationships/hyperlink" Target="https://www.scopus.com/record/display.uri?eid=2-s2.0-85127569219&amp;origin=resultslist&amp;sort=plf-f" TargetMode="External"/><Relationship Id="rId42" Type="http://schemas.openxmlformats.org/officeDocument/2006/relationships/hyperlink" Target="https://1510q6er5-y-https-www-webofscience-com.z.e-nformation.ro/wos/woscc/full-record/WOS:000771333700001" TargetMode="External"/><Relationship Id="rId84" Type="http://schemas.openxmlformats.org/officeDocument/2006/relationships/hyperlink" Target="https://www.mdpi.com/1424-8220/22/2/495" TargetMode="External"/><Relationship Id="rId138" Type="http://schemas.openxmlformats.org/officeDocument/2006/relationships/hyperlink" Target="https://atna-mam.utcluj.ro/index.php/Acta/article/view/1752" TargetMode="External"/><Relationship Id="rId191" Type="http://schemas.openxmlformats.org/officeDocument/2006/relationships/hyperlink" Target="https://ieeexplore.ieee.org/document/9804721" TargetMode="External"/><Relationship Id="rId205" Type="http://schemas.openxmlformats.org/officeDocument/2006/relationships/hyperlink" Target="https://doi.org/10.1016/j.procs.2022.11.281" TargetMode="External"/><Relationship Id="rId247" Type="http://schemas.openxmlformats.org/officeDocument/2006/relationships/hyperlink" Target="https://www.webofscience.com/wos/woscc/full-record/WOS:000874293700001" TargetMode="External"/><Relationship Id="rId107" Type="http://schemas.openxmlformats.org/officeDocument/2006/relationships/hyperlink" Target="https://atna-mam.utcluj.ro/index.php/Acta/article/view/1743" TargetMode="External"/><Relationship Id="rId289" Type="http://schemas.openxmlformats.org/officeDocument/2006/relationships/hyperlink" Target="https://doi.org/10.1021/acsomega.2c02452" TargetMode="External"/><Relationship Id="rId11" Type="http://schemas.openxmlformats.org/officeDocument/2006/relationships/hyperlink" Target="https://www.webofscience.com/wos/woscc/full-record/WOS:000857692700001" TargetMode="External"/><Relationship Id="rId53" Type="http://schemas.openxmlformats.org/officeDocument/2006/relationships/hyperlink" Target="https://doi.org/10.3390/ma15082735" TargetMode="External"/><Relationship Id="rId149" Type="http://schemas.openxmlformats.org/officeDocument/2006/relationships/hyperlink" Target="https://www.mdpi.com/1999-4893/15/4/105" TargetMode="External"/><Relationship Id="rId95" Type="http://schemas.openxmlformats.org/officeDocument/2006/relationships/hyperlink" Target="https://1510q2wtr-y-https-www-webofscience-com.z.e-nformation.ro/wos/woscc/full-record/WOS:000851141400001" TargetMode="External"/><Relationship Id="rId160" Type="http://schemas.openxmlformats.org/officeDocument/2006/relationships/hyperlink" Target="https://thesai.org/Publications/ViewPaper?Volume=13&amp;Issue=9&amp;Code=IJACSA&amp;SerialNo=64" TargetMode="External"/><Relationship Id="rId216" Type="http://schemas.openxmlformats.org/officeDocument/2006/relationships/hyperlink" Target="https://doi.org/10.3390/machines10100886" TargetMode="External"/><Relationship Id="rId258" Type="http://schemas.openxmlformats.org/officeDocument/2006/relationships/hyperlink" Target="https://www.mdpi.com/2075-1702/10/10/886" TargetMode="External"/><Relationship Id="rId22" Type="http://schemas.openxmlformats.org/officeDocument/2006/relationships/hyperlink" Target="https://www.frontiersin.org/articles/10.3389/fpsyg.2022.937470/full" TargetMode="External"/><Relationship Id="rId64" Type="http://schemas.openxmlformats.org/officeDocument/2006/relationships/hyperlink" Target="https://doi.org/10.3390/ma15197020" TargetMode="External"/><Relationship Id="rId118" Type="http://schemas.openxmlformats.org/officeDocument/2006/relationships/hyperlink" Target="https://www-scopus-com.am.e-nformation.ro/record/display.uri?eid=2-s2.0-85142531328&amp;origin=resultslist&amp;sort=plf-f&amp;src=s&amp;st1=Contributions+to+the+Modeling+of+Manufacturing+Processes+for+the+Implementation+of+the+Kanban+Methodology+in+the+Automotive+Industry&amp;sid=2525aa363b45bb4a9c1ab84ad2cf309f&amp;sot=b&amp;sdt=b&amp;sl=147&amp;s=TITLE-ABS-KEY%28Contributions+to+the+Modeling+of+Manufacturing+Processes+for+the+Implementation+of+the+Kanban+Methodology+in+the+Automotive+Industry%29&amp;relpos=0&amp;citeCnt=0&amp;searchTerm=" TargetMode="External"/><Relationship Id="rId171" Type="http://schemas.openxmlformats.org/officeDocument/2006/relationships/hyperlink" Target="https://www.mdpi.com/2311-5637/8/4/137" TargetMode="External"/><Relationship Id="rId227" Type="http://schemas.openxmlformats.org/officeDocument/2006/relationships/hyperlink" Target="https://www.webofscience.com/wos/woscc/full-record/WOS:000874293700001" TargetMode="External"/><Relationship Id="rId269" Type="http://schemas.openxmlformats.org/officeDocument/2006/relationships/hyperlink" Target="https://doi.org/10.1016/j.matpr.2022.05.308" TargetMode="External"/><Relationship Id="rId33" Type="http://schemas.openxmlformats.org/officeDocument/2006/relationships/hyperlink" Target="https://www.webofscience.com/wos/woscc/full-record/WOS:000795272300001" TargetMode="External"/><Relationship Id="rId129" Type="http://schemas.openxmlformats.org/officeDocument/2006/relationships/hyperlink" Target="https://0m10m0j9g-y-https-www-webofscience-com.z.e-nformation.ro/wos/woscc/full-record/WOS:000773188500014" TargetMode="External"/><Relationship Id="rId280" Type="http://schemas.openxmlformats.org/officeDocument/2006/relationships/hyperlink" Target="https://doi.org/10.1016/j.matpr.2022.03.134"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digifof.omilab.ulbsibiu.ro/psm/content/efsss/info"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fiesc.usv.ro/ice-usv/" TargetMode="External"/><Relationship Id="rId3" Type="http://schemas.openxmlformats.org/officeDocument/2006/relationships/hyperlink" Target="http://www.euroinvent.org/archive/catalogues/" TargetMode="External"/><Relationship Id="rId7" Type="http://schemas.openxmlformats.org/officeDocument/2006/relationships/hyperlink" Target="https://fiesc.usv.ro/ice-usv/" TargetMode="External"/><Relationship Id="rId12" Type="http://schemas.openxmlformats.org/officeDocument/2006/relationships/hyperlink" Target="https://fiesc.usv.ro/ice-usv/" TargetMode="External"/><Relationship Id="rId2" Type="http://schemas.openxmlformats.org/officeDocument/2006/relationships/hyperlink" Target="http://www.euroinvent.org/archive/catalogues/" TargetMode="External"/><Relationship Id="rId1" Type="http://schemas.openxmlformats.org/officeDocument/2006/relationships/hyperlink" Target="http://www.euroinvent.org/archive/catalogues/" TargetMode="External"/><Relationship Id="rId6" Type="http://schemas.openxmlformats.org/officeDocument/2006/relationships/hyperlink" Target="https://fiesc.usv.ro/ice-usv/" TargetMode="External"/><Relationship Id="rId11" Type="http://schemas.openxmlformats.org/officeDocument/2006/relationships/hyperlink" Target="https://ini.tuiasi.ro/exhibition/" TargetMode="External"/><Relationship Id="rId5" Type="http://schemas.openxmlformats.org/officeDocument/2006/relationships/hyperlink" Target="http://www.euroinvent.org/archive/catalogues/" TargetMode="External"/><Relationship Id="rId10" Type="http://schemas.openxmlformats.org/officeDocument/2006/relationships/hyperlink" Target="https://fiesc.usv.ro/ice-usv/" TargetMode="External"/><Relationship Id="rId4" Type="http://schemas.openxmlformats.org/officeDocument/2006/relationships/hyperlink" Target="http://www.euroinvent.org/archive/catalogues/" TargetMode="External"/><Relationship Id="rId9" Type="http://schemas.openxmlformats.org/officeDocument/2006/relationships/hyperlink" Target="https://fiesc.usv.ro/ice-usv/"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aracis.ro/registrul-national-al-evaluatorilor-cadre-didactice/" TargetMode="External"/><Relationship Id="rId2" Type="http://schemas.openxmlformats.org/officeDocument/2006/relationships/hyperlink" Target="http://www.cnatdcu.ro/paneluri-cnatdcu/" TargetMode="External"/><Relationship Id="rId1" Type="http://schemas.openxmlformats.org/officeDocument/2006/relationships/hyperlink" Target="http://www.cnatdcu.ro/paneluri-cnatdcu/" TargetMode="External"/><Relationship Id="rId4" Type="http://schemas.openxmlformats.org/officeDocument/2006/relationships/hyperlink" Target="http://www.cnatdcu.ro/paneluri-cnatdcu/incepand-cu-data-de-7-septembrie-2012/stiinte-ingineresti/comisia-de-inginerie-industriala-si-management/"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uefiscdi.gov.ro/proiect-experimental-demonstrativ-ped" TargetMode="External"/><Relationship Id="rId13" Type="http://schemas.openxmlformats.org/officeDocument/2006/relationships/hyperlink" Target="https://uefiscdi.gov.ro/resource-862960-d3.pdf" TargetMode="External"/><Relationship Id="rId3" Type="http://schemas.openxmlformats.org/officeDocument/2006/relationships/hyperlink" Target="https://uefiscdi.gov.ro/proiect-experimental-demonstrativ-ped" TargetMode="External"/><Relationship Id="rId7" Type="http://schemas.openxmlformats.org/officeDocument/2006/relationships/hyperlink" Target="https://dihworld.eu/second-open-call/" TargetMode="External"/><Relationship Id="rId12" Type="http://schemas.openxmlformats.org/officeDocument/2006/relationships/hyperlink" Target="https://uefiscdi.gov.ro/resource-862978-d2.pdf" TargetMode="External"/><Relationship Id="rId2" Type="http://schemas.openxmlformats.org/officeDocument/2006/relationships/hyperlink" Target="https://ec.europa.eu/info/funding-tenders/opportunities/portal/screen/opportunities/topic-details/digital-2021-edih-initial-01" TargetMode="External"/><Relationship Id="rId1" Type="http://schemas.openxmlformats.org/officeDocument/2006/relationships/hyperlink" Target="https://uefiscdi.gov.ro/resource-862932-d5.pdf" TargetMode="External"/><Relationship Id="rId6" Type="http://schemas.openxmlformats.org/officeDocument/2006/relationships/hyperlink" Target="https://www.aosr.ro/rezultatele-competitiei-de-proiecte-de-cercetare-a-academiei-oamenilor-de-stiinta-din-romania-destinata-tinerilor-cercetatori-aosr-teams-editia-2022-2023/" TargetMode="External"/><Relationship Id="rId11" Type="http://schemas.openxmlformats.org/officeDocument/2006/relationships/hyperlink" Target="https://uefiscdi.gov.ro/resource-862333-pce-2021_rezultate-finale_informatica.pdf" TargetMode="External"/><Relationship Id="rId5" Type="http://schemas.openxmlformats.org/officeDocument/2006/relationships/hyperlink" Target="https://uefiscdi.gov.ro/resource-862333-pce-2021_rezultate-finale_informatica.pdf" TargetMode="External"/><Relationship Id="rId15" Type="http://schemas.openxmlformats.org/officeDocument/2006/relationships/hyperlink" Target="https://uefiscdi.gov.ro/proiect-experimental-demonstrativ-ped" TargetMode="External"/><Relationship Id="rId10" Type="http://schemas.openxmlformats.org/officeDocument/2006/relationships/hyperlink" Target="https://ec.europa.eu/info/funding-tenders/opportunities/portal/screen/opportunities/topic-details/digital-2021-edih-initial-01" TargetMode="External"/><Relationship Id="rId4" Type="http://schemas.openxmlformats.org/officeDocument/2006/relationships/hyperlink" Target="https://dihworld.eu/second-open-call/" TargetMode="External"/><Relationship Id="rId9" Type="http://schemas.openxmlformats.org/officeDocument/2006/relationships/hyperlink" Target="https://uefiscdi.gov.ro/resource-862333-pce-2021_rezultate-finale_informatica.pdf" TargetMode="External"/><Relationship Id="rId14" Type="http://schemas.openxmlformats.org/officeDocument/2006/relationships/hyperlink" Target="https://webcache.googleusercontent.com/search?q=cache:hHJsI9JboFcJ:https://uefiscdi.gov.ro/resource-862761-pce-2021-liste-de-rezerva.pdf&amp;cd=1&amp;hl=ro&amp;ct=clnk&amp;gl=de"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sciencedirect.com/science/article/abs/pii/S0950061822023996?via%3Dihub" TargetMode="External"/><Relationship Id="rId671" Type="http://schemas.openxmlformats.org/officeDocument/2006/relationships/hyperlink" Target="https://link.springer.com/article/10.1007/s11042-022-12886-0" TargetMode="External"/><Relationship Id="rId769" Type="http://schemas.openxmlformats.org/officeDocument/2006/relationships/hyperlink" Target="https://www.scopus.com/record/display.uri?eid=2-s2.0-85128233351&amp;origin=resultslist&amp;sort=plf-f&amp;cite=2-s2.0-85123944028&amp;src=s&amp;imp=t&amp;sid=b1dc9cc9a90214e12a5f55aa3fe35ad2&amp;sot=cite&amp;sdt=a&amp;sl=0&amp;relpos=0&amp;citeCnt=3&amp;searchTerm=" TargetMode="External"/><Relationship Id="rId21" Type="http://schemas.openxmlformats.org/officeDocument/2006/relationships/hyperlink" Target="https://www.sciencedirect.com/science/article/pii/S0360128522000314?via%3Dihub" TargetMode="External"/><Relationship Id="rId324" Type="http://schemas.openxmlformats.org/officeDocument/2006/relationships/hyperlink" Target="https://www.mdpi.com/2071-1050/14/20/13388" TargetMode="External"/><Relationship Id="rId531" Type="http://schemas.openxmlformats.org/officeDocument/2006/relationships/hyperlink" Target="https://www.mdpi.com/2079-8954/10/1/2" TargetMode="External"/><Relationship Id="rId629" Type="http://schemas.openxmlformats.org/officeDocument/2006/relationships/hyperlink" Target="https://www.sciencedirect.com/science/article/pii/S073658532200096X" TargetMode="External"/><Relationship Id="rId170" Type="http://schemas.openxmlformats.org/officeDocument/2006/relationships/hyperlink" Target="https://www.ncbi.nlm.nih.gov/pmc/articles/PMC9669608/" TargetMode="External"/><Relationship Id="rId836" Type="http://schemas.openxmlformats.org/officeDocument/2006/relationships/hyperlink" Target="https://www.mdpi.com/2075-4701/12/1/103" TargetMode="External"/><Relationship Id="rId268" Type="http://schemas.openxmlformats.org/officeDocument/2006/relationships/hyperlink" Target="https://archivesmse.org/resources/html/article/details?id=233490" TargetMode="External"/><Relationship Id="rId475" Type="http://schemas.openxmlformats.org/officeDocument/2006/relationships/hyperlink" Target="https://doi.org/10.3390/cryst12030343%C2%A0" TargetMode="External"/><Relationship Id="rId682" Type="http://schemas.openxmlformats.org/officeDocument/2006/relationships/hyperlink" Target="https://www.scopus.com/record/display.uri?eid=2-s2.0-85142740369&amp;origin=resultslist&amp;sort=plf-f" TargetMode="External"/><Relationship Id="rId903" Type="http://schemas.openxmlformats.org/officeDocument/2006/relationships/hyperlink" Target="https://www.mdpi.com/2076-3417/12/13/6636" TargetMode="External"/><Relationship Id="rId32" Type="http://schemas.openxmlformats.org/officeDocument/2006/relationships/hyperlink" Target="https://www.hindawi.com/journals/mpe/2022/4327074/" TargetMode="External"/><Relationship Id="rId128" Type="http://schemas.openxmlformats.org/officeDocument/2006/relationships/hyperlink" Target="https://www.sciencedirect.com/science/article/abs/pii/S0925753522002399?via%3Dihub" TargetMode="External"/><Relationship Id="rId335" Type="http://schemas.openxmlformats.org/officeDocument/2006/relationships/hyperlink" Target="https://1510q6ck8-y-https-www-webofscience-com.z.e-nformation.ro/wos/woscc/full-record/WOS:000865799400010" TargetMode="External"/><Relationship Id="rId542" Type="http://schemas.openxmlformats.org/officeDocument/2006/relationships/hyperlink" Target="https://link.springer.com/article/10.1007/s11280-022-01024-3" TargetMode="External"/><Relationship Id="rId181" Type="http://schemas.openxmlformats.org/officeDocument/2006/relationships/hyperlink" Target="https://www.scopus.com/record/display.uri?eid=2-s2.0-85134080875&amp;origin=resultslist&amp;sort=plf-f&amp;src=s&amp;citedAuthorId=55888486300&amp;imp=t&amp;sid=75bba458212fe6d6788108432e1c28ca&amp;sot=cite&amp;sdt=cite&amp;cluster=scopubyr%2c%222022%22%2ct&amp;sl=0&amp;relpos=2&amp;citeCnt=3&amp;searchTerm=" TargetMode="External"/><Relationship Id="rId402" Type="http://schemas.openxmlformats.org/officeDocument/2006/relationships/hyperlink" Target="https://www.scopus.com/record/display.uri?eid=2-s2.0-85128974840&amp;origin=resultslist&amp;sort=plf-f&amp;src=s&amp;citedAuthorId=55572604000&amp;imp=t&amp;sid=9a4987f3b1ca72d6a356729701704127&amp;sot=cite&amp;sdt=cite&amp;cluster=scopubyr%2c%222022%22%2ct&amp;sl=0&amp;relpos=9&amp;citeCnt=1&amp;searchTerm=" TargetMode="External"/><Relationship Id="rId847" Type="http://schemas.openxmlformats.org/officeDocument/2006/relationships/hyperlink" Target="https://www.sciencedirect.com/science/article/pii/S2214785322014572" TargetMode="External"/><Relationship Id="rId279" Type="http://schemas.openxmlformats.org/officeDocument/2006/relationships/hyperlink" Target="https://www.sciencedirect.com/science/article/pii/S1383586622016057?via%3Dihub" TargetMode="External"/><Relationship Id="rId486" Type="http://schemas.openxmlformats.org/officeDocument/2006/relationships/hyperlink" Target="https://doi.org/10.24818/amp/2022.39-08%C2%A0" TargetMode="External"/><Relationship Id="rId693" Type="http://schemas.openxmlformats.org/officeDocument/2006/relationships/hyperlink" Target="https://www.scopus.com/record/display.uri?eid=2-s2.0-85140385840&amp;origin=SingleRecordEmailAlert&amp;dgcid=raven_sc_authcite_en_us_email&amp;txGid=090f3ba41e6c0712ec7521deb0a4240f" TargetMode="External"/><Relationship Id="rId707" Type="http://schemas.openxmlformats.org/officeDocument/2006/relationships/hyperlink" Target="https://www.scopus.com/record/display.uri?eid=2-s2.0-85124627995&amp;origin=resultslist&amp;sort=plf-f&amp;src=s&amp;nlo=&amp;nlr=&amp;nls=&amp;citedAuthorId=56184609800&amp;imp=t&amp;sid=19e9dfcc5f518037df097b68e0fd311a&amp;sot=cite&amp;sdt=cl&amp;cluster=scopubyr%2c%222022%22%2ct&amp;sl=0&amp;relpos=3&amp;citeCnt=2&amp;searchTerm=" TargetMode="External"/><Relationship Id="rId914" Type="http://schemas.openxmlformats.org/officeDocument/2006/relationships/hyperlink" Target="https://link.springer.com/chapter/10.1007/978-3-030-91873-6_12" TargetMode="External"/><Relationship Id="rId43" Type="http://schemas.openxmlformats.org/officeDocument/2006/relationships/hyperlink" Target="https://www.sciencedirect.com/science/article/pii/S0301479722017315?via%3Dihub" TargetMode="External"/><Relationship Id="rId139" Type="http://schemas.openxmlformats.org/officeDocument/2006/relationships/hyperlink" Target="https://www.mdpi.com/2073-445X/11/8/1215" TargetMode="External"/><Relationship Id="rId346" Type="http://schemas.openxmlformats.org/officeDocument/2006/relationships/hyperlink" Target="https://151096clp-y-https-www-scopus-com.z.e-nformation.ro/results/citedbyresults.uri?sort=plf-f&amp;refeid=2-s2.0-85073054173&amp;src=s&amp;imp=t&amp;sid=70c42bd19fcab7a28ddab2b5b6cb3c45&amp;sot=ctocbw&amp;sdt=a&amp;sl=15&amp;s=PUBYEAR+IS+2022&amp;origin=cto&amp;citeCnt=3_DELIM_3_DELIM_CTODS_1655447282_DELIM_1&amp;txGid=bf1f989e57fa6cbe742db990ef3ce920" TargetMode="External"/><Relationship Id="rId553" Type="http://schemas.openxmlformats.org/officeDocument/2006/relationships/hyperlink" Target="https://link.springer.com/chapter/10.1007/978-3-030-95947-0_18" TargetMode="External"/><Relationship Id="rId760" Type="http://schemas.openxmlformats.org/officeDocument/2006/relationships/hyperlink" Target="https://www.webofscience.com/wos/woscc/full-record/WOS:000854852200005" TargetMode="External"/><Relationship Id="rId192" Type="http://schemas.openxmlformats.org/officeDocument/2006/relationships/hyperlink" Target="https://www.scopus.com/record/display.uri?eid=2-s2.0-85146582634&amp;origin=resultslist&amp;sort=plf-f&amp;src=s&amp;citedAuthorId=55888486300&amp;imp=t&amp;sid=804476badfb7da90dd30183397cd72d9&amp;sot=cite&amp;sdt=cite&amp;cluster=scopubyr%2c%222022%22%2ct&amp;sl=0&amp;relpos=11&amp;citeCnt=0&amp;searchTerm=" TargetMode="External"/><Relationship Id="rId206" Type="http://schemas.openxmlformats.org/officeDocument/2006/relationships/hyperlink" Target="https://1510g0de8-y-https-link-springer-com.z.e-nformation.ro/article/10.1007/s00170-022-09674-3" TargetMode="External"/><Relationship Id="rId413" Type="http://schemas.openxmlformats.org/officeDocument/2006/relationships/hyperlink" Target="https://link.springer.com/chapter/10.1007/978-3-031-18050-7_30" TargetMode="External"/><Relationship Id="rId858" Type="http://schemas.openxmlformats.org/officeDocument/2006/relationships/hyperlink" Target="https://www.sciencedirect.com/science/article/pii/S2214785322015450?casa_token=nGAIYDM-KVQAAAAA:nKyKgMv7-Y1JUZhHHCIE97WBI2HmGeRPGw1yPXgZyjd3pNKJpuk8NeRbXgMWdAGg2ftsKQM" TargetMode="External"/><Relationship Id="rId497" Type="http://schemas.openxmlformats.org/officeDocument/2006/relationships/hyperlink" Target="https://doi.org/10.3390/app12189011" TargetMode="External"/><Relationship Id="rId620" Type="http://schemas.openxmlformats.org/officeDocument/2006/relationships/hyperlink" Target="https://www.webofscience.com/wos/woscc/full-record/WOS:000631227200001" TargetMode="External"/><Relationship Id="rId718" Type="http://schemas.openxmlformats.org/officeDocument/2006/relationships/hyperlink" Target="https://www.scopus.com/record/display.uri?eid=2-s2.0-85128233351&amp;origin=resultslist&amp;sort=plf-f&amp;cite=2-s2.0-85123944028&amp;src=s&amp;imp=t&amp;sid=b1dc9cc9a90214e12a5f55aa3fe35ad2&amp;sot=cite&amp;sdt=a&amp;sl=0&amp;relpos=0&amp;citeCnt=3&amp;searchTerm=" TargetMode="External"/><Relationship Id="rId925" Type="http://schemas.openxmlformats.org/officeDocument/2006/relationships/hyperlink" Target="https://www.frontiersin.org/articles/10.3389/fmech.2022.1003456/full" TargetMode="External"/><Relationship Id="rId357" Type="http://schemas.openxmlformats.org/officeDocument/2006/relationships/hyperlink" Target="https://151096clp-y-https-www-scopus-com.z.e-nformation.ro/results/citedbyresults.uri?sort=plf-f&amp;refeid=2-s2.0-84981289567&amp;src=s&amp;imp=t&amp;sid=537b5212d00a8bf61fb00f250697f6ce&amp;sot=ctocbw&amp;sdt=a&amp;sl=15&amp;s=PUBYEAR+IS+2022&amp;origin=cto&amp;citeCnt=5_DELIM_5_DELIM_CTODS_1655447282_DELIM_1&amp;txGid=cca1f809dc44c41c85f4ba771f7bc874" TargetMode="External"/><Relationship Id="rId54" Type="http://schemas.openxmlformats.org/officeDocument/2006/relationships/hyperlink" Target="https://www.sciencedirect.com/science/article/pii/S0301479722013007?via%3Dihub" TargetMode="External"/><Relationship Id="rId217" Type="http://schemas.openxmlformats.org/officeDocument/2006/relationships/hyperlink" Target="https://www.tandfonline.com/doi/full/10.1080/1331677X.2021.2015611" TargetMode="External"/><Relationship Id="rId564" Type="http://schemas.openxmlformats.org/officeDocument/2006/relationships/hyperlink" Target="https://www.mdpi.com/2079-8954/10/5/133" TargetMode="External"/><Relationship Id="rId771" Type="http://schemas.openxmlformats.org/officeDocument/2006/relationships/hyperlink" Target="https://www.scopus.com/record/display.uri?eid=2-s2.0-85143365758&amp;origin=resultslist&amp;sort=plf-f&amp;cite=2-s2.0-85081055133&amp;src=s&amp;imp=t&amp;sid=54ae3b2a0248bdd52d62f9f6f33e339e&amp;sot=cite&amp;sdt=a&amp;sl=0&amp;relpos=0&amp;citeCnt=0&amp;searchTerm=" TargetMode="External"/><Relationship Id="rId869" Type="http://schemas.openxmlformats.org/officeDocument/2006/relationships/hyperlink" Target="https://journals.pan.pl/dlibra/show-content?id=125086" TargetMode="External"/><Relationship Id="rId424" Type="http://schemas.openxmlformats.org/officeDocument/2006/relationships/hyperlink" Target="https://www.mdpi.com/journal/applsci" TargetMode="External"/><Relationship Id="rId631" Type="http://schemas.openxmlformats.org/officeDocument/2006/relationships/hyperlink" Target="https://ieeexplore.ieee.org/stamp/stamp.jsp?arnumber=9830737" TargetMode="External"/><Relationship Id="rId729" Type="http://schemas.openxmlformats.org/officeDocument/2006/relationships/hyperlink" Target="https://www.taylorfrancis.com/chapters/edit/10.1201/9781003226703-11/review-process-limitations-recent-advancements-single-point-incremental-sheet-forming-parnika-shrivastava-puneet-tandon" TargetMode="External"/><Relationship Id="rId270" Type="http://schemas.openxmlformats.org/officeDocument/2006/relationships/hyperlink" Target="https://www.mdpi.com/2073-4360/14/13/2745/htm" TargetMode="External"/><Relationship Id="rId936" Type="http://schemas.openxmlformats.org/officeDocument/2006/relationships/hyperlink" Target="https://www.emerald.com/insight/content/doi/10.1108/RPJ-08-2021-0207/full/html" TargetMode="External"/><Relationship Id="rId65" Type="http://schemas.openxmlformats.org/officeDocument/2006/relationships/hyperlink" Target="https://www.ncbi.nlm.nih.gov/pmc/articles/PMC9059686/" TargetMode="External"/><Relationship Id="rId130" Type="http://schemas.openxmlformats.org/officeDocument/2006/relationships/hyperlink" Target="https://www.mdpi.com/2227-7390/10/19/3627" TargetMode="External"/><Relationship Id="rId368" Type="http://schemas.openxmlformats.org/officeDocument/2006/relationships/hyperlink" Target="https://1510q6d2m-y-https-www-webofscience-com.z.e-nformation.ro/wos/woscc/summary/7430bf81-462d-4304-adde-f99966cca3a3-92c6eb17/relevance/1" TargetMode="External"/><Relationship Id="rId575" Type="http://schemas.openxmlformats.org/officeDocument/2006/relationships/hyperlink" Target="https://ieeexplore.ieee.org/document/10083444" TargetMode="External"/><Relationship Id="rId782" Type="http://schemas.openxmlformats.org/officeDocument/2006/relationships/hyperlink" Target="http://../Downloads/410-Article%20Text-946-1-10-20220909.pdf" TargetMode="External"/><Relationship Id="rId228" Type="http://schemas.openxmlformats.org/officeDocument/2006/relationships/hyperlink" Target="https://www.mdpi.com/2079-6412/12/2/160" TargetMode="External"/><Relationship Id="rId435" Type="http://schemas.openxmlformats.org/officeDocument/2006/relationships/hyperlink" Target="https://ieeexplore.ieee.org/document/9920919" TargetMode="External"/><Relationship Id="rId642" Type="http://schemas.openxmlformats.org/officeDocument/2006/relationships/hyperlink" Target="https://www.sciencedirect.com/science/article/pii/S1877050922000199" TargetMode="External"/><Relationship Id="rId281" Type="http://schemas.openxmlformats.org/officeDocument/2006/relationships/hyperlink" Target="https://www.mdpi.com/2227-9717/10/9/1775" TargetMode="External"/><Relationship Id="rId502" Type="http://schemas.openxmlformats.org/officeDocument/2006/relationships/hyperlink" Target="https://www.scopus.com/record/display.uri?eid=2-s2.0-85150194698&amp;origin=SingleRecordEmailAlert&amp;dgcid=raven_sc_authcite_en_us_email&amp;txGid=d02a1e53bc8a2e0a70da5c4c33803c90" TargetMode="External"/><Relationship Id="rId947" Type="http://schemas.openxmlformats.org/officeDocument/2006/relationships/hyperlink" Target="https://www.webofscience.com/wos/woscc/full-record/WOS:000777460300001" TargetMode="External"/><Relationship Id="rId76" Type="http://schemas.openxmlformats.org/officeDocument/2006/relationships/hyperlink" Target="https://www.sciencedirect.com/science/article/abs/pii/S1876107022000062?via%3Dihub" TargetMode="External"/><Relationship Id="rId141" Type="http://schemas.openxmlformats.org/officeDocument/2006/relationships/hyperlink" Target="https://www.mdpi.com/2071-1050/14/19/12161" TargetMode="External"/><Relationship Id="rId379" Type="http://schemas.openxmlformats.org/officeDocument/2006/relationships/hyperlink" Target="https://1510q6e7r-y-https-www-webofscience-com.z.e-nformation.ro/wos/woscc/full-record/WOS:000874280900001" TargetMode="External"/><Relationship Id="rId586" Type="http://schemas.openxmlformats.org/officeDocument/2006/relationships/hyperlink" Target="https://www.sciencedirect.com/science/article/pii/S2210670722003018" TargetMode="External"/><Relationship Id="rId793" Type="http://schemas.openxmlformats.org/officeDocument/2006/relationships/hyperlink" Target="https://scholar.google.com/citations?view_op=view_citation&amp;hl=en&amp;user=aYMjNncAAAAJ&amp;sortby=pubdate&amp;citation_for_view=aYMjNncAAAAJ:2osOgNQ5qMEC" TargetMode="External"/><Relationship Id="rId807" Type="http://schemas.openxmlformats.org/officeDocument/2006/relationships/hyperlink" Target="https://www.taylorfrancis.com/chapters/edit/10.1201/9781003226703-11/review-process-limitations-recent-advancements-single-point-incremental-sheet-forming-parnika-shrivastava-puneet-tandon" TargetMode="External"/><Relationship Id="rId7" Type="http://schemas.openxmlformats.org/officeDocument/2006/relationships/hyperlink" Target="https://link.springer.com/article/10.1007/s00170-022-09720-0/metrics" TargetMode="External"/><Relationship Id="rId239" Type="http://schemas.openxmlformats.org/officeDocument/2006/relationships/hyperlink" Target="https://link.springer.com/article/10.1007/s10337-021-04102-2" TargetMode="External"/><Relationship Id="rId446" Type="http://schemas.openxmlformats.org/officeDocument/2006/relationships/hyperlink" Target="https://ijp.mums.ac.ir/article_21468.html" TargetMode="External"/><Relationship Id="rId653" Type="http://schemas.openxmlformats.org/officeDocument/2006/relationships/hyperlink" Target="https://www.sciencedirect.com/science/article/pii/S1877050922018506" TargetMode="External"/><Relationship Id="rId292" Type="http://schemas.openxmlformats.org/officeDocument/2006/relationships/hyperlink" Target="https://onlinelibrary.wiley.com/doi/10.1002/app.53179" TargetMode="External"/><Relationship Id="rId306" Type="http://schemas.openxmlformats.org/officeDocument/2006/relationships/hyperlink" Target="http://www.jatit.org/volumes/Vol100No23/1Vol100No23.pdf" TargetMode="External"/><Relationship Id="rId860" Type="http://schemas.openxmlformats.org/officeDocument/2006/relationships/hyperlink" Target="https://journals.sagepub.com/doi/10.1177/09544062221133674" TargetMode="External"/><Relationship Id="rId958" Type="http://schemas.openxmlformats.org/officeDocument/2006/relationships/hyperlink" Target="https://www.webofscience.com/wos/woscc/full-record/WOS:000649615500001;" TargetMode="External"/><Relationship Id="rId87" Type="http://schemas.openxmlformats.org/officeDocument/2006/relationships/hyperlink" Target="https://onlinelibrary.wiley.com/doi/10.1002/csr.2415" TargetMode="External"/><Relationship Id="rId513" Type="http://schemas.openxmlformats.org/officeDocument/2006/relationships/hyperlink" Target="https://www.webofscience.com/wos/woscc/full-record/WOS:000897933000001" TargetMode="External"/><Relationship Id="rId597" Type="http://schemas.openxmlformats.org/officeDocument/2006/relationships/hyperlink" Target="https://link.springer.com/article/10.1007/s11220-022-00382-6" TargetMode="External"/><Relationship Id="rId720" Type="http://schemas.openxmlformats.org/officeDocument/2006/relationships/hyperlink" Target="https://www.scopus.com/record/display.uri?eid=2-s2.0-85143365758&amp;origin=resultslist&amp;sort=plf-f&amp;cite=2-s2.0-85081055133&amp;src=s&amp;imp=t&amp;sid=54ae3b2a0248bdd52d62f9f6f33e339e&amp;sot=cite&amp;sdt=a&amp;sl=0&amp;relpos=0&amp;citeCnt=0&amp;searchTerm=" TargetMode="External"/><Relationship Id="rId818" Type="http://schemas.openxmlformats.org/officeDocument/2006/relationships/hyperlink" Target="https://link.springer.com/article/10.1007/s11465-022-0679-1" TargetMode="External"/><Relationship Id="rId152" Type="http://schemas.openxmlformats.org/officeDocument/2006/relationships/hyperlink" Target="https://www.ncbi.nlm.nih.gov/pmc/articles/PMC9324884/" TargetMode="External"/><Relationship Id="rId457" Type="http://schemas.openxmlformats.org/officeDocument/2006/relationships/hyperlink" Target="https://doi.org/10.1007/s12668-022-01018-5%C2%A0" TargetMode="External"/><Relationship Id="rId664" Type="http://schemas.openxmlformats.org/officeDocument/2006/relationships/hyperlink" Target="https://hrcak.srce.hr/272656" TargetMode="External"/><Relationship Id="rId871" Type="http://schemas.openxmlformats.org/officeDocument/2006/relationships/hyperlink" Target="https://www.mdpi.com/1996-1944/15/12/4278" TargetMode="External"/><Relationship Id="rId14" Type="http://schemas.openxmlformats.org/officeDocument/2006/relationships/hyperlink" Target="https://link.springer.com/article/10.1007/s10163-022-01554-y" TargetMode="External"/><Relationship Id="rId317" Type="http://schemas.openxmlformats.org/officeDocument/2006/relationships/hyperlink" Target="https://www.nature.com/articles/s41599-022-01253-x" TargetMode="External"/><Relationship Id="rId524" Type="http://schemas.openxmlformats.org/officeDocument/2006/relationships/hyperlink" Target="https://www.ekonomiaisrodowisko.pl/journal/article/view/455" TargetMode="External"/><Relationship Id="rId731" Type="http://schemas.openxmlformats.org/officeDocument/2006/relationships/hyperlink" Target="https://www.taylorfrancis.com/chapters/edit/10.1201/9781003226703-14/review-formability-tailored-sheets-incremental-forming-kuntal-maji-gautam-kumar" TargetMode="External"/><Relationship Id="rId98" Type="http://schemas.openxmlformats.org/officeDocument/2006/relationships/hyperlink" Target="https://hrcak.srce.hr/en/clanak/403454" TargetMode="External"/><Relationship Id="rId163" Type="http://schemas.openxmlformats.org/officeDocument/2006/relationships/hyperlink" Target="https://www.mdpi.com/2071-1050/14/17/10580" TargetMode="External"/><Relationship Id="rId370" Type="http://schemas.openxmlformats.org/officeDocument/2006/relationships/hyperlink" Target="https://www.worldscientific.com/doi/abs/10.1142/S0219622022500663" TargetMode="External"/><Relationship Id="rId829" Type="http://schemas.openxmlformats.org/officeDocument/2006/relationships/hyperlink" Target="https://journals.sagepub.com/doi/abs/10.1177/09544089211068237?journalCode=piea" TargetMode="External"/><Relationship Id="rId230" Type="http://schemas.openxmlformats.org/officeDocument/2006/relationships/hyperlink" Target="https://www.mdpi.com/2073-4360/14/3/537" TargetMode="External"/><Relationship Id="rId468" Type="http://schemas.openxmlformats.org/officeDocument/2006/relationships/hyperlink" Target="https://doi.org/10.3390/su14116530%C2%A0" TargetMode="External"/><Relationship Id="rId675" Type="http://schemas.openxmlformats.org/officeDocument/2006/relationships/hyperlink" Target="https://www.mdpi.com/1424-8220/22/2/495" TargetMode="External"/><Relationship Id="rId882" Type="http://schemas.openxmlformats.org/officeDocument/2006/relationships/hyperlink" Target="https://pp.bme.hu/me/article/view/18781" TargetMode="External"/><Relationship Id="rId25" Type="http://schemas.openxmlformats.org/officeDocument/2006/relationships/hyperlink" Target="https://iopscience.iop.org/article/10.1149/2162-8777/ac7611" TargetMode="External"/><Relationship Id="rId328" Type="http://schemas.openxmlformats.org/officeDocument/2006/relationships/hyperlink" Target="https://1510q6ck8-y-https-www-webofscience-com.z.e-nformation.ro/wos/woscc/full-record/WOS:000749905300001" TargetMode="External"/><Relationship Id="rId535" Type="http://schemas.openxmlformats.org/officeDocument/2006/relationships/hyperlink" Target="https://www.sciencedirect.com/science/article/abs/pii/S1053482220300681" TargetMode="External"/><Relationship Id="rId742" Type="http://schemas.openxmlformats.org/officeDocument/2006/relationships/hyperlink" Target="https://www.webofscience.com/wos/woscc/full-record/WOS:000881429000001" TargetMode="External"/><Relationship Id="rId174" Type="http://schemas.openxmlformats.org/officeDocument/2006/relationships/hyperlink" Target="https://www.sciencedirect.com/science/article/abs/pii/S0959652622025562?via%3Dihub" TargetMode="External"/><Relationship Id="rId381" Type="http://schemas.openxmlformats.org/officeDocument/2006/relationships/hyperlink" Target="https://www.taylorfrancis.com/chapters/edit/10.4324/9781003264170-2/developing-competencies-future-ma%C5%82gorzata-kosa%C5%82a-magdalena-jelonek-magdalena-gorzelany-dziadkowiec" TargetMode="External"/><Relationship Id="rId602" Type="http://schemas.openxmlformats.org/officeDocument/2006/relationships/hyperlink" Target="https://www.mdpi.com/2079-8954/10/1/2" TargetMode="External"/><Relationship Id="rId241" Type="http://schemas.openxmlformats.org/officeDocument/2006/relationships/hyperlink" Target="https://www.sciencedirect.com/science/article/pii/S0950061822006523?via%3Dihub" TargetMode="External"/><Relationship Id="rId479" Type="http://schemas.openxmlformats.org/officeDocument/2006/relationships/hyperlink" Target="https://doi.org/10.1016/j.ijbiomac.2022.02.030%C2%A0" TargetMode="External"/><Relationship Id="rId686" Type="http://schemas.openxmlformats.org/officeDocument/2006/relationships/hyperlink" Target="https://www.scopus.com/record/display.uri?eid=2-s2.0-85123108287&amp;origin=resultslist&amp;sort=plf-f&amp;src=s&amp;citedAuthorId=25227824300&amp;imp=t&amp;sid=a93f7a62f1e90f453f826d3f76f61d7f&amp;sot=cite&amp;sdt=cite&amp;cluster=scopubyr%2c%222022%22%2ct&amp;sl=0&amp;relpos=3&amp;citeCnt=2&amp;searchTerm=" TargetMode="External"/><Relationship Id="rId893" Type="http://schemas.openxmlformats.org/officeDocument/2006/relationships/hyperlink" Target="https://www.mdpi.com/1996-1944/15/12/4278" TargetMode="External"/><Relationship Id="rId907" Type="http://schemas.openxmlformats.org/officeDocument/2006/relationships/hyperlink" Target="https://www.mdpi.com/1648-9144/58/2/237" TargetMode="External"/><Relationship Id="rId36" Type="http://schemas.openxmlformats.org/officeDocument/2006/relationships/hyperlink" Target="https://www.sciencedirect.com/science/article/abs/pii/S0959652621043882?via%3Dihub" TargetMode="External"/><Relationship Id="rId339" Type="http://schemas.openxmlformats.org/officeDocument/2006/relationships/hyperlink" Target="https://1510q2wtr-y-https-www-webofscience-com.z.e-nformation.ro/wos/woscc/full-record/WOS:000902525300001" TargetMode="External"/><Relationship Id="rId546" Type="http://schemas.openxmlformats.org/officeDocument/2006/relationships/hyperlink" Target="https://ieeexplore.ieee.org/document/9927827" TargetMode="External"/><Relationship Id="rId753" Type="http://schemas.openxmlformats.org/officeDocument/2006/relationships/hyperlink" Target="https://www.scopus.com/record/display.uri?eid=2-s2.0-85144092136&amp;origin=resultslist&amp;sort=plf-f&amp;cite=2-s2.0-84891707567&amp;src=s&amp;imp=t&amp;sid=8dfaef38d2b3d0daeef51206117d184b&amp;sot=cite&amp;sdt=a&amp;sl=0&amp;relpos=2&amp;citeCnt=0&amp;searchTerm=" TargetMode="External"/><Relationship Id="rId101" Type="http://schemas.openxmlformats.org/officeDocument/2006/relationships/hyperlink" Target="https://www.sciencedirect.com/science/article/abs/pii/S0196890422000711?via%3Dihub" TargetMode="External"/><Relationship Id="rId185" Type="http://schemas.openxmlformats.org/officeDocument/2006/relationships/hyperlink" Target="https://www.scopus.com/record/display.uri?eid=2-s2.0-85158856525&amp;origin=resultslist&amp;sort=plf-f&amp;src=s&amp;citedAuthorId=55888486300&amp;imp=t&amp;sid=db3d9443c69df32184b1a83c108c44de&amp;sot=cite&amp;sdt=cite&amp;cluster=scopubyr%2c%222022%22%2ct&amp;sl=0&amp;relpos=6&amp;citeCnt=0&amp;searchTerm=" TargetMode="External"/><Relationship Id="rId406" Type="http://schemas.openxmlformats.org/officeDocument/2006/relationships/hyperlink" Target="https://www.sciencedirect.com/science/article/pii/S221282712200302X" TargetMode="External"/><Relationship Id="rId960" Type="http://schemas.openxmlformats.org/officeDocument/2006/relationships/hyperlink" Target="https://1510q0cc7-y-https-www-webofscience-com.z.e-nformation.ro/wos/author/record/15050790" TargetMode="External"/><Relationship Id="rId392" Type="http://schemas.openxmlformats.org/officeDocument/2006/relationships/hyperlink" Target="https://www.mdpi.com/1996-1944/15/20/7291" TargetMode="External"/><Relationship Id="rId613" Type="http://schemas.openxmlformats.org/officeDocument/2006/relationships/hyperlink" Target="https://www.spiedigitallibrary.org/conference-proceedings-of-spie/12250/122500A/Research-on-hybrid-Markov-prediction-model-based-on-clustering/10.1117/12.2639741.short?SSO=1" TargetMode="External"/><Relationship Id="rId697" Type="http://schemas.openxmlformats.org/officeDocument/2006/relationships/hyperlink" Target="https://www.scopus.com/record/display.uri?eid=2-s2.0-85127720815&amp;origin=resultslist&amp;sort=plf-f&amp;src=s&amp;citedAuthorId=23391009700&amp;imp=t&amp;sid=24e52b5636d47e0a205046054798c4fc&amp;sot=cite&amp;sdt=cite&amp;cluster=scopubyr%2c%222022%22%2ct&amp;sl=0&amp;relpos=2&amp;citeCnt=0&amp;searchTerm=" TargetMode="External"/><Relationship Id="rId820" Type="http://schemas.openxmlformats.org/officeDocument/2006/relationships/hyperlink" Target="https://www.mdpi.com/2218-6581/11/2/48" TargetMode="External"/><Relationship Id="rId918" Type="http://schemas.openxmlformats.org/officeDocument/2006/relationships/hyperlink" Target="https://www.taylorfrancis.com/chapters/edit/10.1201/9781003164241-4/overview-issues-related-geometrical-accuracy-single-point-incremental-forming-spif-process-tailor-welded-blanks-kaha-razak-ab-abdullah-nm-noor" TargetMode="External"/><Relationship Id="rId252" Type="http://schemas.openxmlformats.org/officeDocument/2006/relationships/hyperlink" Target="https://www.emerald.com/insight/content/doi/10.1108/MEQ-06-2021-0125/full/html" TargetMode="External"/><Relationship Id="rId47" Type="http://schemas.openxmlformats.org/officeDocument/2006/relationships/hyperlink" Target="https://link.springer.com/article/10.1007/s11356-022-23238-8" TargetMode="External"/><Relationship Id="rId112" Type="http://schemas.openxmlformats.org/officeDocument/2006/relationships/hyperlink" Target="https://www.ncbi.nlm.nih.gov/pmc/articles/PMC9324884/" TargetMode="External"/><Relationship Id="rId557" Type="http://schemas.openxmlformats.org/officeDocument/2006/relationships/hyperlink" Target="https://www.mdpi.com/2227-7390/10/8/1329" TargetMode="External"/><Relationship Id="rId764" Type="http://schemas.openxmlformats.org/officeDocument/2006/relationships/hyperlink" Target="https://www.webofscience.com/wos/woscc/full-record/WOS:000922865700070" TargetMode="External"/><Relationship Id="rId196" Type="http://schemas.openxmlformats.org/officeDocument/2006/relationships/hyperlink" Target="https://www.webofscience.com/wos/woscc/full-record/WOS:000553657700001" TargetMode="External"/><Relationship Id="rId417" Type="http://schemas.openxmlformats.org/officeDocument/2006/relationships/hyperlink" Target="https://link.springer.com/chapter/10.1007/978-3-031-15428-7_17" TargetMode="External"/><Relationship Id="rId624" Type="http://schemas.openxmlformats.org/officeDocument/2006/relationships/hyperlink" Target="https://www.scopus.com/record/display.uri?eid=2-s2.0-84962507319&amp;origin=reflist" TargetMode="External"/><Relationship Id="rId831" Type="http://schemas.openxmlformats.org/officeDocument/2006/relationships/hyperlink" Target="https://www.mdpi.com/2075-1702/10/7/531" TargetMode="External"/><Relationship Id="rId263" Type="http://schemas.openxmlformats.org/officeDocument/2006/relationships/hyperlink" Target="https://link.springer.com/chapter/10.1007/978-3-030-96989-9_2" TargetMode="External"/><Relationship Id="rId470" Type="http://schemas.openxmlformats.org/officeDocument/2006/relationships/hyperlink" Target="https://doi.org/10.1177/09544119221114729%C2%A0" TargetMode="External"/><Relationship Id="rId929" Type="http://schemas.openxmlformats.org/officeDocument/2006/relationships/hyperlink" Target="https://journals.sagepub.com/doi/10.1177/09544062221133674" TargetMode="External"/><Relationship Id="rId58" Type="http://schemas.openxmlformats.org/officeDocument/2006/relationships/hyperlink" Target="https://elar.urfu.ru/bitstream/10995/117925/1/2-s2.0-85132267039.pdf" TargetMode="External"/><Relationship Id="rId123" Type="http://schemas.openxmlformats.org/officeDocument/2006/relationships/hyperlink" Target="https://roderic.uv.es/bitstream/handle/10550/83436/154303.pdf;jsessionid=868BCAC06B57CEEAEF74797FF34D365D.nodo1?sequence=1" TargetMode="External"/><Relationship Id="rId330" Type="http://schemas.openxmlformats.org/officeDocument/2006/relationships/hyperlink" Target="https://1510q6ck8-y-https-www-webofscience-com.z.e-nformation.ro/wos/woscc/full-record/WOS:000865799400010" TargetMode="External"/><Relationship Id="rId568" Type="http://schemas.openxmlformats.org/officeDocument/2006/relationships/hyperlink" Target="https://www.hindawi.com/journals/misy/2022/3696140/" TargetMode="External"/><Relationship Id="rId775" Type="http://schemas.openxmlformats.org/officeDocument/2006/relationships/hyperlink" Target="https://www.emerald.com/insight/content/doi/10.1108/JM2-12-2020-0322/full/html" TargetMode="External"/><Relationship Id="rId428" Type="http://schemas.openxmlformats.org/officeDocument/2006/relationships/hyperlink" Target="https://1510q6buz-y-https-www-webofscience-com.z.e-nformation.ro/wos/woscc/full-record/WOS:000887754700001" TargetMode="External"/><Relationship Id="rId635" Type="http://schemas.openxmlformats.org/officeDocument/2006/relationships/hyperlink" Target="http://cje.ustb.edu.cn/article/doi/10.13374/j.issn2095-9389.2021.05.08.002?pageType=en" TargetMode="External"/><Relationship Id="rId842" Type="http://schemas.openxmlformats.org/officeDocument/2006/relationships/hyperlink" Target="https://link.springer.com/article/10.1007/s00170-021-08081-4" TargetMode="External"/><Relationship Id="rId274" Type="http://schemas.openxmlformats.org/officeDocument/2006/relationships/hyperlink" Target="https://www.mdpi.com/2073-4360/14/15/3181/htm" TargetMode="External"/><Relationship Id="rId481" Type="http://schemas.openxmlformats.org/officeDocument/2006/relationships/hyperlink" Target="https://doi.org/10.1007/s00289-021-03566-4%C2%A0" TargetMode="External"/><Relationship Id="rId702" Type="http://schemas.openxmlformats.org/officeDocument/2006/relationships/hyperlink" Target="https://www.scopus.com/results/results.uri?sort=plf-f&amp;src=s&amp;st1=Internet+of+Things+based+Portable+Preterm+Baby+Incubator&amp;sid=3705ab03d63069b569ce4d0fffb3dc65&amp;sot=b&amp;sdt=b&amp;sl=71&amp;s=TITLE-ABS-KEY%28Internet+of+Things+based+Portable+Preterm+Baby+Incubator%29&amp;origin=searchbasic&amp;editSaveSearch=&amp;yearFrom=Before+1960&amp;yearTo=Present&amp;sessionSearchId=3705ab03d63069b569ce4d0fffb3dc65&amp;limit=10" TargetMode="External"/><Relationship Id="rId69" Type="http://schemas.openxmlformats.org/officeDocument/2006/relationships/hyperlink" Target="https://www.sciencedirect.com/science/article/pii/S0301479722004509?via%3Dihub" TargetMode="External"/><Relationship Id="rId134" Type="http://schemas.openxmlformats.org/officeDocument/2006/relationships/hyperlink" Target="https://journals.vilniustech.lt/index.php/JBEM/article/view/16406" TargetMode="External"/><Relationship Id="rId579" Type="http://schemas.openxmlformats.org/officeDocument/2006/relationships/hyperlink" Target="https://www.mdpi.com/2624-6511/5/4/71/pdf" TargetMode="External"/><Relationship Id="rId786" Type="http://schemas.openxmlformats.org/officeDocument/2006/relationships/hyperlink" Target="https://dl.acm.org/doi/abs/10.1016/j.cie.2022.108206" TargetMode="External"/><Relationship Id="rId341" Type="http://schemas.openxmlformats.org/officeDocument/2006/relationships/hyperlink" Target="https://1510q2wtr-y-https-www-webofscience-com.z.e-nformation.ro/wos/woscc/full-record/WOS:000833048200001" TargetMode="External"/><Relationship Id="rId439" Type="http://schemas.openxmlformats.org/officeDocument/2006/relationships/hyperlink" Target="https://www.mdpi.com/2313-576X/8/2/23" TargetMode="External"/><Relationship Id="rId646" Type="http://schemas.openxmlformats.org/officeDocument/2006/relationships/hyperlink" Target="https://www.sciencedirect.com/science/article/pii/S1877050922000096" TargetMode="External"/><Relationship Id="rId201" Type="http://schemas.openxmlformats.org/officeDocument/2006/relationships/hyperlink" Target="https://1510g07f0-y-https-link-springer-com.z.e-nformation.ro/article/10.1007/s00170-022-08881-2" TargetMode="External"/><Relationship Id="rId285" Type="http://schemas.openxmlformats.org/officeDocument/2006/relationships/hyperlink" Target="https://link.springer.com/article/10.1007/s13563-022-00337-z" TargetMode="External"/><Relationship Id="rId506" Type="http://schemas.openxmlformats.org/officeDocument/2006/relationships/hyperlink" Target="https://www.scopus.com/record/display.uri?eid=2-s2.0-85123457869&amp;origin=SingleRecordEmailAlert&amp;dgcid=raven_sc_authcite_en_us_email&amp;txGid=f76f9c5703c91b5150aff1e54c85437e" TargetMode="External"/><Relationship Id="rId853" Type="http://schemas.openxmlformats.org/officeDocument/2006/relationships/hyperlink" Target="https://link.springer.com/article/10.1007/s00170-022-09435-2" TargetMode="External"/><Relationship Id="rId492" Type="http://schemas.openxmlformats.org/officeDocument/2006/relationships/hyperlink" Target="https://doi.org/10.1155/2022/4818985%C2%A0" TargetMode="External"/><Relationship Id="rId713" Type="http://schemas.openxmlformats.org/officeDocument/2006/relationships/hyperlink" Target="https://www.scopus.com/record/display.uri?eid=2-s2.0-85138119811&amp;origin=resultslist&amp;sort=lfp-t&amp;src=s&amp;st1=Tracking+Control+for+a+Two-Wheel+Differentially+Driven+Nonholonomic+Mobile+Robot%3a+Performance+Comparison&amp;sid=22e740015e9091474c7d0717fbc4074d&amp;sot=b&amp;sdt=b&amp;sl=119&amp;s=TITLE-ABS-KEY%28Tracking+Control+for+a+Two-Wheel+Differentially+Driven+Nonholonomic+Mobile+Robot%3a+Performance+Comparison%29&amp;relpos=0&amp;citeCnt=0&amp;searchTerm=" TargetMode="External"/><Relationship Id="rId797" Type="http://schemas.openxmlformats.org/officeDocument/2006/relationships/hyperlink" Target="http://dx.doi.org/10.4018/978-1-6684-5696-5.ch031" TargetMode="External"/><Relationship Id="rId920" Type="http://schemas.openxmlformats.org/officeDocument/2006/relationships/hyperlink" Target="https://www.sciencedirect.com/science/article/pii/S1350630722001029?casa_token=AtPzquezc4EAAAAA:dcLx9kJ83jzkl4BJ1-VM_cmQduPXpy4B2rLQX-HSJihYYvtWpnS0S8wztUgsFEDSqzNjvCs" TargetMode="External"/><Relationship Id="rId145" Type="http://schemas.openxmlformats.org/officeDocument/2006/relationships/hyperlink" Target="https://www.mdpi.com/2071-1050/14/15/9042" TargetMode="External"/><Relationship Id="rId352" Type="http://schemas.openxmlformats.org/officeDocument/2006/relationships/hyperlink" Target="https://151096clp-y-https-www-scopus-com.z.e-nformation.ro/results/citedbyresults.uri?sort=plf-f&amp;refeid=2-s2.0-84994417678&amp;src=s&amp;imp=t&amp;sid=7575b2bd6c0446a898eccba5c0c477ad&amp;sot=ctocbw&amp;sdt=a&amp;sl=15&amp;s=PUBYEAR+IS+2022&amp;origin=cto&amp;citeCnt=2_DELIM_2_DELIM_CTODS_1655447282_DELIM_1&amp;txGid=049f9dcddac99d094d51c37adcbc5a32" TargetMode="External"/><Relationship Id="rId212" Type="http://schemas.openxmlformats.org/officeDocument/2006/relationships/hyperlink" Target="https://1510q6ck8-y-https-www-webofscience-com.z.e-nformation.ro/wos/woscc/full-record/WOS:000865799400010" TargetMode="External"/><Relationship Id="rId657" Type="http://schemas.openxmlformats.org/officeDocument/2006/relationships/hyperlink" Target="https://ieeexplore.ieee.org/document/9995994" TargetMode="External"/><Relationship Id="rId864" Type="http://schemas.openxmlformats.org/officeDocument/2006/relationships/hyperlink" Target="https://journals.scicell.org/index.php/AMS/article/view/1471" TargetMode="External"/><Relationship Id="rId296" Type="http://schemas.openxmlformats.org/officeDocument/2006/relationships/hyperlink" Target="https://www.sciencedirect.com/science/article/pii/B9780323858328000018" TargetMode="External"/><Relationship Id="rId517" Type="http://schemas.openxmlformats.org/officeDocument/2006/relationships/hyperlink" Target="https://www.sciencedirect.com/science/article/pii/S0360544222022125" TargetMode="External"/><Relationship Id="rId724" Type="http://schemas.openxmlformats.org/officeDocument/2006/relationships/hyperlink" Target="https://link.springer.com/chapter/10.1007/978-3-031-15928-2_97" TargetMode="External"/><Relationship Id="rId931" Type="http://schemas.openxmlformats.org/officeDocument/2006/relationships/hyperlink" Target="https://link.springer.com/article/10.1007/s00170-022-08881-2" TargetMode="External"/><Relationship Id="rId60" Type="http://schemas.openxmlformats.org/officeDocument/2006/relationships/hyperlink" Target="https://link.springer.com/article/10.1007/s10098-022-02333-x" TargetMode="External"/><Relationship Id="rId156" Type="http://schemas.openxmlformats.org/officeDocument/2006/relationships/hyperlink" Target="https://journal.ump.edu.my/jmes/article/view/7027" TargetMode="External"/><Relationship Id="rId363" Type="http://schemas.openxmlformats.org/officeDocument/2006/relationships/hyperlink" Target="https://1510q6d2m-y-https-www-webofscience-com.z.e-nformation.ro/wos/woscc/summary/859a816a-55fd-4a34-a30c-22bcf42f699f-92b98cff/relevance/1" TargetMode="External"/><Relationship Id="rId570" Type="http://schemas.openxmlformats.org/officeDocument/2006/relationships/hyperlink" Target="https://www.mdpi.com/1424-8220/22/24/9769" TargetMode="External"/><Relationship Id="rId223" Type="http://schemas.openxmlformats.org/officeDocument/2006/relationships/hyperlink" Target="https://www.sciencedirect.com/science/article/pii/B9780128243442000021?via%3Dihub" TargetMode="External"/><Relationship Id="rId430" Type="http://schemas.openxmlformats.org/officeDocument/2006/relationships/hyperlink" Target="https://www.webofscience.com/wos/woscc/full-record/WOS:000969679100047" TargetMode="External"/><Relationship Id="rId668" Type="http://schemas.openxmlformats.org/officeDocument/2006/relationships/hyperlink" Target="https://ieeexplore.ieee.org/abstract/document/10055603" TargetMode="External"/><Relationship Id="rId875" Type="http://schemas.openxmlformats.org/officeDocument/2006/relationships/hyperlink" Target="https://asmedigitalcollection.asme.org/MSEC/proceedings-abstract/MSEC2022/V002T05A001/1147035" TargetMode="External"/><Relationship Id="rId18" Type="http://schemas.openxmlformats.org/officeDocument/2006/relationships/hyperlink" Target="https://pubs.acs.org/doi/10.1021/acs.energyfuels.2c02053" TargetMode="External"/><Relationship Id="rId528" Type="http://schemas.openxmlformats.org/officeDocument/2006/relationships/hyperlink" Target="https://www.sciencedirect.com/science/article/pii/S0268401221001493" TargetMode="External"/><Relationship Id="rId735" Type="http://schemas.openxmlformats.org/officeDocument/2006/relationships/hyperlink" Target="https://www.webofscience.com/wos/woscc/full-record/WOS:000830020400002" TargetMode="External"/><Relationship Id="rId942" Type="http://schemas.openxmlformats.org/officeDocument/2006/relationships/hyperlink" Target="https://link.springer.com/article/10.1007/s00170-021-08081-4" TargetMode="External"/><Relationship Id="rId167" Type="http://schemas.openxmlformats.org/officeDocument/2006/relationships/hyperlink" Target="https://www.mdpi.com/2071-1050/14/2/771" TargetMode="External"/><Relationship Id="rId374" Type="http://schemas.openxmlformats.org/officeDocument/2006/relationships/hyperlink" Target="https://151096e8e-y-https-www-scopus-com.z.e-nformation.ro/record/display.uri?eid=2-s2.0-85161245029&amp;origin=resultslist&amp;sort=plf-f&amp;cite=2-s2.0-85109054537&amp;src=s&amp;imp=t&amp;sid=c62149d598fa37a2f968d6ac411362bf&amp;sot=cite&amp;sdt=a&amp;sl=0&amp;relpos=2&amp;citeCnt=2&amp;searchTerm=" TargetMode="External"/><Relationship Id="rId581" Type="http://schemas.openxmlformats.org/officeDocument/2006/relationships/hyperlink" Target="https://www.sciencedirect.com/science/article/abs/pii/S0360544222022125" TargetMode="External"/><Relationship Id="rId71" Type="http://schemas.openxmlformats.org/officeDocument/2006/relationships/hyperlink" Target="https://bioresources.cnr.ncsu.edu/resources/poultry-feathers-and-offal-treatment-by-using-beneficial-microorganisms/" TargetMode="External"/><Relationship Id="rId234" Type="http://schemas.openxmlformats.org/officeDocument/2006/relationships/hyperlink" Target="https://www.mdpi.com/2227-9717/10/2/303" TargetMode="External"/><Relationship Id="rId679" Type="http://schemas.openxmlformats.org/officeDocument/2006/relationships/hyperlink" Target="https://journals.sagepub.com/doi/full/10.1177/09544097211039395" TargetMode="External"/><Relationship Id="rId802" Type="http://schemas.openxmlformats.org/officeDocument/2006/relationships/hyperlink" Target="https://www.webofscience.com/wos/woscc/full-record/WOS:000895165300001" TargetMode="External"/><Relationship Id="rId886" Type="http://schemas.openxmlformats.org/officeDocument/2006/relationships/hyperlink" Target="https://www.sciencedirect.com/science/article/pii/S221478532207078X?casa_token=tlGzrjGRPMIAAAAA:DaoTY6cKVEOGtFgF0nHu9fsrxMkKsw3M1adja6xe0SGd40V8LjHvp-pvETMY5dqxSDEPSKY" TargetMode="External"/><Relationship Id="rId2" Type="http://schemas.openxmlformats.org/officeDocument/2006/relationships/hyperlink" Target="https://doi.org/10.1016/j.jmapro.2021.11.065" TargetMode="External"/><Relationship Id="rId29" Type="http://schemas.openxmlformats.org/officeDocument/2006/relationships/hyperlink" Target="https://www.mdpi.com/2079-6412/12/4/496" TargetMode="External"/><Relationship Id="rId441" Type="http://schemas.openxmlformats.org/officeDocument/2006/relationships/hyperlink" Target="https://www.sciencedirect.com/science/article/pii/S0019850121002406?casa_token=Eg6GLIHJrxAAAAAA:E08vExaXyKoni2xMQRVeeY5Uu68wMpcZce4Qe7JLdBgGdn3LhTzD5hhZ8CSHwn8NOep0ABLL" TargetMode="External"/><Relationship Id="rId539" Type="http://schemas.openxmlformats.org/officeDocument/2006/relationships/hyperlink" Target="https://ieeexplore.ieee.org/abstract/document/9462533?casa_token=cnDbzXl1r4oAAAAA:mQvSV_YzNYMCqc6gpHipSosLdF4xrJDixZPpyU3ZGFjpyGO5DWFVIDSFlrnKsprWDLBMiBWeL7hCLw" TargetMode="External"/><Relationship Id="rId746" Type="http://schemas.openxmlformats.org/officeDocument/2006/relationships/hyperlink" Target="https://www.webofscience.com/wos/woscc/full-record/WOS:000891810800009" TargetMode="External"/><Relationship Id="rId178" Type="http://schemas.openxmlformats.org/officeDocument/2006/relationships/hyperlink" Target="https://www.ncbi.nlm.nih.gov/pmc/articles/PMC9690506/" TargetMode="External"/><Relationship Id="rId301" Type="http://schemas.openxmlformats.org/officeDocument/2006/relationships/hyperlink" Target="https://www.journalppw.com/index.php/jpsp/article/view/10300/6673" TargetMode="External"/><Relationship Id="rId953" Type="http://schemas.openxmlformats.org/officeDocument/2006/relationships/hyperlink" Target="https://link.springer.com/chapter/10.1007/978-3-031-15928-2_97" TargetMode="External"/><Relationship Id="rId82" Type="http://schemas.openxmlformats.org/officeDocument/2006/relationships/hyperlink" Target="https://link.springer.com/article/10.1007/s41660-022-00281-z" TargetMode="External"/><Relationship Id="rId385" Type="http://schemas.openxmlformats.org/officeDocument/2006/relationships/hyperlink" Target="https://doi.org/10.1007/s40684-021-00372-1" TargetMode="External"/><Relationship Id="rId592" Type="http://schemas.openxmlformats.org/officeDocument/2006/relationships/hyperlink" Target="https://www.mdpi.com/2076-3417/12/8/3887" TargetMode="External"/><Relationship Id="rId606" Type="http://schemas.openxmlformats.org/officeDocument/2006/relationships/hyperlink" Target="https://www.sciencedirect.com/science/article/abs/pii/S0957417422024757" TargetMode="External"/><Relationship Id="rId813" Type="http://schemas.openxmlformats.org/officeDocument/2006/relationships/hyperlink" Target="https://link.springer.com/article/10.1007/s40430-022-03467-1" TargetMode="External"/><Relationship Id="rId245" Type="http://schemas.openxmlformats.org/officeDocument/2006/relationships/hyperlink" Target="https://www.sciencedirect.com/science/article/pii/S0016236122007165?via%3Dihub" TargetMode="External"/><Relationship Id="rId452" Type="http://schemas.openxmlformats.org/officeDocument/2006/relationships/hyperlink" Target="https://doi.org/10.3390/molecules27072311" TargetMode="External"/><Relationship Id="rId897" Type="http://schemas.openxmlformats.org/officeDocument/2006/relationships/hyperlink" Target="https://www.mdpi.com/2076-3417/12/13/6636" TargetMode="External"/><Relationship Id="rId105" Type="http://schemas.openxmlformats.org/officeDocument/2006/relationships/hyperlink" Target="https://gala.gre.ac.uk/id/eprint/36590/7/36590_ARRANZ_Institutional_pressures_as_driver.pdf" TargetMode="External"/><Relationship Id="rId312" Type="http://schemas.openxmlformats.org/officeDocument/2006/relationships/hyperlink" Target="https://link.springer.com/chapter/10.1007/978-3-658-38667-2_4" TargetMode="External"/><Relationship Id="rId757" Type="http://schemas.openxmlformats.org/officeDocument/2006/relationships/hyperlink" Target="https://www.webofscience.com/wos/woscc/full-record/WOS:000831646300002" TargetMode="External"/><Relationship Id="rId964" Type="http://schemas.openxmlformats.org/officeDocument/2006/relationships/hyperlink" Target="https://1510q0cc7-y-https-www-webofscience-com.z.e-nformation.ro/wos/woscc/full-record/WOS:000818797700002" TargetMode="External"/><Relationship Id="rId93" Type="http://schemas.openxmlformats.org/officeDocument/2006/relationships/hyperlink" Target="https://acris.aalto.fi/ws/portalfiles/portal/82219080/Role_of_consumer_mindsets_behaviour_and_influencing_factors_in_circular_consumption_systems_Gomes_Moreira_Ometto_2022.pdf" TargetMode="External"/><Relationship Id="rId189" Type="http://schemas.openxmlformats.org/officeDocument/2006/relationships/hyperlink" Target="https://www.scopus.com/record/display.uri?eid=2-s2.0-85149731661&amp;origin=resultslist&amp;sort=plf-f&amp;src=s&amp;citedAuthorId=55888486300&amp;imp=t&amp;sid=804476badfb7da90dd30183397cd72d9&amp;sot=cite&amp;sdt=cite&amp;cluster=scopubyr%2c%222022%22%2ct&amp;sl=0&amp;relpos=10&amp;citeCnt=0&amp;searchTerm=" TargetMode="External"/><Relationship Id="rId396" Type="http://schemas.openxmlformats.org/officeDocument/2006/relationships/hyperlink" Target="https://www.jshoulderelbow.org/article/S1058-2746(22)00434-7/fulltext" TargetMode="External"/><Relationship Id="rId617" Type="http://schemas.openxmlformats.org/officeDocument/2006/relationships/hyperlink" Target="https://www.webofscience.com/wos/woscc/full-record/WOS:000847689500002" TargetMode="External"/><Relationship Id="rId824" Type="http://schemas.openxmlformats.org/officeDocument/2006/relationships/hyperlink" Target="https://www.degruyter.com/document/doi/10.1515/mt-2022-0032/html?lang=de" TargetMode="External"/><Relationship Id="rId256" Type="http://schemas.openxmlformats.org/officeDocument/2006/relationships/hyperlink" Target="https://www.scielo.br/j/cta/a/BTH5cRFGvhLMHCXYH38Vh3m/?lang=en" TargetMode="External"/><Relationship Id="rId463" Type="http://schemas.openxmlformats.org/officeDocument/2006/relationships/hyperlink" Target="https://doi.org/10.1016/j.bios.2022.114029" TargetMode="External"/><Relationship Id="rId670" Type="http://schemas.openxmlformats.org/officeDocument/2006/relationships/hyperlink" Target="https://www.tandfonline.com/doi/abs/10.1080/0951192X.2021.1992666" TargetMode="External"/><Relationship Id="rId116" Type="http://schemas.openxmlformats.org/officeDocument/2006/relationships/hyperlink" Target="https://www.mdpi.com/1996-1073/15/23/9050" TargetMode="External"/><Relationship Id="rId323" Type="http://schemas.openxmlformats.org/officeDocument/2006/relationships/hyperlink" Target="https://armgpublishing.com/journals/mmi/volume-13-issue-1/article-19/" TargetMode="External"/><Relationship Id="rId530" Type="http://schemas.openxmlformats.org/officeDocument/2006/relationships/hyperlink" Target="https://www.mdpi.com/2624-6511/5/4/71" TargetMode="External"/><Relationship Id="rId768" Type="http://schemas.openxmlformats.org/officeDocument/2006/relationships/hyperlink" Target="https://www.scopus.com/record/display.uri?eid=2-s2.0-85154035307&amp;origin=resultslist&amp;sort=plf-f&amp;src=s&amp;citedAuthorId=42861335100&amp;imp=t&amp;sid=3635e2d1f824b7fbb4db4050686eafbd&amp;sot=cite&amp;sdt=cite&amp;cluster=scopubyr%2c%222022%22%2ct&amp;sl=0&amp;relpos=4&amp;citeCnt=0&amp;searchTerm=" TargetMode="External"/><Relationship Id="rId20" Type="http://schemas.openxmlformats.org/officeDocument/2006/relationships/hyperlink" Target="https://www.sciencedirect.com/science/article/pii/S0959652622034990?via%3Dihub" TargetMode="External"/><Relationship Id="rId628" Type="http://schemas.openxmlformats.org/officeDocument/2006/relationships/hyperlink" Target="https://www.sciencedirect.com/science/article/pii/S0278612522000048" TargetMode="External"/><Relationship Id="rId835" Type="http://schemas.openxmlformats.org/officeDocument/2006/relationships/hyperlink" Target="https://link.springer.com/article/10.1007/s43452-022-00585-4" TargetMode="External"/><Relationship Id="rId267" Type="http://schemas.openxmlformats.org/officeDocument/2006/relationships/hyperlink" Target="https://link.springer.com/article/10.1007/s10965-022-03167-3" TargetMode="External"/><Relationship Id="rId474" Type="http://schemas.openxmlformats.org/officeDocument/2006/relationships/hyperlink" Target="https://doi.org/10.14505/jemt.v13.2(58).04%C2%A0" TargetMode="External"/><Relationship Id="rId127" Type="http://schemas.openxmlformats.org/officeDocument/2006/relationships/hyperlink" Target="https://www.mdpi.com/2071-1050/14/1/482" TargetMode="External"/><Relationship Id="rId681" Type="http://schemas.openxmlformats.org/officeDocument/2006/relationships/hyperlink" Target="https://link.springer.com/chapter/10.1007/978-3-031-19849-6_15" TargetMode="External"/><Relationship Id="rId779" Type="http://schemas.openxmlformats.org/officeDocument/2006/relationships/hyperlink" Target="https://www.mdpi.com/2071-1050/14/18/11296" TargetMode="External"/><Relationship Id="rId902" Type="http://schemas.openxmlformats.org/officeDocument/2006/relationships/hyperlink" Target="https://pp.bme.hu/me/article/view/18781" TargetMode="External"/><Relationship Id="rId31" Type="http://schemas.openxmlformats.org/officeDocument/2006/relationships/hyperlink" Target="https://link.springer.com/article/10.1007/s10570-022-04549-y" TargetMode="External"/><Relationship Id="rId334" Type="http://schemas.openxmlformats.org/officeDocument/2006/relationships/hyperlink" Target="https://iopscience.iop.org/article/10.1088/1742-6596/2346/1/012005/meta" TargetMode="External"/><Relationship Id="rId541" Type="http://schemas.openxmlformats.org/officeDocument/2006/relationships/hyperlink" Target="https://link.springer.com/article/10.1007/s12652-021-03033-y" TargetMode="External"/><Relationship Id="rId639" Type="http://schemas.openxmlformats.org/officeDocument/2006/relationships/hyperlink" Target="https://www.tandfonline.com/doi/full/10.1080/0951192X.2021.1992656" TargetMode="External"/><Relationship Id="rId180" Type="http://schemas.openxmlformats.org/officeDocument/2006/relationships/hyperlink" Target="https://www.scopus.com/record/display.uri?eid=2-s2.0-85144939999&amp;origin=resultslist&amp;sort=plf-f&amp;src=s&amp;citedAuthorId=55888486300&amp;imp=t&amp;sid=75bba458212fe6d6788108432e1c28ca&amp;sot=cite&amp;sdt=cite&amp;cluster=scopubyr%2c%222022%22%2ct&amp;sl=0&amp;relpos=1&amp;citeCnt=0&amp;searchTerm=" TargetMode="External"/><Relationship Id="rId278" Type="http://schemas.openxmlformats.org/officeDocument/2006/relationships/hyperlink" Target="https://www.tandfonline.com/doi/ref/10.1080/02670844.2022.2111133?scroll=top" TargetMode="External"/><Relationship Id="rId401" Type="http://schemas.openxmlformats.org/officeDocument/2006/relationships/hyperlink" Target="https://www.scopus.com/record/display.uri?eid=2-s2.0-85132112749&amp;origin=resultslist&amp;sort=plf-f&amp;src=s&amp;citedAuthorId=55572604000&amp;imp=t&amp;sid=9a4987f3b1ca72d6a356729701704127&amp;sot=cite&amp;sdt=cite&amp;cluster=scopubyr%2c%222022%22%2ct&amp;sl=0&amp;relpos=8&amp;citeCnt=0&amp;searchTerm=" TargetMode="External"/><Relationship Id="rId846" Type="http://schemas.openxmlformats.org/officeDocument/2006/relationships/hyperlink" Target="https://www.sciencedirect.com/science/article/pii/S2588840421000366" TargetMode="External"/><Relationship Id="rId485" Type="http://schemas.openxmlformats.org/officeDocument/2006/relationships/hyperlink" Target="https://doi.org/10.3390/s22010028%C2%A0" TargetMode="External"/><Relationship Id="rId692" Type="http://schemas.openxmlformats.org/officeDocument/2006/relationships/hyperlink" Target="https://www.webofscience.com/wos/woscc/full-record/WOS:000742279800001" TargetMode="External"/><Relationship Id="rId706" Type="http://schemas.openxmlformats.org/officeDocument/2006/relationships/hyperlink" Target="https://www.scopus.com/record/display.uri?eid=2-s2.0-85133629588&amp;origin=resultslist&amp;sort=plf-f&amp;src=s&amp;nlo=&amp;nlr=&amp;nls=&amp;citedAuthorId=56184609800&amp;imp=t&amp;sid=19e9dfcc5f518037df097b68e0fd311a&amp;sot=cite&amp;sdt=cl&amp;cluster=scopubyr%2c%222022%22%2ct&amp;sl=0&amp;relpos=2&amp;citeCnt=0&amp;searchTerm=" TargetMode="External"/><Relationship Id="rId913" Type="http://schemas.openxmlformats.org/officeDocument/2006/relationships/hyperlink" Target="https://www.sae.org/publications/technical-papers/content/02-16-01-0006/" TargetMode="External"/><Relationship Id="rId42" Type="http://schemas.openxmlformats.org/officeDocument/2006/relationships/hyperlink" Target="https://www.tandfonline.com/doi/abs/10.1080/09613218.2022.2142496?journalCode=rbri20" TargetMode="External"/><Relationship Id="rId138" Type="http://schemas.openxmlformats.org/officeDocument/2006/relationships/hyperlink" Target="https://www.ncbi.nlm.nih.gov/pmc/articles/PMC9495311/" TargetMode="External"/><Relationship Id="rId345" Type="http://schemas.openxmlformats.org/officeDocument/2006/relationships/hyperlink" Target="https://1510q6cj3-y-https-www-webofscience-com.z.e-nformation.ro/wos/woscc/summary/fe30fcf8-fc0a-437f-bdda-fc155eb6ed5f-92a50ab1/date-descending/1" TargetMode="External"/><Relationship Id="rId552" Type="http://schemas.openxmlformats.org/officeDocument/2006/relationships/hyperlink" Target="https://www.mdpi.com/2076-3417/12/24/12691" TargetMode="External"/><Relationship Id="rId191" Type="http://schemas.openxmlformats.org/officeDocument/2006/relationships/hyperlink" Target="https://www.scopus.com/record/display.uri?eid=2-s2.0-85146582634&amp;origin=resultslist&amp;sort=plf-f&amp;src=s&amp;citedAuthorId=55888486300&amp;imp=t&amp;sid=804476badfb7da90dd30183397cd72d9&amp;sot=cite&amp;sdt=cite&amp;cluster=scopubyr%2c%222022%22%2ct&amp;sl=0&amp;relpos=11&amp;citeCnt=0&amp;searchTerm=" TargetMode="External"/><Relationship Id="rId205" Type="http://schemas.openxmlformats.org/officeDocument/2006/relationships/hyperlink" Target="https://www.frontiersin.org/articles/10.3389/fmech.2022.1003456/full" TargetMode="External"/><Relationship Id="rId412" Type="http://schemas.openxmlformats.org/officeDocument/2006/relationships/hyperlink" Target="https://www.mdpi.com/1424-8220/22/6/2409" TargetMode="External"/><Relationship Id="rId857" Type="http://schemas.openxmlformats.org/officeDocument/2006/relationships/hyperlink" Target="https://asmedigitalcollection.asme.org/manufacturingscience/article-abstract/144/11/110802/1141317/A-Comprehensive-Review-on-Experimental-Conditions" TargetMode="External"/><Relationship Id="rId289" Type="http://schemas.openxmlformats.org/officeDocument/2006/relationships/hyperlink" Target="https://asmedigitalcollection.asme.org/thermalscienceapplication/article-abstract/doi/10.1115/1.4056052/1148449/A-novel-non-intrusive-imaging-technique-to" TargetMode="External"/><Relationship Id="rId496" Type="http://schemas.openxmlformats.org/officeDocument/2006/relationships/hyperlink" Target="https://doi.org/10.1063/5.0074564" TargetMode="External"/><Relationship Id="rId717" Type="http://schemas.openxmlformats.org/officeDocument/2006/relationships/hyperlink" Target="https://www.scopus.com/record/display.uri?eid=2-s2.0-85127569219&amp;origin=resultslist&amp;sort=plf-f&amp;cite=2-s2.0-85096480213&amp;src=s&amp;imp=t&amp;sid=1cdef38d9b2515d883c3496d929725b7&amp;sot=cite&amp;sdt=a&amp;sl=0&amp;relpos=0&amp;citeCnt=0&amp;searchTerm=" TargetMode="External"/><Relationship Id="rId924" Type="http://schemas.openxmlformats.org/officeDocument/2006/relationships/hyperlink" Target="https://www.mdpi.com/1996-1944/15/4/1458" TargetMode="External"/><Relationship Id="rId53" Type="http://schemas.openxmlformats.org/officeDocument/2006/relationships/hyperlink" Target="https://www.mdpi.com/2076-3417/12/18/9092" TargetMode="External"/><Relationship Id="rId149" Type="http://schemas.openxmlformats.org/officeDocument/2006/relationships/hyperlink" Target="https://repositorio.ipl.pt/bitstream/10400.21/14825/1/mathematics-10-02379-v2.pdf" TargetMode="External"/><Relationship Id="rId356" Type="http://schemas.openxmlformats.org/officeDocument/2006/relationships/hyperlink" Target="https://151096clp-y-https-www-scopus-com.z.e-nformation.ro/results/citedbyresults.uri?sort=plf-f&amp;refeid=2-s2.0-84981289567&amp;src=s&amp;imp=t&amp;sid=537b5212d00a8bf61fb00f250697f6ce&amp;sot=ctocbw&amp;sdt=a&amp;sl=15&amp;s=PUBYEAR+IS+2022&amp;origin=cto&amp;citeCnt=5_DELIM_5_DELIM_CTODS_1655447282_DELIM_1&amp;txGid=cca1f809dc44c41c85f4ba771f7bc874" TargetMode="External"/><Relationship Id="rId563" Type="http://schemas.openxmlformats.org/officeDocument/2006/relationships/hyperlink" Target="https://link.springer.com/chapter/10.1007/978-3-030-96305-7_39" TargetMode="External"/><Relationship Id="rId770" Type="http://schemas.openxmlformats.org/officeDocument/2006/relationships/hyperlink" Target="https://www.scopus.com/record/display.uri?eid=2-s2.0-85127541311&amp;origin=resultslist&amp;sort=plf-f&amp;cite=2-s2.0-85081055133&amp;src=s&amp;imp=t&amp;sid=54ae3b2a0248bdd52d62f9f6f33e339e&amp;sot=cite&amp;sdt=a&amp;sl=0&amp;relpos=1&amp;citeCnt=0&amp;searchTerm=" TargetMode="External"/><Relationship Id="rId216" Type="http://schemas.openxmlformats.org/officeDocument/2006/relationships/hyperlink" Target="https://www.sciencedirect.com/science/article/pii/S0959652621043882?via%3Dihub" TargetMode="External"/><Relationship Id="rId423" Type="http://schemas.openxmlformats.org/officeDocument/2006/relationships/hyperlink" Target="https://www.taylorfrancis.com/chapters/edit/10.4324/9781003264170-2/developing-competencies-future-ma%C5%82gorzata-kosa%C5%82a-magdalena-jelonek-magdalena-gorzelany-dziadkowiec" TargetMode="External"/><Relationship Id="rId868" Type="http://schemas.openxmlformats.org/officeDocument/2006/relationships/hyperlink" Target="https://www.mdpi.com/1996-1944/15/10/3707" TargetMode="External"/><Relationship Id="rId630" Type="http://schemas.openxmlformats.org/officeDocument/2006/relationships/hyperlink" Target="https://www.techscience.com/CMES/v131n3/47386/html" TargetMode="External"/><Relationship Id="rId728" Type="http://schemas.openxmlformats.org/officeDocument/2006/relationships/hyperlink" Target="https://link.springer.com/chapter/10.1007/978-981-19-9398-5_109" TargetMode="External"/><Relationship Id="rId935" Type="http://schemas.openxmlformats.org/officeDocument/2006/relationships/hyperlink" Target="https://www.sciencedirect.com/science/article/pii/S2214785322019587?casa_token=qtz3FilqTqwAAAAA:tLdu6EMqLakjl8bfzWBmwe8nPrmmnBtdSqmtCYrNaLlxtu6Aqcf7f1W4QQonII5ndPIBWjA" TargetMode="External"/><Relationship Id="rId64" Type="http://schemas.openxmlformats.org/officeDocument/2006/relationships/hyperlink" Target="https://www.mdpi.com/2071-1050/14/10/6359" TargetMode="External"/><Relationship Id="rId367" Type="http://schemas.openxmlformats.org/officeDocument/2006/relationships/hyperlink" Target="https://onlinelibrary.wiley.com/doi/abs/10.1002/spe.2825" TargetMode="External"/><Relationship Id="rId574" Type="http://schemas.openxmlformats.org/officeDocument/2006/relationships/hyperlink" Target="https://www.mdpi.com/1424-8220/22/23/9502/pdf" TargetMode="External"/><Relationship Id="rId227" Type="http://schemas.openxmlformats.org/officeDocument/2006/relationships/hyperlink" Target="https://www.mdpi.com/2079-6412/12/2/160" TargetMode="External"/><Relationship Id="rId781" Type="http://schemas.openxmlformats.org/officeDocument/2006/relationships/hyperlink" Target="https://link.springer.com/article/10.1007/s13563-022-00337-z" TargetMode="External"/><Relationship Id="rId879" Type="http://schemas.openxmlformats.org/officeDocument/2006/relationships/hyperlink" Target="https://www.scopus.com/record/display.uri?eid=2-s2.0-85145009661&amp;origin=resultslist&amp;sort=plf-f&amp;src=s&amp;st1=Research+on+Dynamic+Response+and+Fracture+Properties+of+Metal+Materials+for+Vehicle&amp;sid=c6077238cc389801ba2135c8467ee779&amp;sot=b&amp;sdt=b&amp;sl=98&amp;s=TITLE-ABS-KEY%28Research+on+Dynamic+Response+and+Fracture+Properties+of+Metal+Materials+for+Vehicle%29&amp;relpos=0&amp;citeCnt=0&amp;searchTerm=" TargetMode="External"/><Relationship Id="rId434" Type="http://schemas.openxmlformats.org/officeDocument/2006/relationships/hyperlink" Target="https://www.webofscience.com/wos/woscc/full-record/WOS:000817640200001" TargetMode="External"/><Relationship Id="rId641" Type="http://schemas.openxmlformats.org/officeDocument/2006/relationships/hyperlink" Target="https://www.worldscientific.com/doi/10.1142/S0219622022500420" TargetMode="External"/><Relationship Id="rId739" Type="http://schemas.openxmlformats.org/officeDocument/2006/relationships/hyperlink" Target="https://www.scopus.com/record/display.uri?eid=2-s2.0-85120627246&amp;origin=resultslist&amp;sort=plf-f&amp;src=s&amp;nlo=&amp;nlr=&amp;nls=&amp;citedAuthorId=56271998200&amp;imp=t&amp;sid=103bc0437993bedf765e1b3109b69742&amp;sot=cite&amp;sdt=cl&amp;cluster=scopubyr%2c%222022%22%2ct&amp;sl=0&amp;relpos=2&amp;citeCnt=4&amp;searchTerm=" TargetMode="External"/><Relationship Id="rId280" Type="http://schemas.openxmlformats.org/officeDocument/2006/relationships/hyperlink" Target="https://www.mdpi.com/2071-1050/14/18/11296" TargetMode="External"/><Relationship Id="rId501" Type="http://schemas.openxmlformats.org/officeDocument/2006/relationships/hyperlink" Target="https://www.scopus.com/record/display.uri?eid=2-s2.0-85127644127&amp;origin=resultslist&amp;sort=plf-f&amp;src=s&amp;st1=WET+DIAPER+DETECTION+AND+NOTIFICATION+DEVICE+TO+ALERT+THE+BABY+CARETAKER&amp;sid=8b9ce932d37edc8201fe0160d50cbcaf&amp;sot=b&amp;sdt=b&amp;sl=87&amp;s=TITLE-ABS-KEY%28WET+DIAPER+DETECTION+AND+NOTIFICATION+DEVICE+TO+ALERT+THE+BABY+CARETAKER%29&amp;relpos=1&amp;citeCnt=0&amp;searchTerm=" TargetMode="External"/><Relationship Id="rId946" Type="http://schemas.openxmlformats.org/officeDocument/2006/relationships/hyperlink" Target="https://www.webofscience.com/wos/woscc/full-record/WOS:000895833900001" TargetMode="External"/><Relationship Id="rId75" Type="http://schemas.openxmlformats.org/officeDocument/2006/relationships/hyperlink" Target="https://eprints.whiterose.ac.uk/183173/1/GreenGrowth_SMEs_author_accepted_MS.pdf" TargetMode="External"/><Relationship Id="rId140" Type="http://schemas.openxmlformats.org/officeDocument/2006/relationships/hyperlink" Target="https://www.mdpi.com/2071-1050/14/9/5567" TargetMode="External"/><Relationship Id="rId378" Type="http://schemas.openxmlformats.org/officeDocument/2006/relationships/hyperlink" Target="https://www.beilstein-journals.org/bjnano/content/pdf/2190-4286-13-102.pdf" TargetMode="External"/><Relationship Id="rId585" Type="http://schemas.openxmlformats.org/officeDocument/2006/relationships/hyperlink" Target="https://dl.acm.org/doi/10.1155/2022/3696140" TargetMode="External"/><Relationship Id="rId792" Type="http://schemas.openxmlformats.org/officeDocument/2006/relationships/hyperlink" Target="https://scholar.google.com/citations?view_op=view_citation&amp;hl=en&amp;user=aYMjNncAAAAJ&amp;sortby=pubdate&amp;citation_for_view=aYMjNncAAAAJ:qjMakFHDy7sC" TargetMode="External"/><Relationship Id="rId806" Type="http://schemas.openxmlformats.org/officeDocument/2006/relationships/hyperlink" Target="https://www.scopus.com/record/display.uri?eid=2-s2.0-85145349559&amp;origin=resultslist&amp;sort=plf-f&amp;src=s&amp;st1=Binman%3a+An+Autonomous+Beach+Cleaning+Robot&amp;sid=bc4c9bcd6cb92e3f5d887bfa514a0ed5&amp;sot=b&amp;sdt=b&amp;sl=57&amp;s=TITLE-ABS-KEY%28Binman%3a+An+Autonomous+Beach+Cleaning+Robot%29&amp;relpos=0&amp;citeCnt=0&amp;searchTerm=" TargetMode="External"/><Relationship Id="rId6" Type="http://schemas.openxmlformats.org/officeDocument/2006/relationships/hyperlink" Target="https://www.scopus.com/record/display.uri?eid=2-s2.0-84940930011&amp;origin=inward&amp;txGid=32a81de4ed9db0e569591cd7669b6d40" TargetMode="External"/><Relationship Id="rId238" Type="http://schemas.openxmlformats.org/officeDocument/2006/relationships/hyperlink" Target="https://www.sciencedirect.com/science/article/pii/S0360835222000791?casa_token=Lvo6_N1JSXUAAAAA:JLYThzyZyJdKmQBk4FBmkSWPfIs1NuL9QTPwbF4uBe206iq7yOD8bETwo8UYfBTpYsQ1ewSmhQ" TargetMode="External"/><Relationship Id="rId445" Type="http://schemas.openxmlformats.org/officeDocument/2006/relationships/hyperlink" Target="https://www.scopus.com/record/display.uri?eid=2-s2.0-85135981358&amp;origin=resultslist&amp;sort=plf-f&amp;src=s&amp;st1=Visual+SLAM-based+Vehicle+Control+for+Autonomous+Valet+Parking&amp;sid=4920507663f0fdcd471dae5f11f8718f&amp;sot=b&amp;sdt=b&amp;sl=77&amp;s=TITLE-ABS-KEY%28Visual+SLAM-based+Vehicle+Control+for+Autonomous+Valet+Parking%29&amp;relpos=0&amp;citeCnt=0&amp;searchTerm=" TargetMode="External"/><Relationship Id="rId652" Type="http://schemas.openxmlformats.org/officeDocument/2006/relationships/hyperlink" Target="https://www.sciencedirect.com/science/article/pii/S1877050922000552" TargetMode="External"/><Relationship Id="rId291" Type="http://schemas.openxmlformats.org/officeDocument/2006/relationships/hyperlink" Target="https://link.springer.com/chapter/10.1007/978-3-031-14748-7_1" TargetMode="External"/><Relationship Id="rId305" Type="http://schemas.openxmlformats.org/officeDocument/2006/relationships/hyperlink" Target="https://www.sciencedirect.com/science/article/pii/S2214157X22009017?via%3Dihub" TargetMode="External"/><Relationship Id="rId512" Type="http://schemas.openxmlformats.org/officeDocument/2006/relationships/hyperlink" Target="https://www.webofscience.com/wos/woscc/full-record/WOS:000853146600039" TargetMode="External"/><Relationship Id="rId957" Type="http://schemas.openxmlformats.org/officeDocument/2006/relationships/hyperlink" Target="https://www.webofscience.com/wos/woscc/full-record/WOS:000596303100001" TargetMode="External"/><Relationship Id="rId86" Type="http://schemas.openxmlformats.org/officeDocument/2006/relationships/hyperlink" Target="https://www.sciencedirect.com/science/article/pii/S0301479722018503?via%3Dihub" TargetMode="External"/><Relationship Id="rId151" Type="http://schemas.openxmlformats.org/officeDocument/2006/relationships/hyperlink" Target="https://www.sciencedirect.com/science/article/pii/S0301479722002614?via%3Dihub" TargetMode="External"/><Relationship Id="rId389" Type="http://schemas.openxmlformats.org/officeDocument/2006/relationships/hyperlink" Target="https://www.researchgate.net/profile/Muhannad-Al-Waily/publication/365819324_Analytical_evaluation_of_the_influence_of_adding_rubber_layers_on_free_vibration_of_sandwich_structure_with_presence_of_nano-reinforced_composite_skins/links/6388c600ca2e4b239c7a9281/Analytical-evaluation-of-the-influence-of-adding-rubber-layers-on-free-vibration-of-sandwich-structure-with-presence-of-nano-reinforced-composite-skins.pdf" TargetMode="External"/><Relationship Id="rId596" Type="http://schemas.openxmlformats.org/officeDocument/2006/relationships/hyperlink" Target="https://www.informatica.si/index.php/informatica/article/view/3839" TargetMode="External"/><Relationship Id="rId817" Type="http://schemas.openxmlformats.org/officeDocument/2006/relationships/hyperlink" Target="https://link.springer.com/article/10.1007/s12289-022-01663-x" TargetMode="External"/><Relationship Id="rId249" Type="http://schemas.openxmlformats.org/officeDocument/2006/relationships/hyperlink" Target="https://www.mdpi.com/2227-9717/10/4/787/htm" TargetMode="External"/><Relationship Id="rId456" Type="http://schemas.openxmlformats.org/officeDocument/2006/relationships/hyperlink" Target="https://doi.org/10.3390/nano12173040%C2%A0" TargetMode="External"/><Relationship Id="rId663" Type="http://schemas.openxmlformats.org/officeDocument/2006/relationships/hyperlink" Target="https://www.mdpi.com/2071-1050/14/23/15587" TargetMode="External"/><Relationship Id="rId870" Type="http://schemas.openxmlformats.org/officeDocument/2006/relationships/hyperlink" Target="https://www.mdpi.com/2075-4442/10/9/210" TargetMode="External"/><Relationship Id="rId13" Type="http://schemas.openxmlformats.org/officeDocument/2006/relationships/hyperlink" Target="https://www.eeer.org/journal/view.php?doi=10.4491/eer.2021.452" TargetMode="External"/><Relationship Id="rId109" Type="http://schemas.openxmlformats.org/officeDocument/2006/relationships/hyperlink" Target="https://www.webofscience.com/wos/woscc/full-record/WOS:000838236300009" TargetMode="External"/><Relationship Id="rId316" Type="http://schemas.openxmlformats.org/officeDocument/2006/relationships/hyperlink" Target="https://scirp.org/journal/paperinformation.aspx?paperid=120961" TargetMode="External"/><Relationship Id="rId523" Type="http://schemas.openxmlformats.org/officeDocument/2006/relationships/hyperlink" Target="https://scholar.valpo.edu/jmms/vol9/iss1/15/" TargetMode="External"/><Relationship Id="rId97" Type="http://schemas.openxmlformats.org/officeDocument/2006/relationships/hyperlink" Target="https://jukuri.luke.fi/bitstream/handle/10024/551495/Peura_et_al_2022.pdf;jsessionid=8DE6E6A973BF79A1AE1515F1710BED21?sequence=1" TargetMode="External"/><Relationship Id="rId730" Type="http://schemas.openxmlformats.org/officeDocument/2006/relationships/hyperlink" Target="https://www.taylorfrancis.com/chapters/edit/10.1201/9781003226703-14/review-formability-tailored-sheets-incremental-forming-kuntal-maji-gautam-kumar" TargetMode="External"/><Relationship Id="rId828" Type="http://schemas.openxmlformats.org/officeDocument/2006/relationships/hyperlink" Target="https://www.mdpi.com/1996-1944/15/17/5985" TargetMode="External"/><Relationship Id="rId162" Type="http://schemas.openxmlformats.org/officeDocument/2006/relationships/hyperlink" Target="https://www.mdpi.com/2071-1050/14/17/11111" TargetMode="External"/><Relationship Id="rId467" Type="http://schemas.openxmlformats.org/officeDocument/2006/relationships/hyperlink" Target="https://doi.org/10.3390/su14148272%C2%A0" TargetMode="External"/><Relationship Id="rId674" Type="http://schemas.openxmlformats.org/officeDocument/2006/relationships/hyperlink" Target="https://www.webofscience.com/wos/woscc/full-record/WOS:000839704000001" TargetMode="External"/><Relationship Id="rId881" Type="http://schemas.openxmlformats.org/officeDocument/2006/relationships/hyperlink" Target="https://www.ije.ir/article_148404.html" TargetMode="External"/><Relationship Id="rId24" Type="http://schemas.openxmlformats.org/officeDocument/2006/relationships/hyperlink" Target="https://pubs.acs.org/doi/10.1021/acsomega.2c02952" TargetMode="External"/><Relationship Id="rId327" Type="http://schemas.openxmlformats.org/officeDocument/2006/relationships/hyperlink" Target="https://link.springer.com/chapter/10.1007/978-3-031-11139-6_12" TargetMode="External"/><Relationship Id="rId534" Type="http://schemas.openxmlformats.org/officeDocument/2006/relationships/hyperlink" Target="https://koreascience.kr/article/JAKO202230641597913.page" TargetMode="External"/><Relationship Id="rId741" Type="http://schemas.openxmlformats.org/officeDocument/2006/relationships/hyperlink" Target="https://www.webofscience.com/wos/woscc/full-record/WOS:000596303100001" TargetMode="External"/><Relationship Id="rId839" Type="http://schemas.openxmlformats.org/officeDocument/2006/relationships/hyperlink" Target="https://www.scopus.com/results/results.uri?sort=plf-f&amp;src=s&amp;st1=State-of-art+of+Flexible+Forming+Technology+Based+on+Three-dimensional+Trajectory+Control&amp;sid=6990f363e2441eae3992a1271519d40d&amp;sot=b&amp;sdt=b&amp;sl=104&amp;s=TITLE-ABS-KEY%28State-of-art+of+Flexible+Forming+Technology+Based+on+Three-dimensional+Trajectory+Control%29&amp;origin=searchbasic&amp;editSaveSearch=&amp;yearFrom=Before+1960&amp;yearTo=Present" TargetMode="External"/><Relationship Id="rId173" Type="http://schemas.openxmlformats.org/officeDocument/2006/relationships/hyperlink" Target="https://www.sciencedirect.com/science/article/abs/pii/S0160791X22000094?via%3Dihub" TargetMode="External"/><Relationship Id="rId380" Type="http://schemas.openxmlformats.org/officeDocument/2006/relationships/hyperlink" Target="https://journalmt.com/pdfs/mft/2022/05/11.pdf" TargetMode="External"/><Relationship Id="rId601" Type="http://schemas.openxmlformats.org/officeDocument/2006/relationships/hyperlink" Target="https://link.springer.com/article/10.1007/s00500-021-06599-z" TargetMode="External"/><Relationship Id="rId240" Type="http://schemas.openxmlformats.org/officeDocument/2006/relationships/hyperlink" Target="https://www.sciencedirect.com/science/article/pii/S2213138822001369?via%3Dihub" TargetMode="External"/><Relationship Id="rId478" Type="http://schemas.openxmlformats.org/officeDocument/2006/relationships/hyperlink" Target="https://doi.org/10.1016/j.jddst.2021.102977%C2%A0" TargetMode="External"/><Relationship Id="rId685" Type="http://schemas.openxmlformats.org/officeDocument/2006/relationships/hyperlink" Target="https://www.mdpi.com/2076-3417/12/3/985" TargetMode="External"/><Relationship Id="rId892" Type="http://schemas.openxmlformats.org/officeDocument/2006/relationships/hyperlink" Target="https://journals.pan.pl/dlibra/show-content?id=125086" TargetMode="External"/><Relationship Id="rId906" Type="http://schemas.openxmlformats.org/officeDocument/2006/relationships/hyperlink" Target="https://www.mdpi.com/2076-3417/12/13/6636" TargetMode="External"/><Relationship Id="rId35" Type="http://schemas.openxmlformats.org/officeDocument/2006/relationships/hyperlink" Target="https://www.astm.org/jte20210077.html" TargetMode="External"/><Relationship Id="rId100" Type="http://schemas.openxmlformats.org/officeDocument/2006/relationships/hyperlink" Target="https://www.sciencedirect.com/science/article/pii/S2665972721000684?via%3Dihub" TargetMode="External"/><Relationship Id="rId338" Type="http://schemas.openxmlformats.org/officeDocument/2006/relationships/hyperlink" Target="https://1510q6ck8-y-https-www-webofscience-com.z.e-nformation.ro/wos/woscc/full-record/WOS:000749905300001" TargetMode="External"/><Relationship Id="rId545" Type="http://schemas.openxmlformats.org/officeDocument/2006/relationships/hyperlink" Target="https://www.sciencedirect.com/science/article/pii/S0166361522000240" TargetMode="External"/><Relationship Id="rId752" Type="http://schemas.openxmlformats.org/officeDocument/2006/relationships/hyperlink" Target="https://www.scopus.com/record/display.uri?eid=2-s2.0-85137872636&amp;origin=resultslist&amp;sort=plf-f&amp;cite=2-s2.0-84891707567&amp;src=s&amp;imp=t&amp;sid=8dfaef38d2b3d0daeef51206117d184b&amp;sot=cite&amp;sdt=a&amp;sl=0&amp;relpos=9&amp;citeCnt=0&amp;searchTerm=" TargetMode="External"/><Relationship Id="rId184" Type="http://schemas.openxmlformats.org/officeDocument/2006/relationships/hyperlink" Target="https://www.scopus.com/record/display.uri?eid=2-s2.0-85121535401&amp;origin=resultslist&amp;sort=plf-f&amp;src=s&amp;citedAuthorId=55888486300&amp;imp=t&amp;sid=db3d9443c69df32184b1a83c108c44de&amp;sot=cite&amp;sdt=cite&amp;cluster=scopubyr%2c%222022%22%2ct&amp;sl=0&amp;relpos=5&amp;citeCnt=22&amp;searchTerm=" TargetMode="External"/><Relationship Id="rId391" Type="http://schemas.openxmlformats.org/officeDocument/2006/relationships/hyperlink" Target="https://www.mdpi.com/1648-9144/58/2/237" TargetMode="External"/><Relationship Id="rId405" Type="http://schemas.openxmlformats.org/officeDocument/2006/relationships/hyperlink" Target="https://link.springer.com/chapter/10.1007/978-981-16-9455-4_10" TargetMode="External"/><Relationship Id="rId612" Type="http://schemas.openxmlformats.org/officeDocument/2006/relationships/hyperlink" Target="https://onlinelibrary.wiley.com/doi/abs/10.1002/er.7649" TargetMode="External"/><Relationship Id="rId251" Type="http://schemas.openxmlformats.org/officeDocument/2006/relationships/hyperlink" Target="https://www.emerald.com/insight/content/doi/10.1108/JM2-12-2020-0322/full/html" TargetMode="External"/><Relationship Id="rId489" Type="http://schemas.openxmlformats.org/officeDocument/2006/relationships/hyperlink" Target="https://doi.org/10.3390/cryst12030343%C2%A0" TargetMode="External"/><Relationship Id="rId696" Type="http://schemas.openxmlformats.org/officeDocument/2006/relationships/hyperlink" Target="https://ieeexplore.ieee.org/abstract/document/10082394/authors%20,%20Scopus%20-%20Document%20details%20-%20A%20Novel%20Single-Phase-to-Ground%20Fault%20Location%20Method%20Based%20on%20Phase%20Current%20Differences%20in%20Power%20Distribution%20Systems%20%7C%20Signed%20in" TargetMode="External"/><Relationship Id="rId917" Type="http://schemas.openxmlformats.org/officeDocument/2006/relationships/hyperlink" Target="https://www.taylorfrancis.com/chapters/edit/10.1201/9781003154518-10/numerical-experimental-investigation-thinning-single-point-incremental-sheet-forming-sahil-bendure-rahul-jagtap-malaykumar-patel" TargetMode="External"/><Relationship Id="rId46" Type="http://schemas.openxmlformats.org/officeDocument/2006/relationships/hyperlink" Target="https://www.sciencedirect.com/science/article/abs/pii/S0959652622040185?via%3Dihub" TargetMode="External"/><Relationship Id="rId349" Type="http://schemas.openxmlformats.org/officeDocument/2006/relationships/hyperlink" Target="https://1510q6cj3-y-https-www-webofscience-com.z.e-nformation.ro/wos/woscc/summary/0d60ebf2-fe31-406b-b3d9-6f5af8ad77d4-92a5a519/date-descending/1" TargetMode="External"/><Relationship Id="rId556" Type="http://schemas.openxmlformats.org/officeDocument/2006/relationships/hyperlink" Target="https://www.mdpi.com/2624-6511/5/4/71" TargetMode="External"/><Relationship Id="rId763" Type="http://schemas.openxmlformats.org/officeDocument/2006/relationships/hyperlink" Target="https://www.scopus.com/record/display.uri?eid=2-s2.0-85137598351&amp;origin=resultslist&amp;sort=plf-f&amp;cite=2-s2.0-85047917917&amp;src=s&amp;imp=t&amp;sid=b7928cb135977b12220260d9f97b80c5&amp;sot=cite&amp;sdt=a&amp;sl=0&amp;relpos=0&amp;citeCnt=0&amp;searchTerm=" TargetMode="External"/><Relationship Id="rId111" Type="http://schemas.openxmlformats.org/officeDocument/2006/relationships/hyperlink" Target="https://www.emerald.com/insight/content/doi/10.1108/QAE-04-2022-0097/full/html" TargetMode="External"/><Relationship Id="rId195" Type="http://schemas.openxmlformats.org/officeDocument/2006/relationships/hyperlink" Target="https://www.scopus.com/record/display.uri?eid=2-s2.0-85133541408&amp;origin=resultslist&amp;sort=plf-f&amp;src=s&amp;citedAuthorId=55888486300&amp;imp=t&amp;sid=804476badfb7da90dd30183397cd72d9&amp;sot=cite&amp;sdt=cite&amp;cluster=scopubyr%2c%222022%22%2ct&amp;sl=0&amp;relpos=13&amp;citeCnt=0&amp;searchTerm=" TargetMode="External"/><Relationship Id="rId209" Type="http://schemas.openxmlformats.org/officeDocument/2006/relationships/hyperlink" Target="https://1510a0det-y-https-www-sciencedirect-com.z.e-nformation.ro/science/article/abs/pii/S0301679X22001190?via%3Dihub" TargetMode="External"/><Relationship Id="rId416" Type="http://schemas.openxmlformats.org/officeDocument/2006/relationships/hyperlink" Target="https://www.informatica.si/index.php/informatica/article/view/3839" TargetMode="External"/><Relationship Id="rId623" Type="http://schemas.openxmlformats.org/officeDocument/2006/relationships/hyperlink" Target="https://www.scopus.com/record/display.uri?eid=2-s2.0-84985006654&amp;origin=reflist" TargetMode="External"/><Relationship Id="rId830" Type="http://schemas.openxmlformats.org/officeDocument/2006/relationships/hyperlink" Target="https://www.sciencedirect.com/science/article/pii/S1526612522002754?casa_token=9V23fHgUn0UAAAAA:ao9nw0CyZLeTAtgZF25_EluHFc9BII7tiPeXSkZlxa2XKm9CKM4ZVLomfuLYt5M41DsFXoA" TargetMode="External"/><Relationship Id="rId928" Type="http://schemas.openxmlformats.org/officeDocument/2006/relationships/hyperlink" Target="https://www.mdpi.com/1996-1944/15/12/4278" TargetMode="External"/><Relationship Id="rId57" Type="http://schemas.openxmlformats.org/officeDocument/2006/relationships/hyperlink" Target="https://www.tandfonline.com/doi/abs/10.1080/13549839.2022.2084721?journalCode=cloe20" TargetMode="External"/><Relationship Id="rId262" Type="http://schemas.openxmlformats.org/officeDocument/2006/relationships/hyperlink" Target="https://link.springer.com/article/10.1007/s10479-022-04775-4" TargetMode="External"/><Relationship Id="rId567" Type="http://schemas.openxmlformats.org/officeDocument/2006/relationships/hyperlink" Target="https://link.springer.com/chapter/10.1007/978-3-031-06794-5_54" TargetMode="External"/><Relationship Id="rId122" Type="http://schemas.openxmlformats.org/officeDocument/2006/relationships/hyperlink" Target="https://revistaseug.ugr.es/index.php/cuadgeo/article/view/18025" TargetMode="External"/><Relationship Id="rId774" Type="http://schemas.openxmlformats.org/officeDocument/2006/relationships/hyperlink" Target="https://www.mdpi.com/2227-9717/10/2/303" TargetMode="External"/><Relationship Id="rId427" Type="http://schemas.openxmlformats.org/officeDocument/2006/relationships/hyperlink" Target="https://1510q2wtr-y-https-www-webofscience-com.z.e-nformation.ro/wos/woscc/full-record/WOS:000833048200001" TargetMode="External"/><Relationship Id="rId634" Type="http://schemas.openxmlformats.org/officeDocument/2006/relationships/hyperlink" Target="https://link.springer.com/article/10.1007/s12008-022-01031-8" TargetMode="External"/><Relationship Id="rId841" Type="http://schemas.openxmlformats.org/officeDocument/2006/relationships/hyperlink" Target="https://www.sciencedirect.com/science/article/pii/S221478532207078X?casa_token=S9I8SLEDr5gAAAAA:t7ja6pzOtXBy2BZOS41GbXoX2PXNXayIZ8InyhOpfV6ePs9O74X6xwzqXXfJdebzbM67KTk" TargetMode="External"/><Relationship Id="rId273" Type="http://schemas.openxmlformats.org/officeDocument/2006/relationships/hyperlink" Target="https://www.mdpi.com/2073-4360/14/15/3035" TargetMode="External"/><Relationship Id="rId480" Type="http://schemas.openxmlformats.org/officeDocument/2006/relationships/hyperlink" Target="https://doi.org/10.1007/s42247-022-00418-3%C2%A0" TargetMode="External"/><Relationship Id="rId701" Type="http://schemas.openxmlformats.org/officeDocument/2006/relationships/hyperlink" Target="https://www.scopus.com/record/display.uri?eid=2-s2.0-85126595990&amp;origin=resultslist&amp;sort=plf-f&amp;src=s&amp;citedAuthorId=23391009700&amp;imp=t&amp;sid=24e52b5636d47e0a205046054798c4fc&amp;sot=cite&amp;sdt=cite&amp;cluster=scopubyr%2c%222022%22%2ct&amp;sl=0&amp;relpos=5&amp;citeCnt=1&amp;searchTerm=" TargetMode="External"/><Relationship Id="rId939" Type="http://schemas.openxmlformats.org/officeDocument/2006/relationships/hyperlink" Target="https://www.sae.org/publications/technical-papers/content/02-16-01-0006/" TargetMode="External"/><Relationship Id="rId68" Type="http://schemas.openxmlformats.org/officeDocument/2006/relationships/hyperlink" Target="https://www.tandfonline.com/doi/abs/10.1080/13549839.2022.2048258?journalCode=cloe20" TargetMode="External"/><Relationship Id="rId133" Type="http://schemas.openxmlformats.org/officeDocument/2006/relationships/hyperlink" Target="https://www.mdpi.com/2071-1050/14/7/4000" TargetMode="External"/><Relationship Id="rId340" Type="http://schemas.openxmlformats.org/officeDocument/2006/relationships/hyperlink" Target="https://1510q2wtr-y-https-www-webofscience-com.z.e-nformation.ro/wos/woscc/full-record/WOS:000771018900001" TargetMode="External"/><Relationship Id="rId578" Type="http://schemas.openxmlformats.org/officeDocument/2006/relationships/hyperlink" Target="https://www.mdpi.com/2624-6511/5/4/71/pdf" TargetMode="External"/><Relationship Id="rId785" Type="http://schemas.openxmlformats.org/officeDocument/2006/relationships/hyperlink" Target="https://www.journalppw.com/index.php/jpsp/article/view/10300/6673" TargetMode="External"/><Relationship Id="rId200" Type="http://schemas.openxmlformats.org/officeDocument/2006/relationships/hyperlink" Target="https://asmedigitalcollection.asme.org/manufacturingscience/article-abstract/144/11/110802/1141317/A-Comprehensive-Review-on-Experimental-Conditions" TargetMode="External"/><Relationship Id="rId438" Type="http://schemas.openxmlformats.org/officeDocument/2006/relationships/hyperlink" Target="https://www.mdpi.com/2076-3417/12/4/2250" TargetMode="External"/><Relationship Id="rId645" Type="http://schemas.openxmlformats.org/officeDocument/2006/relationships/hyperlink" Target="https://ieeexplore.ieee.org/document/9697415" TargetMode="External"/><Relationship Id="rId852" Type="http://schemas.openxmlformats.org/officeDocument/2006/relationships/hyperlink" Target="https://www.mdpi.com/1996-1944/15/12/4278" TargetMode="External"/><Relationship Id="rId284" Type="http://schemas.openxmlformats.org/officeDocument/2006/relationships/hyperlink" Target="about:blank" TargetMode="External"/><Relationship Id="rId491" Type="http://schemas.openxmlformats.org/officeDocument/2006/relationships/hyperlink" Target="https://doi.org/10.1016/j.matpr.2022.07.296%C2%A0" TargetMode="External"/><Relationship Id="rId505" Type="http://schemas.openxmlformats.org/officeDocument/2006/relationships/hyperlink" Target="https://www.scopus.com/record/display.uri?eid=2-s2.0-85140385840&amp;origin=SingleRecordEmailAlert&amp;dgcid=raven_sc_authcite_en_us_email&amp;txGid=090f3ba41e6c0712ec7521deb0a4240f" TargetMode="External"/><Relationship Id="rId712" Type="http://schemas.openxmlformats.org/officeDocument/2006/relationships/hyperlink" Target="https://www.webofscience.com/wos/woscc/full-record/WOS:000885139000052" TargetMode="External"/><Relationship Id="rId79" Type="http://schemas.openxmlformats.org/officeDocument/2006/relationships/hyperlink" Target="https://www.mdpi.com/2071-1050/14/2/656" TargetMode="External"/><Relationship Id="rId144" Type="http://schemas.openxmlformats.org/officeDocument/2006/relationships/hyperlink" Target="https://www.mdpi.com/2071-1050/14/3/1726" TargetMode="External"/><Relationship Id="rId589" Type="http://schemas.openxmlformats.org/officeDocument/2006/relationships/hyperlink" Target="https://www.mdpi.com/2079-9268/12/2/25" TargetMode="External"/><Relationship Id="rId796" Type="http://schemas.openxmlformats.org/officeDocument/2006/relationships/hyperlink" Target="https://scholar.google.com/citations?view_op=view_citation&amp;hl=en&amp;user=aYMjNncAAAAJ&amp;sortby=pubdate&amp;citation_for_view=aYMjNncAAAAJ:W7OEmFMy1HYC" TargetMode="External"/><Relationship Id="rId351" Type="http://schemas.openxmlformats.org/officeDocument/2006/relationships/hyperlink" Target="https://151096clp-y-https-www-scopus-com.z.e-nformation.ro/results/citedbyresults.uri?sort=plf-f&amp;refeid=2-s2.0-84994417678&amp;src=s&amp;imp=t&amp;sid=7575b2bd6c0446a898eccba5c0c477ad&amp;sot=ctocbw&amp;sdt=a&amp;sl=15&amp;s=PUBYEAR+IS+2022&amp;origin=cto&amp;citeCnt=2_DELIM_2_DELIM_CTODS_1655447282_DELIM_1&amp;txGid=049f9dcddac99d094d51c37adcbc5a32" TargetMode="External"/><Relationship Id="rId449" Type="http://schemas.openxmlformats.org/officeDocument/2006/relationships/hyperlink" Target="https://www.mdpi.com/2076-3417/12/12/6027" TargetMode="External"/><Relationship Id="rId656" Type="http://schemas.openxmlformats.org/officeDocument/2006/relationships/hyperlink" Target="https://www.sciencedirect.com/science/article/pii/S1877050922018877" TargetMode="External"/><Relationship Id="rId863" Type="http://schemas.openxmlformats.org/officeDocument/2006/relationships/hyperlink" Target="https://link.springer.com/article/10.1007/s12289-022-01675-7" TargetMode="External"/><Relationship Id="rId211" Type="http://schemas.openxmlformats.org/officeDocument/2006/relationships/hyperlink" Target="https://www.mdpi.com/1996-1073/15/3/1120" TargetMode="External"/><Relationship Id="rId295" Type="http://schemas.openxmlformats.org/officeDocument/2006/relationships/hyperlink" Target="https://www.sciencedirect.com/science/article/pii/S2213343722015536?casa_token=kxgoW6crXa0AAAAA:wzct_xZVOX7AymGDm9_Jnk0zCPdJb4bsxeNAJy5wVmAh6-_a02eJqbzUG-Iqtg58ABO24U-tTg" TargetMode="External"/><Relationship Id="rId309" Type="http://schemas.openxmlformats.org/officeDocument/2006/relationships/hyperlink" Target="http://doi.org/10.4018/IJWLTT.294572" TargetMode="External"/><Relationship Id="rId516" Type="http://schemas.openxmlformats.org/officeDocument/2006/relationships/hyperlink" Target="https://www.mdpi.com/2227-7390/10/8/1329" TargetMode="External"/><Relationship Id="rId723" Type="http://schemas.openxmlformats.org/officeDocument/2006/relationships/hyperlink" Target="https://www.webofscience.com/wos/woscc/full-record/WOS:000757017000001" TargetMode="External"/><Relationship Id="rId930" Type="http://schemas.openxmlformats.org/officeDocument/2006/relationships/hyperlink" Target="https://link.springer.com/article/10.1007/s13369-022-06570-6" TargetMode="External"/><Relationship Id="rId155" Type="http://schemas.openxmlformats.org/officeDocument/2006/relationships/hyperlink" Target="https://journals.sagepub.com/doi/10.1177/09544062221126357" TargetMode="External"/><Relationship Id="rId362" Type="http://schemas.openxmlformats.org/officeDocument/2006/relationships/hyperlink" Target="https://1510q6cqw-y-https-www-webofscience-com.z.e-nformation.ro/wos/woscc/full-record/WOS:000882909300001" TargetMode="External"/><Relationship Id="rId222" Type="http://schemas.openxmlformats.org/officeDocument/2006/relationships/hyperlink" Target="https://www.sciencedirect.com/science/article/pii/B9780128243442000331?via%3Dihub" TargetMode="External"/><Relationship Id="rId667" Type="http://schemas.openxmlformats.org/officeDocument/2006/relationships/hyperlink" Target="https://link.springer.com/chapter/10.1007/978-3-031-19849-6_15" TargetMode="External"/><Relationship Id="rId874" Type="http://schemas.openxmlformats.org/officeDocument/2006/relationships/hyperlink" Target="https://peer.asee.org/41846.pdf" TargetMode="External"/><Relationship Id="rId17" Type="http://schemas.openxmlformats.org/officeDocument/2006/relationships/hyperlink" Target="https://pubs.acs.org/doi/10.1021/acsomega.2c02813" TargetMode="External"/><Relationship Id="rId527" Type="http://schemas.openxmlformats.org/officeDocument/2006/relationships/hyperlink" Target="https://ieeexplore.ieee.org/ielx7/6287639/9668973/09693973.pdf" TargetMode="External"/><Relationship Id="rId734" Type="http://schemas.openxmlformats.org/officeDocument/2006/relationships/hyperlink" Target="https://www.webofscience.com/wos/woscc/full-record/WOS:000895165300001" TargetMode="External"/><Relationship Id="rId941" Type="http://schemas.openxmlformats.org/officeDocument/2006/relationships/hyperlink" Target="https://www.webofscience.com/wos/woscc/full-record/WOS:000969679100047" TargetMode="External"/><Relationship Id="rId70" Type="http://schemas.openxmlformats.org/officeDocument/2006/relationships/hyperlink" Target="https://ijrowa.isfahan.iau.ir/article_686567.html" TargetMode="External"/><Relationship Id="rId166" Type="http://schemas.openxmlformats.org/officeDocument/2006/relationships/hyperlink" Target="https://www.mdpi.com/2071-1050/14/9/5567" TargetMode="External"/><Relationship Id="rId373"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580" Type="http://schemas.openxmlformats.org/officeDocument/2006/relationships/hyperlink" Target="https://www.hindawi.com/journals/ijp/2022/5442304/" TargetMode="External"/><Relationship Id="rId801" Type="http://schemas.openxmlformats.org/officeDocument/2006/relationships/hyperlink" Target="https://www.scopus.com/record/display.uri?eid=2-s2.0-85127541311&amp;origin=resultslist&amp;sort=plf-f&amp;cite=2-s2.0-85081055133&amp;src=s&amp;imp=t&amp;sid=54ae3b2a0248bdd52d62f9f6f33e339e&amp;sot=cite&amp;sdt=a&amp;sl=0&amp;relpos=1&amp;citeCnt=0&amp;searchTerm=" TargetMode="External"/><Relationship Id="rId1" Type="http://schemas.openxmlformats.org/officeDocument/2006/relationships/hyperlink" Target="https://www.mdpi.com/journal/applsci" TargetMode="External"/><Relationship Id="rId233" Type="http://schemas.openxmlformats.org/officeDocument/2006/relationships/hyperlink" Target="https://link.springer.com/article/10.1007%2Fs00170-022-08753-9" TargetMode="External"/><Relationship Id="rId440" Type="http://schemas.openxmlformats.org/officeDocument/2006/relationships/hyperlink" Target="https://www.mdpi.com/2072-666X/13/11/2009" TargetMode="External"/><Relationship Id="rId678" Type="http://schemas.openxmlformats.org/officeDocument/2006/relationships/hyperlink" Target="https://www.webofscience.com/wos/woscc/full-record/WOS:000635874100001" TargetMode="External"/><Relationship Id="rId885" Type="http://schemas.openxmlformats.org/officeDocument/2006/relationships/hyperlink" Target="https://www.sciencedirect.com/science/article/pii/S2214785322074867?casa_token=oNY19CgVmwUAAAAA:nCaWsAW9GyKdTcMccodE4rjoSNsCjkUJJklOrHMuVDO2NA4H0zXzYVrCQDYvjMk_3sZXX-o" TargetMode="External"/><Relationship Id="rId28" Type="http://schemas.openxmlformats.org/officeDocument/2006/relationships/hyperlink" Target="https://www.sciencedirect.com/science/article/pii/S2214785322018053?via%3Dihub" TargetMode="External"/><Relationship Id="rId300" Type="http://schemas.openxmlformats.org/officeDocument/2006/relationships/hyperlink" Target="https://journals.sagepub.com/doi/10.1177/09722629221135241" TargetMode="External"/><Relationship Id="rId538" Type="http://schemas.openxmlformats.org/officeDocument/2006/relationships/hyperlink" Target="https://www.sciencedirect.com/science/article/pii/S2405896322020018" TargetMode="External"/><Relationship Id="rId745" Type="http://schemas.openxmlformats.org/officeDocument/2006/relationships/hyperlink" Target="https://www.webofscience.com/wos/woscc/full-record/WOS:000894459000005" TargetMode="External"/><Relationship Id="rId952" Type="http://schemas.openxmlformats.org/officeDocument/2006/relationships/hyperlink" Target="https://www.webofscience.com/wos/woscc/full-record/WOS:000723008400001" TargetMode="External"/><Relationship Id="rId81" Type="http://schemas.openxmlformats.org/officeDocument/2006/relationships/hyperlink" Target="https://www.mdpi.com/2071-1050/14/19/12554" TargetMode="External"/><Relationship Id="rId177" Type="http://schemas.openxmlformats.org/officeDocument/2006/relationships/hyperlink" Target="https://link.springer.com/article/10.1007/s10098-021-02269-8" TargetMode="External"/><Relationship Id="rId384" Type="http://schemas.openxmlformats.org/officeDocument/2006/relationships/hyperlink" Target="https://doi.org/10.1016/j.jmapro.2022.05.011" TargetMode="External"/><Relationship Id="rId591" Type="http://schemas.openxmlformats.org/officeDocument/2006/relationships/hyperlink" Target="https://www.mdpi.com/2227-7390/10/8/1329" TargetMode="External"/><Relationship Id="rId605" Type="http://schemas.openxmlformats.org/officeDocument/2006/relationships/hyperlink" Target="https://link.springer.com/chapter/10.1007/978-3-031-07670-1_6" TargetMode="External"/><Relationship Id="rId812" Type="http://schemas.openxmlformats.org/officeDocument/2006/relationships/hyperlink" Target="https://link.springer.com/article/10.1007/s00170-022-09217-w" TargetMode="External"/><Relationship Id="rId244" Type="http://schemas.openxmlformats.org/officeDocument/2006/relationships/hyperlink" Target="https://www.sciencedirect.com/science/article/pii/S2214785322015620" TargetMode="External"/><Relationship Id="rId689" Type="http://schemas.openxmlformats.org/officeDocument/2006/relationships/hyperlink" Target="http://www.inderscience.com/storage/f114312610975812.pdf" TargetMode="External"/><Relationship Id="rId896" Type="http://schemas.openxmlformats.org/officeDocument/2006/relationships/hyperlink" Target="https://onlinelibrary.wiley.com/doi/abs/10.1002/mawe.202000257" TargetMode="External"/><Relationship Id="rId39" Type="http://schemas.openxmlformats.org/officeDocument/2006/relationships/hyperlink" Target="https://www.sciencedirect.com/science/article/abs/pii/S0016236122000102?via%3Dihub" TargetMode="External"/><Relationship Id="rId451" Type="http://schemas.openxmlformats.org/officeDocument/2006/relationships/hyperlink" Target="https://doi.org/10.1016/j.jddst.2022.103651" TargetMode="External"/><Relationship Id="rId549" Type="http://schemas.openxmlformats.org/officeDocument/2006/relationships/hyperlink" Target="https://www.mdpi.com/1424-8220/22/23/9502" TargetMode="External"/><Relationship Id="rId756" Type="http://schemas.openxmlformats.org/officeDocument/2006/relationships/hyperlink" Target="https://www.webofscience.com/wos/woscc/full-record/WOS:000738346200001" TargetMode="External"/><Relationship Id="rId50" Type="http://schemas.openxmlformats.org/officeDocument/2006/relationships/hyperlink" Target="https://www.sciencedirect.com/science/article/pii/S0301479722011525?via%3Dihub" TargetMode="External"/><Relationship Id="rId104" Type="http://schemas.openxmlformats.org/officeDocument/2006/relationships/hyperlink" Target="https://ebiltegia.mondragon.edu/xmlui/bitstream/handle/20.500.11984/5852/DevelopmentAndValidationOfAToolForTheIntegrationOf.pdf;jsessionid=52F577EC351A508A74F40719992DCE99?sequence=1" TargetMode="External"/><Relationship Id="rId146" Type="http://schemas.openxmlformats.org/officeDocument/2006/relationships/hyperlink" Target="https://www.mdpi.com/2071-1050/14/13/8024" TargetMode="External"/><Relationship Id="rId188" Type="http://schemas.openxmlformats.org/officeDocument/2006/relationships/hyperlink" Target="https://www.scopus.com/record/display.uri?eid=2-s2.0-85150445858&amp;origin=resultslist&amp;sort=plf-f&amp;src=s&amp;citedAuthorId=55888486300&amp;imp=t&amp;sid=804476badfb7da90dd30183397cd72d9&amp;sot=cite&amp;sdt=cite&amp;cluster=scopubyr%2c%222022%22%2ct&amp;sl=0&amp;relpos=9&amp;citeCnt=0&amp;searchTerm=" TargetMode="External"/><Relationship Id="rId311" Type="http://schemas.openxmlformats.org/officeDocument/2006/relationships/hyperlink" Target="https://dergipark.org.tr/en/pub/nevsosbilen/issue/72869/1151664" TargetMode="External"/><Relationship Id="rId353" Type="http://schemas.openxmlformats.org/officeDocument/2006/relationships/hyperlink" Target="https://1510q6cj3-y-https-www-webofscience-com.z.e-nformation.ro/wos/woscc/summary/cffc65d2-5ced-41c8-9bb8-421d1411cf8e-92a6dd37/date-descending/1" TargetMode="External"/><Relationship Id="rId395" Type="http://schemas.openxmlformats.org/officeDocument/2006/relationships/hyperlink" Target="https://www.scopus.com/record/display.uri?eid=2-s2.0-85144540765&amp;origin=resultslist&amp;sort=plf-f&amp;src=s&amp;citedAuthorId=55572604000&amp;imp=t&amp;sid=9a4987f3b1ca72d6a356729701704127&amp;sot=cite&amp;sdt=cite&amp;cluster=scopubyr%2c%222022%22%2ct&amp;sl=0&amp;relpos=0&amp;citeCnt=0&amp;searchTerm=" TargetMode="External"/><Relationship Id="rId409" Type="http://schemas.openxmlformats.org/officeDocument/2006/relationships/hyperlink" Target="https://services.kfu.edu.sa/ScientificJournal/en/Home/ContentsDetails/25697" TargetMode="External"/><Relationship Id="rId560" Type="http://schemas.openxmlformats.org/officeDocument/2006/relationships/hyperlink" Target="https://www.sciencedirect.com/science/article/pii/S0960148122001902" TargetMode="External"/><Relationship Id="rId798" Type="http://schemas.openxmlformats.org/officeDocument/2006/relationships/hyperlink" Target="https://www.scopus.com/record/display.uri?eid=2-s2.0-85127569219&amp;origin=resultslist&amp;sort=plf-f&amp;cite=2-s2.0-85051457933&amp;src=s&amp;imp=t&amp;sid=7436e535464cc4717180d07461997527&amp;sot=cite&amp;sdt=a&amp;sl=0&amp;relpos=0&amp;citeCnt=0&amp;searchTerm=" TargetMode="External"/><Relationship Id="rId963" Type="http://schemas.openxmlformats.org/officeDocument/2006/relationships/hyperlink" Target="https://www.frontiersin.org/articles/10.3389/fphy.2022.988275/full" TargetMode="External"/><Relationship Id="rId92" Type="http://schemas.openxmlformats.org/officeDocument/2006/relationships/hyperlink" Target="https://www.mdpi.com/2071-1050/14/9/5689" TargetMode="External"/><Relationship Id="rId213" Type="http://schemas.openxmlformats.org/officeDocument/2006/relationships/hyperlink" Target="https://1510q6ck8-y-https-www-webofscience-com.z.e-nformation.ro/wos/woscc/full-record/WOS:000833526800004" TargetMode="External"/><Relationship Id="rId420" Type="http://schemas.openxmlformats.org/officeDocument/2006/relationships/hyperlink" Target="https://www.sciencedirect.com/science/article/pii/S0957417422024757" TargetMode="External"/><Relationship Id="rId616" Type="http://schemas.openxmlformats.org/officeDocument/2006/relationships/hyperlink" Target="https://www.webofscience.com/wos/woscc/full-record/WOS:000787503000001" TargetMode="External"/><Relationship Id="rId658" Type="http://schemas.openxmlformats.org/officeDocument/2006/relationships/hyperlink" Target="https://www.tandfonline.com/doi/abs/10.1080/00207543.2021.2010826?journalCode=tprs20" TargetMode="External"/><Relationship Id="rId823" Type="http://schemas.openxmlformats.org/officeDocument/2006/relationships/hyperlink" Target="https://www.mdpi.com/2075-4701/12/2/252" TargetMode="External"/><Relationship Id="rId865" Type="http://schemas.openxmlformats.org/officeDocument/2006/relationships/hyperlink" Target="https://www.mdpi.com/2075-4701/12/11/1944" TargetMode="External"/><Relationship Id="rId255" Type="http://schemas.openxmlformats.org/officeDocument/2006/relationships/hyperlink" Target="https://www.sciencedirect.com/science/article/pii/S0360835222002765?via%3Dihub" TargetMode="External"/><Relationship Id="rId297" Type="http://schemas.openxmlformats.org/officeDocument/2006/relationships/hyperlink" Target="https://www.mdpi.com/1996-1944/15/23/8592" TargetMode="External"/><Relationship Id="rId462" Type="http://schemas.openxmlformats.org/officeDocument/2006/relationships/hyperlink" Target="https://doi.org/10.21608/ejchem.2021.103421.4783" TargetMode="External"/><Relationship Id="rId518" Type="http://schemas.openxmlformats.org/officeDocument/2006/relationships/hyperlink" Target="https://www.sciencedirect.com/science/article/pii/S2210670722003018" TargetMode="External"/><Relationship Id="rId725" Type="http://schemas.openxmlformats.org/officeDocument/2006/relationships/hyperlink" Target="https://www.scopus.com/record/display.uri?eid=2-s2.0-85145349559&amp;origin=resultslist&amp;sort=plf-f&amp;src=s&amp;st1=Binman%3a+An+Autonomous+Beach+Cleaning+Robot&amp;sid=bc4c9bcd6cb92e3f5d887bfa514a0ed5&amp;sot=b&amp;sdt=b&amp;sl=57&amp;s=TITLE-ABS-KEY%28Binman%3a+An+Autonomous+Beach+Cleaning+Robot%29&amp;relpos=0&amp;citeCnt=0&amp;searchTerm=" TargetMode="External"/><Relationship Id="rId932" Type="http://schemas.openxmlformats.org/officeDocument/2006/relationships/hyperlink" Target="https://www.mdpi.com/2075-4701/12/11/1944" TargetMode="External"/><Relationship Id="rId115" Type="http://schemas.openxmlformats.org/officeDocument/2006/relationships/hyperlink" Target="https://jukuri.luke.fi/bitstream/handle/10024/551495/Peura_et_al_2022.pdf;jsessionid=8DE6E6A973BF79A1AE1515F1710BED21?sequence=1" TargetMode="External"/><Relationship Id="rId157" Type="http://schemas.openxmlformats.org/officeDocument/2006/relationships/hyperlink" Target="https://www.ncbi.nlm.nih.gov/pmc/articles/PMC9229928/" TargetMode="External"/><Relationship Id="rId322" Type="http://schemas.openxmlformats.org/officeDocument/2006/relationships/hyperlink" Target="https://link.springer.com/chapter/10.1007/978-3-031-07333-5_7" TargetMode="External"/><Relationship Id="rId364" Type="http://schemas.openxmlformats.org/officeDocument/2006/relationships/hyperlink" Target="https://1510q6d2m-y-https-www-webofscience-com.z.e-nformation.ro/wos/woscc/summary/e2dd1c3d-eb4d-4093-bbfa-f21c59d4bb80-92c29707/relevance/1" TargetMode="External"/><Relationship Id="rId767" Type="http://schemas.openxmlformats.org/officeDocument/2006/relationships/hyperlink" Target="https://www.scopus.com/record/display.uri?eid=2-s2.0-85129188560&amp;origin=resultslist&amp;sort=plf-f&amp;cite=2-s2.0-85129186345&amp;src=s&amp;imp=t&amp;sid=d8d4bf25655da7775027611c010ff2a3&amp;sot=cite&amp;sdt=a&amp;sl=0&amp;relpos=0&amp;citeCnt=0&amp;searchTerm=" TargetMode="External"/><Relationship Id="rId61" Type="http://schemas.openxmlformats.org/officeDocument/2006/relationships/hyperlink" Target="https://pure.tue.nl/ws/files/237002654/1_s2.0_S0959652622013877_main.pdf" TargetMode="External"/><Relationship Id="rId199" Type="http://schemas.openxmlformats.org/officeDocument/2006/relationships/hyperlink" Target="https://www.mdpi.com/2075-4701/12/11/1944" TargetMode="External"/><Relationship Id="rId571" Type="http://schemas.openxmlformats.org/officeDocument/2006/relationships/hyperlink" Target="https://link.springer.com/chapter/10.1007/978-3-030-99235-4_4" TargetMode="External"/><Relationship Id="rId627" Type="http://schemas.openxmlformats.org/officeDocument/2006/relationships/hyperlink" Target="https://www.tandfonline.com/doi/full/10.1080/23311916.2022.2085002" TargetMode="External"/><Relationship Id="rId669" Type="http://schemas.openxmlformats.org/officeDocument/2006/relationships/hyperlink" Target="https://link.springer.com/chapter/10.1007/978-3-030-99235-4_4" TargetMode="External"/><Relationship Id="rId834" Type="http://schemas.openxmlformats.org/officeDocument/2006/relationships/hyperlink" Target="https://www.mdpi.com/2075-4701/12/1/113" TargetMode="External"/><Relationship Id="rId876" Type="http://schemas.openxmlformats.org/officeDocument/2006/relationships/hyperlink" Target="http://pubs.iscience.in/journal/index.php/jist/article/view/1467" TargetMode="External"/><Relationship Id="rId19" Type="http://schemas.openxmlformats.org/officeDocument/2006/relationships/hyperlink" Target="https://www.sciencedirect.com/science/article/pii/S0165237022002698?via%3Dihub" TargetMode="External"/><Relationship Id="rId224" Type="http://schemas.openxmlformats.org/officeDocument/2006/relationships/hyperlink" Target="https://www.mdpi.com/2073-4360/14/2/338" TargetMode="External"/><Relationship Id="rId266" Type="http://schemas.openxmlformats.org/officeDocument/2006/relationships/hyperlink" Target="https://www.mdpi.com/2075-4701/12/7/1177" TargetMode="External"/><Relationship Id="rId431" Type="http://schemas.openxmlformats.org/officeDocument/2006/relationships/hyperlink" Target="https://scholar.google.ro/citations?view_op=view_citation&amp;hl=ro&amp;user=rDATDQsAAAAJ&amp;sortby=pubdate&amp;citation_for_view=rDATDQsAAAAJ:GnPB-g6toBAC" TargetMode="External"/><Relationship Id="rId473" Type="http://schemas.openxmlformats.org/officeDocument/2006/relationships/hyperlink" Target="https://doi.org/10.3390/su142214915" TargetMode="External"/><Relationship Id="rId529" Type="http://schemas.openxmlformats.org/officeDocument/2006/relationships/hyperlink" Target="https://onlinelibrary.wiley.com/doi/abs/10.1002/er.7649" TargetMode="External"/><Relationship Id="rId680" Type="http://schemas.openxmlformats.org/officeDocument/2006/relationships/hyperlink" Target="https://www.scopus.com/record/display.uri?eid=2-s2.0-85114396067&amp;origin=resultslist&amp;sort=plf-f&amp;src=s&amp;citedAuthorId=25227824300&amp;imp=t&amp;sid=a93f7a62f1e90f453f826d3f76f61d7f&amp;sot=cite&amp;sdt=cite&amp;cluster=scopubyr%2c%222022%22%2ct&amp;sl=0&amp;relpos=2&amp;citeCnt=1&amp;searchTerm=" TargetMode="External"/><Relationship Id="rId736" Type="http://schemas.openxmlformats.org/officeDocument/2006/relationships/hyperlink" Target="https://www.webofscience.com/wos/woscc/full-record/WOS:000757017000001" TargetMode="External"/><Relationship Id="rId901" Type="http://schemas.openxmlformats.org/officeDocument/2006/relationships/hyperlink" Target="https://www.mdpi.com/2076-3417/12/12/6175" TargetMode="External"/><Relationship Id="rId30" Type="http://schemas.openxmlformats.org/officeDocument/2006/relationships/hyperlink" Target="https://www.mdpi.com/2227-9717/10/4/787" TargetMode="External"/><Relationship Id="rId126" Type="http://schemas.openxmlformats.org/officeDocument/2006/relationships/hyperlink" Target="https://www.mdpi.com/2071-1050/14/9/5567" TargetMode="External"/><Relationship Id="rId168" Type="http://schemas.openxmlformats.org/officeDocument/2006/relationships/hyperlink" Target="https://journals.sagepub.com/doi/10.1177/00405175221113080" TargetMode="External"/><Relationship Id="rId333" Type="http://schemas.openxmlformats.org/officeDocument/2006/relationships/hyperlink" Target="https://1510q6ck8-y-https-www-webofscience-com.z.e-nformation.ro/wos/woscc/full-record/WOS:000795438500001" TargetMode="External"/><Relationship Id="rId540" Type="http://schemas.openxmlformats.org/officeDocument/2006/relationships/hyperlink" Target="https://www.mdpi.com/2071-1050/14/8/4639" TargetMode="External"/><Relationship Id="rId778" Type="http://schemas.openxmlformats.org/officeDocument/2006/relationships/hyperlink" Target="https://www.actalogistica.eu/issues/2022/II_2022_09_Oubrahim_Sefiani_Happonen.pdf" TargetMode="External"/><Relationship Id="rId943" Type="http://schemas.openxmlformats.org/officeDocument/2006/relationships/hyperlink" Target="https://www.mdpi.com/2076-3417/12/16/8330" TargetMode="External"/><Relationship Id="rId72" Type="http://schemas.openxmlformats.org/officeDocument/2006/relationships/hyperlink" Target="https://cris.unibo.it/bitstream/11585/850210/1/Sustainability%20issue.pdf" TargetMode="External"/><Relationship Id="rId375" Type="http://schemas.openxmlformats.org/officeDocument/2006/relationships/hyperlink" Target="https://1510q6e7r-y-https-www-webofscience-com.z.e-nformation.ro/wos/woscc/full-record/WOS:000435283800037" TargetMode="External"/><Relationship Id="rId582" Type="http://schemas.openxmlformats.org/officeDocument/2006/relationships/hyperlink" Target="https://link.springer.com/chapter/10.1007/978-3-031-14317-5_9" TargetMode="External"/><Relationship Id="rId638" Type="http://schemas.openxmlformats.org/officeDocument/2006/relationships/hyperlink" Target="https://www.tandfonline.com/doi/abs/10.1080/00207543.2021.2010826?journalCode=tprs20" TargetMode="External"/><Relationship Id="rId803" Type="http://schemas.openxmlformats.org/officeDocument/2006/relationships/hyperlink" Target="https://link.springer.com/article/10.1007/s00170-021-08081-4" TargetMode="External"/><Relationship Id="rId845" Type="http://schemas.openxmlformats.org/officeDocument/2006/relationships/hyperlink" Target="https://www.mdpi.com/1996-1944/15/3/1201" TargetMode="External"/><Relationship Id="rId3" Type="http://schemas.openxmlformats.org/officeDocument/2006/relationships/hyperlink" Target="https://www.scopus.com/record/display.uri?eid=2-s2.0-84940930011&amp;origin=inward&amp;txGid=32a81de4ed9db0e569591cd7669b6d40" TargetMode="External"/><Relationship Id="rId235" Type="http://schemas.openxmlformats.org/officeDocument/2006/relationships/hyperlink" Target="https://journals.sagepub.com/doi/10.1177/0958305X221078262" TargetMode="External"/><Relationship Id="rId277" Type="http://schemas.openxmlformats.org/officeDocument/2006/relationships/hyperlink" Target="https://www.sciencedirect.com/science/article/pii/S0959652622034990?via%3Dihub" TargetMode="External"/><Relationship Id="rId400" Type="http://schemas.openxmlformats.org/officeDocument/2006/relationships/hyperlink" Target="https://www.scopus.com/record/display.uri?eid=2-s2.0-85139460858&amp;origin=resultslist&amp;sort=plf-f&amp;src=s&amp;citedAuthorId=55572604000&amp;imp=t&amp;sid=9a4987f3b1ca72d6a356729701704127&amp;sot=cite&amp;sdt=cite&amp;cluster=scopubyr%2c%222022%22%2ct&amp;sl=0&amp;relpos=5&amp;citeCnt=0&amp;searchTerm=" TargetMode="External"/><Relationship Id="rId442" Type="http://schemas.openxmlformats.org/officeDocument/2006/relationships/hyperlink" Target="https://www.scopus.com/record/display.uri?eid=2-s2.0-85139120321&amp;origin=resultslist&amp;sort=plf-f&amp;src=s&amp;st1=Static+characteristics+analysis+of+ultrasonic+sensor+HC-SR+04+and+its+application+to+water+level+monitoring+based+on+Arduino+Uno&amp;sid=e2cde1786fcbd95c0993e11cd6c64652&amp;sot=b&amp;sdt=b&amp;sl=135&amp;s=TITLE%28Static+characteristics+analysis+of+ultrasonic+sensor+HC-SR+04+and+its+application+to+water+level+monitoring+based+on+Arduino+Uno%29&amp;relpos=0&amp;citeCnt=0&amp;searchTerm=" TargetMode="External"/><Relationship Id="rId484" Type="http://schemas.openxmlformats.org/officeDocument/2006/relationships/hyperlink" Target="https://doi.org/10.3390/ma15082735%C2%A0" TargetMode="External"/><Relationship Id="rId705" Type="http://schemas.openxmlformats.org/officeDocument/2006/relationships/hyperlink" Target="https://www.scopus.com/record/display.uri?eid=2-s2.0-85133629588&amp;origin=resultslist&amp;sort=plf-f&amp;src=s&amp;nlo=&amp;nlr=&amp;nls=&amp;citedAuthorId=56184609800&amp;imp=t&amp;sid=19e9dfcc5f518037df097b68e0fd311a&amp;sot=cite&amp;sdt=cl&amp;cluster=scopubyr%2c%222022%22%2ct&amp;sl=0&amp;relpos=2&amp;citeCnt=0&amp;searchTerm=" TargetMode="External"/><Relationship Id="rId887" Type="http://schemas.openxmlformats.org/officeDocument/2006/relationships/hyperlink" Target="https://iopscience.iop.org/article/10.1088/2631-8695/ac73df/meta?casa_token=mAXyaR-8tFUAAAAA:uIUvCqwJSWEUxEKqh2R5ccMHuZVISTc4T0AIu-HU1T7_s5kmVKjNUwkaCeN8miDIvhPYe2sZZzM" TargetMode="External"/><Relationship Id="rId137" Type="http://schemas.openxmlformats.org/officeDocument/2006/relationships/hyperlink" Target="https://assets.researchsquare.com/files/rs-1456848/v1/4c1cae17-7c0c-4827-b541-ef4513a8a579.pdf?c=1648846526" TargetMode="External"/><Relationship Id="rId302" Type="http://schemas.openxmlformats.org/officeDocument/2006/relationships/hyperlink" Target="https://dl.acm.org/doi/abs/10.1016/j.cie.2022.108206" TargetMode="External"/><Relationship Id="rId344" Type="http://schemas.openxmlformats.org/officeDocument/2006/relationships/hyperlink" Target="https://1510q6cj3-y-https-www-webofscience-com.z.e-nformation.ro/wos/woscc/summary/fe30fcf8-fc0a-437f-bdda-fc155eb6ed5f-92a50ab1/date-descending/1" TargetMode="External"/><Relationship Id="rId691" Type="http://schemas.openxmlformats.org/officeDocument/2006/relationships/hyperlink" Target="https://link.springer.com/article/10.1007/s10489-021-03073-z" TargetMode="External"/><Relationship Id="rId747" Type="http://schemas.openxmlformats.org/officeDocument/2006/relationships/hyperlink" Target="https://www.scopus.com/record/display.uri?eid=2-s2.0-85120992618&amp;origin=resultslist&amp;sort=plf-f&amp;cite=2-s2.0-84891707567&amp;src=s&amp;imp=t&amp;sid=8dfaef38d2b3d0daeef51206117d184b&amp;sot=cite&amp;sdt=a&amp;sl=0&amp;relpos=7&amp;citeCnt=3&amp;searchTerm=" TargetMode="External"/><Relationship Id="rId789" Type="http://schemas.openxmlformats.org/officeDocument/2006/relationships/hyperlink" Target="https://scholar.google.com/citations?view_op=view_citation&amp;hl=en&amp;user=aYMjNncAAAAJ&amp;sortby=pubdate&amp;citation_for_view=aYMjNncAAAAJ:LkGwnXOMwfcC" TargetMode="External"/><Relationship Id="rId912" Type="http://schemas.openxmlformats.org/officeDocument/2006/relationships/hyperlink" Target="https://link.springer.com/chapter/10.1007/978-981-16-9952-8_32" TargetMode="External"/><Relationship Id="rId954" Type="http://schemas.openxmlformats.org/officeDocument/2006/relationships/hyperlink" Target="https://www.webofscience.com/wos/woscc/full-record/WOS:000828131600001" TargetMode="External"/><Relationship Id="rId41" Type="http://schemas.openxmlformats.org/officeDocument/2006/relationships/hyperlink" Target="https://www.qip-journal.eu/index.php/QIP/article/view/1717" TargetMode="External"/><Relationship Id="rId83" Type="http://schemas.openxmlformats.org/officeDocument/2006/relationships/hyperlink" Target="https://www.sciencedirect.com/science/article/abs/pii/S0045653522028806?via%3Dihub" TargetMode="External"/><Relationship Id="rId179" Type="http://schemas.openxmlformats.org/officeDocument/2006/relationships/hyperlink" Target="https://www.scopus.com/record/display.uri?eid=2-s2.0-85144962083&amp;origin=resultslist&amp;sort=plf-f&amp;src=s&amp;citedAuthorId=55888486300&amp;imp=t&amp;sid=75bba458212fe6d6788108432e1c28ca&amp;sot=cite&amp;sdt=cite&amp;cluster=scopubyr%2c%222022%22%2ct&amp;sl=0&amp;relpos=0&amp;citeCnt=1&amp;searchTerm=" TargetMode="External"/><Relationship Id="rId386" Type="http://schemas.openxmlformats.org/officeDocument/2006/relationships/hyperlink" Target="https://www.scopus.com/record/display.uri?eid=2-s2.0-84940930011&amp;origin=inward&amp;txGid=32a81de4ed9db0e569591cd7669b6d40" TargetMode="External"/><Relationship Id="rId551" Type="http://schemas.openxmlformats.org/officeDocument/2006/relationships/hyperlink" Target="https://www.sciencedirect.com/science/article/pii/S1350630722000152" TargetMode="External"/><Relationship Id="rId593" Type="http://schemas.openxmlformats.org/officeDocument/2006/relationships/hyperlink" Target="https://www.mdpi.com/2076-3417/12/8/3887" TargetMode="External"/><Relationship Id="rId607" Type="http://schemas.openxmlformats.org/officeDocument/2006/relationships/hyperlink" Target="https://www.mdpi.com/2071-1050/14/23/16308" TargetMode="External"/><Relationship Id="rId649" Type="http://schemas.openxmlformats.org/officeDocument/2006/relationships/hyperlink" Target="https://www.sciencedirect.com/science/article/pii/S1877050922000205" TargetMode="External"/><Relationship Id="rId814" Type="http://schemas.openxmlformats.org/officeDocument/2006/relationships/hyperlink" Target="https://journals.sagepub.com/doi/abs/10.1177/08927057221074266" TargetMode="External"/><Relationship Id="rId856" Type="http://schemas.openxmlformats.org/officeDocument/2006/relationships/hyperlink" Target="https://www.mdpi.com/2075-4701/12/11/1944" TargetMode="External"/><Relationship Id="rId190" Type="http://schemas.openxmlformats.org/officeDocument/2006/relationships/hyperlink" Target="https://www.scopus.com/record/display.uri?eid=2-s2.0-85146582634&amp;origin=resultslist&amp;sort=plf-f&amp;src=s&amp;citedAuthorId=55888486300&amp;imp=t&amp;sid=804476badfb7da90dd30183397cd72d9&amp;sot=cite&amp;sdt=cite&amp;cluster=scopubyr%2c%222022%22%2ct&amp;sl=0&amp;relpos=11&amp;citeCnt=0&amp;searchTerm=" TargetMode="External"/><Relationship Id="rId204" Type="http://schemas.openxmlformats.org/officeDocument/2006/relationships/hyperlink" Target="https://1510a07f6-y-https-www-sciencedirect-com.z.e-nformation.ro/science/article/pii/S2214785322019587?via%3Dihub" TargetMode="External"/><Relationship Id="rId246" Type="http://schemas.openxmlformats.org/officeDocument/2006/relationships/hyperlink" Target="https://www.sciencedirect.com/science/article/pii/S2214993722000380" TargetMode="External"/><Relationship Id="rId288" Type="http://schemas.openxmlformats.org/officeDocument/2006/relationships/hyperlink" Target="https://onlinelibrary.wiley.com/doi/abs/10.1002/app.53179" TargetMode="External"/><Relationship Id="rId411" Type="http://schemas.openxmlformats.org/officeDocument/2006/relationships/hyperlink" Target="https://www.mdpi.com/2076-3417/12/8/3887" TargetMode="External"/><Relationship Id="rId453" Type="http://schemas.openxmlformats.org/officeDocument/2006/relationships/hyperlink" Target="https://doi.org/10.1016/j.bioadv.2022.213124" TargetMode="External"/><Relationship Id="rId509" Type="http://schemas.openxmlformats.org/officeDocument/2006/relationships/hyperlink" Target="https://www.webofscience.com/wos/woscc/full-record/WOS:000775227200039" TargetMode="External"/><Relationship Id="rId660" Type="http://schemas.openxmlformats.org/officeDocument/2006/relationships/hyperlink" Target="https://www.mdpi.com/1660-4601/19/6/3496" TargetMode="External"/><Relationship Id="rId898" Type="http://schemas.openxmlformats.org/officeDocument/2006/relationships/hyperlink" Target="https://www.mdpi.com/2076-3417/12/2/614" TargetMode="External"/><Relationship Id="rId106" Type="http://schemas.openxmlformats.org/officeDocument/2006/relationships/hyperlink" Target="https://acris.aalto.fi/ws/portalfiles/portal/82219080/Role_of_consumer_mindsets_behaviour_and_influencing_factors_in_circular_consumption_systems_Gomes_Moreira_Ometto_2022.pdf" TargetMode="External"/><Relationship Id="rId313" Type="http://schemas.openxmlformats.org/officeDocument/2006/relationships/hyperlink" Target="https://www.emerald.com/insight/content/doi/10.1108/TPM-11-2021-0085/full/html?utm_campaign=Emerald_HR_PPV_November22_RoN" TargetMode="External"/><Relationship Id="rId495" Type="http://schemas.openxmlformats.org/officeDocument/2006/relationships/hyperlink" Target="https://doi.org/10.3390/su14137804%C2%A0" TargetMode="External"/><Relationship Id="rId716" Type="http://schemas.openxmlformats.org/officeDocument/2006/relationships/hyperlink" Target="https://www.scopus.com/record/display.uri?eid=2-s2.0-85076204605&amp;origin=resultslist&amp;sort=plf-f&amp;cite=2-s2.0-85076204605&amp;src=s&amp;imp=t&amp;sid=05a17e4a0bedc67085083cff9ca7da1b&amp;sot=cite&amp;sdt=a&amp;sl=0" TargetMode="External"/><Relationship Id="rId758" Type="http://schemas.openxmlformats.org/officeDocument/2006/relationships/hyperlink" Target="https://www.webofscience.com/wos/woscc/full-record/WOS:000839687100001" TargetMode="External"/><Relationship Id="rId923" Type="http://schemas.openxmlformats.org/officeDocument/2006/relationships/hyperlink" Target="https://link.springer.com/article/10.1007/s00170-022-09674-3" TargetMode="External"/><Relationship Id="rId10" Type="http://schemas.openxmlformats.org/officeDocument/2006/relationships/hyperlink" Target="https://www.mdpi.com/2071-1050/14/10/6166/htm" TargetMode="External"/><Relationship Id="rId52" Type="http://schemas.openxmlformats.org/officeDocument/2006/relationships/hyperlink" Target="https://www.mdpi.com/2073-445X/11/9/1506" TargetMode="External"/><Relationship Id="rId94" Type="http://schemas.openxmlformats.org/officeDocument/2006/relationships/hyperlink" Target="https://www.mdpi.com/1911-8074/15/4/166" TargetMode="External"/><Relationship Id="rId148" Type="http://schemas.openxmlformats.org/officeDocument/2006/relationships/hyperlink" Target="https://ruidera.uclm.es/xmlui/bitstream/handle/10578/30124/curriculum_PA21710045_1b712493a97847a0ad540837809f03d2_20_8%20(1).pdf?sequence=1" TargetMode="External"/><Relationship Id="rId355" Type="http://schemas.openxmlformats.org/officeDocument/2006/relationships/hyperlink" Target="https://151096clp-y-https-www-scopus-com.z.e-nformation.ro/results/citedbyresults.uri?sort=plf-f&amp;refeid=2-s2.0-84981289567&amp;src=s&amp;imp=t&amp;sid=537b5212d00a8bf61fb00f250697f6ce&amp;sot=ctocbw&amp;sdt=a&amp;sl=15&amp;s=PUBYEAR+IS+2022&amp;origin=cto&amp;citeCnt=5_DELIM_5_DELIM_CTODS_1655447282_DELIM_1&amp;txGid=cca1f809dc44c41c85f4ba771f7bc874" TargetMode="External"/><Relationship Id="rId397" Type="http://schemas.openxmlformats.org/officeDocument/2006/relationships/hyperlink" Target="https://www.scopus.com/record/display.uri?eid=2-s2.0-85107760130&amp;origin=resultslist&amp;sort=plf-f&amp;src=s&amp;citedAuthorId=55572604000&amp;imp=t&amp;sid=9a4987f3b1ca72d6a356729701704127&amp;sot=cite&amp;sdt=cite&amp;cluster=scopubyr%2c%222022%22%2ct&amp;sl=0&amp;relpos=2&amp;citeCnt=8&amp;searchTerm=" TargetMode="External"/><Relationship Id="rId520" Type="http://schemas.openxmlformats.org/officeDocument/2006/relationships/hyperlink" Target="https://www.mdpi.com/2076-3417/12/12/6175" TargetMode="External"/><Relationship Id="rId562" Type="http://schemas.openxmlformats.org/officeDocument/2006/relationships/hyperlink" Target="https://ieeexplore.ieee.org/document/9792274" TargetMode="External"/><Relationship Id="rId618" Type="http://schemas.openxmlformats.org/officeDocument/2006/relationships/hyperlink" Target="https://www.webofscience.com/wos/woscc/full-record/WOS:000853146600039" TargetMode="External"/><Relationship Id="rId825" Type="http://schemas.openxmlformats.org/officeDocument/2006/relationships/hyperlink" Target="https://link.springer.com/article/10.1007/s00170-022-10213-3" TargetMode="External"/><Relationship Id="rId215" Type="http://schemas.openxmlformats.org/officeDocument/2006/relationships/hyperlink" Target="https://www.sciencedirect.com/science/article/pii/S0167732221029767" TargetMode="External"/><Relationship Id="rId257" Type="http://schemas.openxmlformats.org/officeDocument/2006/relationships/hyperlink" Target="https://journal.uet.edu.pk/ojs_old/index.php/pjeas/article/view/2576/432" TargetMode="External"/><Relationship Id="rId422" Type="http://schemas.openxmlformats.org/officeDocument/2006/relationships/hyperlink" Target="https://link.springer.com/chapter/10.1007/978-3-030-99235-4_4" TargetMode="External"/><Relationship Id="rId464" Type="http://schemas.openxmlformats.org/officeDocument/2006/relationships/hyperlink" Target="https://doi.org/10.16476/j.pibb.2021.0205" TargetMode="External"/><Relationship Id="rId867" Type="http://schemas.openxmlformats.org/officeDocument/2006/relationships/hyperlink" Target="https://www.mdpi.com/1996-1944/15/12/4094" TargetMode="External"/><Relationship Id="rId299" Type="http://schemas.openxmlformats.org/officeDocument/2006/relationships/hyperlink" Target="https://icams.ro/icamsresurse/2022/files/lucrari/I_advanced_materials_nanomaterials_10.pdf" TargetMode="External"/><Relationship Id="rId727" Type="http://schemas.openxmlformats.org/officeDocument/2006/relationships/hyperlink" Target="http://www.jatit.org/volumes/Vol100No3/6Vol100No3.pdf" TargetMode="External"/><Relationship Id="rId934" Type="http://schemas.openxmlformats.org/officeDocument/2006/relationships/hyperlink" Target="https://www.sciencedirect.com/science/article/pii/S2214785322015450?casa_token=nGAIYDM-KVQAAAAA:nKyKgMv7-Y1JUZhHHCIE97WBI2HmGeRPGw1yPXgZyjd3pNKJpuk8NeRbXgMWdAGg2ftsKQM" TargetMode="External"/><Relationship Id="rId63" Type="http://schemas.openxmlformats.org/officeDocument/2006/relationships/hyperlink" Target="https://www.mdpi.com/2227-9717/10/5/903" TargetMode="External"/><Relationship Id="rId159" Type="http://schemas.openxmlformats.org/officeDocument/2006/relationships/hyperlink" Target="https://www.sciencedirect.com/science/article/pii/S2238785422004744?via%3Dihub" TargetMode="External"/><Relationship Id="rId366" Type="http://schemas.openxmlformats.org/officeDocument/2006/relationships/hyperlink" Target="https://books.google.ro/books?hl=ro&amp;lr=&amp;id=YWZsEAAAQBAJ&amp;oi=fnd&amp;pg=PT10&amp;ots=SNh7V3K9lT&amp;sig=cmNFD6lnOUS2dqC3IFTgJV9-CQg&amp;redir_esc=y" TargetMode="External"/><Relationship Id="rId573" Type="http://schemas.openxmlformats.org/officeDocument/2006/relationships/hyperlink" Target="https://ieeexplore.ieee.org/document/9978292" TargetMode="External"/><Relationship Id="rId780" Type="http://schemas.openxmlformats.org/officeDocument/2006/relationships/hyperlink" Target="https://www.mdpi.com/2227-9717/10/9/1775" TargetMode="External"/><Relationship Id="rId226" Type="http://schemas.openxmlformats.org/officeDocument/2006/relationships/hyperlink" Target="https://www.mdpi.com/2075-4701/12/2/208/htm" TargetMode="External"/><Relationship Id="rId433" Type="http://schemas.openxmlformats.org/officeDocument/2006/relationships/hyperlink" Target="https://www.webofscience.com/wos/woscc/full-record/WOS:000817640200001" TargetMode="External"/><Relationship Id="rId878" Type="http://schemas.openxmlformats.org/officeDocument/2006/relationships/hyperlink" Target="https://link.springer.com/article/10.1007/s12289-022-01690-8" TargetMode="External"/><Relationship Id="rId640" Type="http://schemas.openxmlformats.org/officeDocument/2006/relationships/hyperlink" Target="https://www.tandfonline.com/doi/abs/10.1080/17517575.2019.1710862" TargetMode="External"/><Relationship Id="rId738" Type="http://schemas.openxmlformats.org/officeDocument/2006/relationships/hyperlink" Target="https://www.webofscience.com/wos/woscc/full-record/WOS:000843314000001" TargetMode="External"/><Relationship Id="rId945" Type="http://schemas.openxmlformats.org/officeDocument/2006/relationships/hyperlink" Target="https://www.webofscience.com/wos/woscc/full-record/WOS:000825234500002" TargetMode="External"/><Relationship Id="rId74" Type="http://schemas.openxmlformats.org/officeDocument/2006/relationships/hyperlink" Target="https://www.sciencedirect.com/science/article/pii/S0959652621042153?via%3Dihub" TargetMode="External"/><Relationship Id="rId377" Type="http://schemas.openxmlformats.org/officeDocument/2006/relationships/hyperlink" Target="https://1510q6e7r-y-https-www-webofscience-com.z.e-nformation.ro/wos/woscc/full-record/WOS:000435283800037" TargetMode="External"/><Relationship Id="rId500" Type="http://schemas.openxmlformats.org/officeDocument/2006/relationships/hyperlink" Target="https://pubs.aip.org/aip/acp/article-abstract/2437/1/020097/2823319/Circular-economy-waste-and-energy-management-for-a?redirectedFrom=fulltext" TargetMode="External"/><Relationship Id="rId584" Type="http://schemas.openxmlformats.org/officeDocument/2006/relationships/hyperlink" Target="https://link.springer.com/chapter/10.1007/978-3-031-06794-5_54" TargetMode="External"/><Relationship Id="rId805" Type="http://schemas.openxmlformats.org/officeDocument/2006/relationships/hyperlink" Target="https://www.webofscience.com/wos/woscc/full-record/WOS:000757017000001" TargetMode="External"/><Relationship Id="rId5" Type="http://schemas.openxmlformats.org/officeDocument/2006/relationships/hyperlink" Target="https://doi.org/10.1007/s40684-021-00372-1" TargetMode="External"/><Relationship Id="rId237" Type="http://schemas.openxmlformats.org/officeDocument/2006/relationships/hyperlink" Target="https://link.springer.com/article/10.1007/s11783-023-1666-4" TargetMode="External"/><Relationship Id="rId791" Type="http://schemas.openxmlformats.org/officeDocument/2006/relationships/hyperlink" Target="https://scholar.google.com/citations?view_op=view_citation&amp;hl=en&amp;user=aYMjNncAAAAJ&amp;sortby=pubdate&amp;citation_for_view=aYMjNncAAAAJ:LkGwnXOMwfcC" TargetMode="External"/><Relationship Id="rId889" Type="http://schemas.openxmlformats.org/officeDocument/2006/relationships/hyperlink" Target="https://link.springer.com/article/10.1007/s00170-022-10213-3" TargetMode="External"/><Relationship Id="rId444" Type="http://schemas.openxmlformats.org/officeDocument/2006/relationships/hyperlink" Target="https://www.dbpia.co.kr/Journal/articleDetail?nodeId=NODE11100964" TargetMode="External"/><Relationship Id="rId651" Type="http://schemas.openxmlformats.org/officeDocument/2006/relationships/hyperlink" Target="https://www.univagora.ro/jour/index.php/ijccc/article/view/4749" TargetMode="External"/><Relationship Id="rId749" Type="http://schemas.openxmlformats.org/officeDocument/2006/relationships/hyperlink" Target="https://www.scopus.com/record/display.uri?eid=2-s2.0-85120860358&amp;origin=resultslist&amp;sort=plf-f&amp;cite=2-s2.0-84891707567&amp;src=s&amp;imp=t&amp;sid=8dfaef38d2b3d0daeef51206117d184b&amp;sot=cite&amp;sdt=a&amp;sl=0&amp;relpos=6&amp;citeCnt=19&amp;searchTerm=" TargetMode="External"/><Relationship Id="rId290" Type="http://schemas.openxmlformats.org/officeDocument/2006/relationships/hyperlink" Target="https://www.sciencedirect.com/science/article/pii/S2352152X22017881" TargetMode="External"/><Relationship Id="rId304" Type="http://schemas.openxmlformats.org/officeDocument/2006/relationships/hyperlink" Target="https://www.mdpi.com/1996-1073/15/21/8191" TargetMode="External"/><Relationship Id="rId388" Type="http://schemas.openxmlformats.org/officeDocument/2006/relationships/hyperlink" Target="https://www.mdpi.com/2073-4360/14/15/3035" TargetMode="External"/><Relationship Id="rId511" Type="http://schemas.openxmlformats.org/officeDocument/2006/relationships/hyperlink" Target="https://www.webofscience.com/wos/woscc/full-record/WOS:000847689500002" TargetMode="External"/><Relationship Id="rId609" Type="http://schemas.openxmlformats.org/officeDocument/2006/relationships/hyperlink" Target="https://ieeexplore.ieee.org/document/9995994" TargetMode="External"/><Relationship Id="rId956" Type="http://schemas.openxmlformats.org/officeDocument/2006/relationships/hyperlink" Target="https://www.webofscience.com/wos/woscc/full-record/WOS:000692463600001;" TargetMode="External"/><Relationship Id="rId85" Type="http://schemas.openxmlformats.org/officeDocument/2006/relationships/hyperlink" Target="https://www.sciencedirect.com/science/article/abs/pii/S0959652622051174?via%3Dihub" TargetMode="External"/><Relationship Id="rId150" Type="http://schemas.openxmlformats.org/officeDocument/2006/relationships/hyperlink" Target="https://repositorio.ipl.pt/bitstream/10400.21/14762/1/jrfm-15-00269-v2%20%282%29.pdf" TargetMode="External"/><Relationship Id="rId595" Type="http://schemas.openxmlformats.org/officeDocument/2006/relationships/hyperlink" Target="https://www.mdpi.com/1424-8220/22/6/2409" TargetMode="External"/><Relationship Id="rId816" Type="http://schemas.openxmlformats.org/officeDocument/2006/relationships/hyperlink" Target="https://iopscience.iop.org/article/10.1088/1757-899X/1238/1/012080/meta" TargetMode="External"/><Relationship Id="rId248" Type="http://schemas.openxmlformats.org/officeDocument/2006/relationships/hyperlink" Target="https://aip.scitation.org/doi/abs/10.1063/5.0081401" TargetMode="External"/><Relationship Id="rId455" Type="http://schemas.openxmlformats.org/officeDocument/2006/relationships/hyperlink" Target="https://doi.org/10.1016/j.eurpolymj.2022.111390%C2%A0" TargetMode="External"/><Relationship Id="rId662" Type="http://schemas.openxmlformats.org/officeDocument/2006/relationships/hyperlink" Target="https://www.tandfonline.com/doi/abs/10.1080/0951192X.2021.1992666" TargetMode="External"/><Relationship Id="rId12" Type="http://schemas.openxmlformats.org/officeDocument/2006/relationships/hyperlink" Target="https://www.tandfonline.com/doi/full/10.1080/15567036.2022.2136797" TargetMode="External"/><Relationship Id="rId108" Type="http://schemas.openxmlformats.org/officeDocument/2006/relationships/hyperlink" Target="https://www.hindawi.com/journals/sv/2022/1923734/" TargetMode="External"/><Relationship Id="rId315" Type="http://schemas.openxmlformats.org/officeDocument/2006/relationships/hyperlink" Target="https://www.scirp.org/journal/paperinformation.aspx?paperid=122195" TargetMode="External"/><Relationship Id="rId522" Type="http://schemas.openxmlformats.org/officeDocument/2006/relationships/hyperlink" Target="https://www.mdpi.com/2076-3417/12/2/614" TargetMode="External"/><Relationship Id="rId96" Type="http://schemas.openxmlformats.org/officeDocument/2006/relationships/hyperlink" Target="https://www.mdpi.com/2071-1050/14/3/1567" TargetMode="External"/><Relationship Id="rId161" Type="http://schemas.openxmlformats.org/officeDocument/2006/relationships/hyperlink" Target="https://www.mdpi.com/2071-1050/14/17/11022" TargetMode="External"/><Relationship Id="rId399" Type="http://schemas.openxmlformats.org/officeDocument/2006/relationships/hyperlink" Target="https://www.scopus.com/record/display.uri?eid=2-s2.0-85141665597&amp;origin=resultslist&amp;sort=plf-f&amp;src=s&amp;citedAuthorId=55572604000&amp;imp=t&amp;sid=9a4987f3b1ca72d6a356729701704127&amp;sot=cite&amp;sdt=cite&amp;cluster=scopubyr%2c%222022%22%2ct&amp;sl=0&amp;relpos=4&amp;citeCnt=0&amp;searchTerm=" TargetMode="External"/><Relationship Id="rId827" Type="http://schemas.openxmlformats.org/officeDocument/2006/relationships/hyperlink" Target="https://asmedigitalcollection.asme.org/manufacturingscience/article-abstract/144/11/110802/1141317/A-Comprehensive-Review-on-Experimental-Conditions" TargetMode="External"/><Relationship Id="rId259" Type="http://schemas.openxmlformats.org/officeDocument/2006/relationships/hyperlink" Target="https://www.mdpi.com/2071-1050/14/10/6347" TargetMode="External"/><Relationship Id="rId466" Type="http://schemas.openxmlformats.org/officeDocument/2006/relationships/hyperlink" Target="https://doi.org/10.3390/su142215365%C2%A0" TargetMode="External"/><Relationship Id="rId673" Type="http://schemas.openxmlformats.org/officeDocument/2006/relationships/hyperlink" Target="https://www.mdpi.com/2227-7390/10/15/2725" TargetMode="External"/><Relationship Id="rId880" Type="http://schemas.openxmlformats.org/officeDocument/2006/relationships/hyperlink" Target="https://www.mdpi.com/1996-1944/15/15/5428" TargetMode="External"/><Relationship Id="rId23" Type="http://schemas.openxmlformats.org/officeDocument/2006/relationships/hyperlink" Target="https://www.mdpi.com/2076-3417/12/17/8460" TargetMode="External"/><Relationship Id="rId119" Type="http://schemas.openxmlformats.org/officeDocument/2006/relationships/hyperlink" Target="https://prace-kgp.up.krakow.pl/article/view/9332" TargetMode="External"/><Relationship Id="rId326" Type="http://schemas.openxmlformats.org/officeDocument/2006/relationships/hyperlink" Target="https://doi.org/10.48550/arXiv.2210.10420" TargetMode="External"/><Relationship Id="rId533" Type="http://schemas.openxmlformats.org/officeDocument/2006/relationships/hyperlink" Target="https://www.sciencedirect.com/science/article/abs/pii/S0045790621005371" TargetMode="External"/><Relationship Id="rId740" Type="http://schemas.openxmlformats.org/officeDocument/2006/relationships/hyperlink" Target="https://www.scopus.com/record/display.uri?eid=2-s2.0-85128909853&amp;origin=resultslist&amp;sort=plf-f&amp;src=s&amp;nlo=&amp;nlr=&amp;nls=&amp;citedAuthorId=56271998200&amp;imp=t&amp;sid=103bc0437993bedf765e1b3109b69742&amp;sot=cite&amp;sdt=cl&amp;cluster=scopubyr%2c%222022%22%2ct&amp;sl=0&amp;relpos=3&amp;citeCnt=0&amp;searchTerm=" TargetMode="External"/><Relationship Id="rId838" Type="http://schemas.openxmlformats.org/officeDocument/2006/relationships/hyperlink" Target="https://www.scopus.com/record/display.uri?eid=2-s2.0-85142357543&amp;origin=resultslist&amp;sort=plf-f&amp;src=s&amp;st1=EVALUATION+OF+THE+DIMENSIONAL+ACCURACY+THROUGH+3D+OPTICAL+SCANNING+IN+INCREMENTAL+SHEET+FORMING&amp;sid=2dc29a11313c6f78a07873b9e020830c&amp;sot=b&amp;sdt=b&amp;sl=110&amp;s=TITLE-ABS-KEY%28EVALUATION+OF+THE+DIMENSIONAL+ACCURACY+THROUGH+3D+OPTICAL+SCANNING+IN+INCREMENTAL+SHEET+FORMING%29&amp;relpos=0&amp;citeCnt=0&amp;searchTerm=" TargetMode="External"/><Relationship Id="rId172" Type="http://schemas.openxmlformats.org/officeDocument/2006/relationships/hyperlink" Target="https://www.mdpi.com/1660-4601/19/13/7864" TargetMode="External"/><Relationship Id="rId477" Type="http://schemas.openxmlformats.org/officeDocument/2006/relationships/hyperlink" Target="https://doi.org/10.1016/j.eurpolymj.2022.111565%C2%A0" TargetMode="External"/><Relationship Id="rId600" Type="http://schemas.openxmlformats.org/officeDocument/2006/relationships/hyperlink" Target="https://www.sciencedirect.com/science/article/pii/S002002552200024X" TargetMode="External"/><Relationship Id="rId684" Type="http://schemas.openxmlformats.org/officeDocument/2006/relationships/hyperlink" Target="https://www.webofscience.com/wos/woscc/full-record/WOS:000757074100001" TargetMode="External"/><Relationship Id="rId337" Type="http://schemas.openxmlformats.org/officeDocument/2006/relationships/hyperlink" Target="https://151096iy2-y-https-www-scopus-com.z.e-nformation.ro/record/display.uri?eid=2-s2.0-85135922424&amp;origin=resultslist&amp;sort=plf-f&amp;src=s&amp;citedAuthorId=57213110009&amp;imp=t&amp;sid=3062c12352c7a198fe4d52c65c661a1d&amp;sot=cite&amp;sdt=cite&amp;cluster=scopubyr%2c%222022%22%2ct&amp;sl=0&amp;relpos=11&amp;citeCnt=0&amp;searchTerm=" TargetMode="External"/><Relationship Id="rId891" Type="http://schemas.openxmlformats.org/officeDocument/2006/relationships/hyperlink" Target="https://www.mdpi.com/1996-1944/15/10/3707" TargetMode="External"/><Relationship Id="rId905" Type="http://schemas.openxmlformats.org/officeDocument/2006/relationships/hyperlink" Target="https://www.thieme-connect.com/products/ejournals/html/10.1055/s-0042-1749363" TargetMode="External"/><Relationship Id="rId34" Type="http://schemas.openxmlformats.org/officeDocument/2006/relationships/hyperlink" Target="https://www.sciencedirect.com/science/article/pii/S0016236122007281?via%3Dihub" TargetMode="External"/><Relationship Id="rId544" Type="http://schemas.openxmlformats.org/officeDocument/2006/relationships/hyperlink" Target="https://www.mdpi.com/2071-1050/14/20/13198" TargetMode="External"/><Relationship Id="rId751" Type="http://schemas.openxmlformats.org/officeDocument/2006/relationships/hyperlink" Target="https://www.scopus.com/record/display.uri?eid=2-s2.0-85125630652&amp;origin=resultslist&amp;sort=plf-f&amp;cite=2-s2.0-84891707567&amp;src=s&amp;imp=t&amp;sid=8dfaef38d2b3d0daeef51206117d184b&amp;sot=cite&amp;sdt=a&amp;sl=0&amp;relpos=4&amp;citeCnt=2&amp;searchTerm=" TargetMode="External"/><Relationship Id="rId849" Type="http://schemas.openxmlformats.org/officeDocument/2006/relationships/hyperlink" Target="https://www.mdpi.com/1996-1944/15/4/1458" TargetMode="External"/><Relationship Id="rId183" Type="http://schemas.openxmlformats.org/officeDocument/2006/relationships/hyperlink" Target="https://www.scopus.com/record/display.uri?eid=2-s2.0-85114316122&amp;origin=resultslist&amp;sort=plf-f&amp;src=s&amp;citedAuthorId=55888486300&amp;imp=t&amp;sid=db3d9443c69df32184b1a83c108c44de&amp;sot=cite&amp;sdt=cite&amp;cluster=scopubyr%2c%222022%22%2ct&amp;sl=0&amp;relpos=4&amp;citeCnt=0&amp;searchTerm=" TargetMode="External"/><Relationship Id="rId390" Type="http://schemas.openxmlformats.org/officeDocument/2006/relationships/hyperlink" Target="https://www.spandidos-publications.com/10.3892/etm.2021.10951" TargetMode="External"/><Relationship Id="rId404" Type="http://schemas.openxmlformats.org/officeDocument/2006/relationships/hyperlink" Target="https://www.scopus.com/record/display.uri?eid=2-s2.0-85120351794&amp;origin=resultslist&amp;sort=plf-f&amp;src=s&amp;citedAuthorId=55572604000&amp;imp=t&amp;sid=9a4987f3b1ca72d6a356729701704127&amp;sot=cite&amp;sdt=cite&amp;cluster=scopubyr%2c%222022%22%2ct&amp;sl=0&amp;relpos=11&amp;citeCnt=1&amp;searchTerm=" TargetMode="External"/><Relationship Id="rId611" Type="http://schemas.openxmlformats.org/officeDocument/2006/relationships/hyperlink" Target="https://onlinelibrary.wiley.com/doi/abs/10.1002/int.22797" TargetMode="External"/><Relationship Id="rId250" Type="http://schemas.openxmlformats.org/officeDocument/2006/relationships/hyperlink" Target="https://www.mdpi.com/2227-9717/10/4/787/htm" TargetMode="External"/><Relationship Id="rId488" Type="http://schemas.openxmlformats.org/officeDocument/2006/relationships/hyperlink" Target="https://doi.org/10.1016/j.scienta.2021.110838%C2%A0" TargetMode="External"/><Relationship Id="rId695" Type="http://schemas.openxmlformats.org/officeDocument/2006/relationships/hyperlink" Target="https://www.scopus.com/record/display.uri?eid=2-s2.0-85136457825&amp;origin=resultslist&amp;sort=plf-f&amp;src=s&amp;citedAuthorId=23391009700&amp;imp=t&amp;sid=24e52b5636d47e0a205046054798c4fc&amp;sot=cite&amp;sdt=cite&amp;cluster=scopubyr%2c%222022%22%2ct&amp;sl=0&amp;relpos=0&amp;citeCnt=0&amp;searchTerm=" TargetMode="External"/><Relationship Id="rId709" Type="http://schemas.openxmlformats.org/officeDocument/2006/relationships/hyperlink" Target="https://www.taylorfrancis.com/chapters/edit/10.1201/9781003164241-4/overview-issues-related-geometrical-accuracy-single-point-incremental-forming-spif-process-tailor-welded-blanks-kaha-razak-ab-abdullah-nm-noor" TargetMode="External"/><Relationship Id="rId916" Type="http://schemas.openxmlformats.org/officeDocument/2006/relationships/hyperlink" Target="https://www.taylorfrancis.com/chapters/edit/10.1201/9781003164241-4/overview-issues-related-geometrical-accuracy-single-point-incremental-forming-spif-process-tailor-welded-blanks-kaha-razak-ab-abdullah-nm-noor" TargetMode="External"/><Relationship Id="rId45" Type="http://schemas.openxmlformats.org/officeDocument/2006/relationships/hyperlink" Target="https://journals.sagepub.com/doi/10.1177/0734242X221126718" TargetMode="External"/><Relationship Id="rId110" Type="http://schemas.openxmlformats.org/officeDocument/2006/relationships/hyperlink" Target="https://www.sciencedirect.com/science/article/abs/pii/S0956053X22001908?via%3Dihub" TargetMode="External"/><Relationship Id="rId348" Type="http://schemas.openxmlformats.org/officeDocument/2006/relationships/hyperlink" Target="https://1510q6cj3-y-https-www-webofscience-com.z.e-nformation.ro/wos/woscc/summary/a0d79dff-d681-439d-94ff-4d33d026b770-92a3cfe9/date-descending/1" TargetMode="External"/><Relationship Id="rId555" Type="http://schemas.openxmlformats.org/officeDocument/2006/relationships/hyperlink" Target="http://www.epstem.net/en/pub/issue/74773/1224036" TargetMode="External"/><Relationship Id="rId762" Type="http://schemas.openxmlformats.org/officeDocument/2006/relationships/hyperlink" Target="https://www.webofscience.com/wos/woscc/full-record/WOS:000750830900001" TargetMode="External"/><Relationship Id="rId194" Type="http://schemas.openxmlformats.org/officeDocument/2006/relationships/hyperlink" Target="https://www.scopus.com/record/display.uri?eid=2-s2.0-85137984663&amp;origin=resultslist&amp;sort=plf-f&amp;src=s&amp;citedAuthorId=55888486300&amp;imp=t&amp;sid=804476badfb7da90dd30183397cd72d9&amp;sot=cite&amp;sdt=cite&amp;cluster=scopubyr%2c%222022%22%2ct&amp;sl=0&amp;relpos=12&amp;citeCnt=2&amp;searchTerm=" TargetMode="External"/><Relationship Id="rId208" Type="http://schemas.openxmlformats.org/officeDocument/2006/relationships/hyperlink" Target="https://1510g0de8-y-https-link-springer-com.z.e-nformation.ro/article/10.1007/s00170-022-09435-2" TargetMode="External"/><Relationship Id="rId415" Type="http://schemas.openxmlformats.org/officeDocument/2006/relationships/hyperlink" Target="https://www.sciencedirect.com/science/article/pii/S002002552200024X" TargetMode="External"/><Relationship Id="rId622" Type="http://schemas.openxmlformats.org/officeDocument/2006/relationships/hyperlink" Target="https://www.scopus.com/record/display.uri?eid=2-s2.0-85149120888&amp;origin=resultslist&amp;sort=plf-f" TargetMode="External"/><Relationship Id="rId261" Type="http://schemas.openxmlformats.org/officeDocument/2006/relationships/hyperlink" Target="https://www.mdpi.com/2073-4360/14/12/2388" TargetMode="External"/><Relationship Id="rId499" Type="http://schemas.openxmlformats.org/officeDocument/2006/relationships/hyperlink" Target="https://doi.org/10.37394/23207.2022.19.29" TargetMode="External"/><Relationship Id="rId927" Type="http://schemas.openxmlformats.org/officeDocument/2006/relationships/hyperlink" Target="https://link.springer.com/article/10.1007/s00170-022-09435-2" TargetMode="External"/><Relationship Id="rId56" Type="http://schemas.openxmlformats.org/officeDocument/2006/relationships/hyperlink" Target="https://journals.sagepub.com/doi/10.1177/00219983221109877" TargetMode="External"/><Relationship Id="rId359" Type="http://schemas.openxmlformats.org/officeDocument/2006/relationships/hyperlink" Target="https://151096clp-y-https-www-scopus-com.z.e-nformation.ro/results/citedbyresults.uri?sort=plf-f&amp;refeid=2-s2.0-85097434749&amp;src=s&amp;imp=t&amp;sid=e6757804bb8ba01ac20aa1692de34416&amp;sot=ctocbw&amp;sdt=a&amp;sl=15&amp;s=PUBYEAR+IS+2022&amp;origin=cto&amp;citeCnt=3_DELIM_3_DELIM_CTODS_1655447282_DELIM_1&amp;txGid=b2f189192cab9517371a1e8937a9b0cd" TargetMode="External"/><Relationship Id="rId566" Type="http://schemas.openxmlformats.org/officeDocument/2006/relationships/hyperlink" Target="https://www.sciencedirect.com/science/article/pii/S0278612522001133?casa_token=1kwWNHAzJu4AAAAA:D2RcqU2otJVtpV11WcIvU5BPq3RbBg16VT18qKU1Ao4Xk-sym9mPCoePR1AulxLyPu1NtftIS9w" TargetMode="External"/><Relationship Id="rId773" Type="http://schemas.openxmlformats.org/officeDocument/2006/relationships/hyperlink" Target="https://www.mdpi.com/2076-3417/12/16/8330" TargetMode="External"/><Relationship Id="rId121" Type="http://schemas.openxmlformats.org/officeDocument/2006/relationships/hyperlink" Target="https://hrcak.srce.hr/en/272624" TargetMode="External"/><Relationship Id="rId219" Type="http://schemas.openxmlformats.org/officeDocument/2006/relationships/hyperlink" Target="https://www.sciencedirect.com/science/article/pii/S0032591021010792?via%3Dihub" TargetMode="External"/><Relationship Id="rId426" Type="http://schemas.openxmlformats.org/officeDocument/2006/relationships/hyperlink" Target="https://1510q2wtr-y-https-www-webofscience-com.z.e-nformation.ro/wos/woscc/full-record/WOS:000771018900001" TargetMode="External"/><Relationship Id="rId633" Type="http://schemas.openxmlformats.org/officeDocument/2006/relationships/hyperlink" Target="https://www.sciencedirect.com/science/article/pii/S0169814122000968" TargetMode="External"/><Relationship Id="rId840" Type="http://schemas.openxmlformats.org/officeDocument/2006/relationships/hyperlink" Target="https://www.sciencedirect.com/science/article/pii/S0924013621003253?casa_token=QoEHCZjLWNkAAAAA:MuiRQ3BwQVHzRwlBNOxK_oU57iF_ijUohz3_cf2wdYlU0fUsv0RI5oHOHQJn0TmMI8e72Po" TargetMode="External"/><Relationship Id="rId938" Type="http://schemas.openxmlformats.org/officeDocument/2006/relationships/hyperlink" Target="https://www.scopus.com/record/display.uri?eid=2-s2.0-85126386334&amp;citeCnt=2_DELIM_2_DELIM_CTODS_1657200937_DELIM_1&amp;origin=resultslist&amp;sort=plf-f&amp;refeidnss=2-s2.0-85083291197&amp;src=s&amp;imp=t&amp;sid=f46b749e18bdbfa67b8fa92a3036fe72&amp;sot=ctocbw&amp;sdt=a&amp;sl=64&amp;s=PUBYEAR+AFT+2021+AND+PUBYEAR+BEF+2023+AND+NOT+AU-ID%2857197396119%29&amp;relpos=1&amp;citeCnt=1&amp;searchTerm=" TargetMode="External"/><Relationship Id="rId67" Type="http://schemas.openxmlformats.org/officeDocument/2006/relationships/hyperlink" Target="https://link.springer.com/article/10.1007/s11783-021-1485-4" TargetMode="External"/><Relationship Id="rId272" Type="http://schemas.openxmlformats.org/officeDocument/2006/relationships/hyperlink" Target="https://link.springer.com/article/10.1007/s10765-022-03065-2" TargetMode="External"/><Relationship Id="rId577" Type="http://schemas.openxmlformats.org/officeDocument/2006/relationships/hyperlink" Target="https://link.springer.com/chapter/10.1007/978-3-031-15428-7_17" TargetMode="External"/><Relationship Id="rId700" Type="http://schemas.openxmlformats.org/officeDocument/2006/relationships/hyperlink" Target="https://www.scopus.com/record/display.uri?eid=2-s2.0-85126595990&amp;origin=resultslist&amp;sort=plf-f&amp;src=s&amp;citedAuthorId=23391009700&amp;imp=t&amp;sid=24e52b5636d47e0a205046054798c4fc&amp;sot=cite&amp;sdt=cite&amp;cluster=scopubyr%2c%222022%22%2ct&amp;sl=0&amp;relpos=5&amp;citeCnt=1&amp;searchTerm=" TargetMode="External"/><Relationship Id="rId132" Type="http://schemas.openxmlformats.org/officeDocument/2006/relationships/hyperlink" Target="https://www.emerald.com/insight/content/doi/10.1108/TQM-11-2021-0323/full/html" TargetMode="External"/><Relationship Id="rId784" Type="http://schemas.openxmlformats.org/officeDocument/2006/relationships/hyperlink" Target="https://link.springer.com/chapter/10.1007/978-3-031-14748-7_1" TargetMode="External"/><Relationship Id="rId437" Type="http://schemas.openxmlformats.org/officeDocument/2006/relationships/hyperlink" Target="https://www.scopus.com/record/display.uri?eid=2-s2.0-85121535401&amp;origin=resultslist&amp;sort=plf-f&amp;cite=2-s2.0-84964026901&amp;src=s&amp;imp=t&amp;sid=d0d1334f33fc85975dd911d94a13b0da&amp;sot=cite&amp;sdt=a&amp;sl=0&amp;relpos=0&amp;citeCnt=22&amp;searchTerm=" TargetMode="External"/><Relationship Id="rId644" Type="http://schemas.openxmlformats.org/officeDocument/2006/relationships/hyperlink" Target="https://rria.ici.ro/en/a-multi-criteria-approach-for-the-calculation-of-a-complex-indicator-of-cyber-security-anddigital-development/" TargetMode="External"/><Relationship Id="rId851" Type="http://schemas.openxmlformats.org/officeDocument/2006/relationships/hyperlink" Target="https://www.sciencedirect.com/science/article/pii/S0301679X22001190?casa_token=XO8PQD83K2sAAAAA:sPZoVHK-5Gt6bj6djQc_GfHRycG9rMMqhVy3Zhisk419ShSQBlHIxJjW37NPRSTHgA_qiEU" TargetMode="External"/><Relationship Id="rId283" Type="http://schemas.openxmlformats.org/officeDocument/2006/relationships/hyperlink" Target="https://link.springer.com/article/10.1007/s13563-022-00337-z" TargetMode="External"/><Relationship Id="rId490" Type="http://schemas.openxmlformats.org/officeDocument/2006/relationships/hyperlink" Target="https://doi.org/10.1007/s40430-022-03868-2%C2%A0" TargetMode="External"/><Relationship Id="rId504" Type="http://schemas.openxmlformats.org/officeDocument/2006/relationships/hyperlink" Target="https://www.scopus.com/record/display.uri?eid=2-s2.0-85151066701&amp;origin=resultslist&amp;sort=plf-f&amp;src=s&amp;st1=Cascade+PID+Control+Loop+Implementation+For+Liquid+Tank+Level+in+LabVIEW+PC-Based+Control+Using+Arduino+Mega+as+Data+Acquisition&amp;sid=53d01ec4d064fd6a2e927ab4c31c47b2&amp;sot=b&amp;sdt=b&amp;sl=143&amp;s=TITLE-ABS-KEY%28Cascade+PID+Control+Loop+Implementation+For+Liquid+Tank+Level+in+LabVIEW+PC-Based+Control+Using+Arduino+Mega+as+Data+Acquisition%29&amp;relpos=0&amp;citeCnt=0&amp;searchTerm=" TargetMode="External"/><Relationship Id="rId711" Type="http://schemas.openxmlformats.org/officeDocument/2006/relationships/hyperlink" Target="https://www.webofscience.com/wos/woscc/full-record/WOS:000786631800001" TargetMode="External"/><Relationship Id="rId949" Type="http://schemas.openxmlformats.org/officeDocument/2006/relationships/hyperlink" Target="https://www.webofscience.com/wos/woscc/full-record/WOS:000816071300001" TargetMode="External"/><Relationship Id="rId78" Type="http://schemas.openxmlformats.org/officeDocument/2006/relationships/hyperlink" Target="https://www.spiedigitallibrary.org/conference-proceedings-of-spie/12259/2639158/Barriers-for-sustainable-waste-management-in-Beijing-based-on-a/10.1117/12.2639158.short?SSO=1" TargetMode="External"/><Relationship Id="rId143" Type="http://schemas.openxmlformats.org/officeDocument/2006/relationships/hyperlink" Target="https://iris.unige.it/bitstream/11567/1080584/1/sustainability-14-04721.pdf" TargetMode="External"/><Relationship Id="rId350" Type="http://schemas.openxmlformats.org/officeDocument/2006/relationships/hyperlink" Target="https://1510q6cj3-y-https-www-webofscience-com.z.e-nformation.ro/wos/woscc/summary/b1964fd3-c0cc-46dd-b41d-a8a89f067e4e-92a68be0/date-descending/1" TargetMode="External"/><Relationship Id="rId588" Type="http://schemas.openxmlformats.org/officeDocument/2006/relationships/hyperlink" Target="https://link.springer.com/article/10.1007/s11280-022-01024-3" TargetMode="External"/><Relationship Id="rId795" Type="http://schemas.openxmlformats.org/officeDocument/2006/relationships/hyperlink" Target="https://scholar.google.com/citations?view_op=view_citation&amp;hl=en&amp;user=aYMjNncAAAAJ&amp;sortby=pubdate&amp;citation_for_view=aYMjNncAAAAJ:W7OEmFMy1HYC" TargetMode="External"/><Relationship Id="rId809" Type="http://schemas.openxmlformats.org/officeDocument/2006/relationships/hyperlink" Target="https://www.sciencedirect.com/science/article/pii/S2214785322014572" TargetMode="External"/><Relationship Id="rId9" Type="http://schemas.openxmlformats.org/officeDocument/2006/relationships/hyperlink" Target="https://www.scopus.com/record/display.uri?eid=2-s2.0-85126386334&amp;origin=resultslist&amp;sort=plf-f&amp;src=s&amp;citedAuthorId=55572604000&amp;imp=t&amp;sid=9a4987f3b1ca72d6a356729701704127&amp;sot=cite&amp;sdt=cite&amp;cluster=scopubyr%2c%222022%22%2ct&amp;sl=0&amp;relpos=10&amp;citeCnt=1&amp;searchTerm=" TargetMode="External"/><Relationship Id="rId210" Type="http://schemas.openxmlformats.org/officeDocument/2006/relationships/hyperlink" Target="https://www.mdpi.com/1996-1944/15/4/1458" TargetMode="External"/><Relationship Id="rId448" Type="http://schemas.openxmlformats.org/officeDocument/2006/relationships/hyperlink" Target="https://www.mdpi.com/2076-3417/12/17/8878" TargetMode="External"/><Relationship Id="rId655" Type="http://schemas.openxmlformats.org/officeDocument/2006/relationships/hyperlink" Target="https://www.sciencedirect.com/science/article/pii/S1877050922019044" TargetMode="External"/><Relationship Id="rId862" Type="http://schemas.openxmlformats.org/officeDocument/2006/relationships/hyperlink" Target="https://link.springer.com/article/10.1007/s12289-022-01663-x" TargetMode="External"/><Relationship Id="rId294" Type="http://schemas.openxmlformats.org/officeDocument/2006/relationships/hyperlink" Target="https://www.sciencedirect.com/science/article/pii/S2214509522008099?via%3Dihub" TargetMode="External"/><Relationship Id="rId308" Type="http://schemas.openxmlformats.org/officeDocument/2006/relationships/hyperlink" Target="https://www.sciencedirect.com/science/article/abs/pii/B978012819723300069X?via%3Dihub" TargetMode="External"/><Relationship Id="rId515" Type="http://schemas.openxmlformats.org/officeDocument/2006/relationships/hyperlink" Target="https://www.mdpi.com/2624-6511/5/4/71" TargetMode="External"/><Relationship Id="rId722" Type="http://schemas.openxmlformats.org/officeDocument/2006/relationships/hyperlink" Target="https://www.webofscience.com/wos/woscc/full-record/WOS:000895165300001" TargetMode="External"/><Relationship Id="rId89" Type="http://schemas.openxmlformats.org/officeDocument/2006/relationships/hyperlink" Target="https://www.mdpi.com/2071-1050/14/16/9932" TargetMode="External"/><Relationship Id="rId154" Type="http://schemas.openxmlformats.org/officeDocument/2006/relationships/hyperlink" Target="https://journals.sagepub.com/doi/10.1177/09544089221140218" TargetMode="External"/><Relationship Id="rId361" Type="http://schemas.openxmlformats.org/officeDocument/2006/relationships/hyperlink" Target="https://151096clp-y-https-www-scopus-com.z.e-nformation.ro/results/citedbyresults.uri?sort=plf-f&amp;refeid=2-s2.0-84941800315&amp;src=s&amp;imp=t&amp;sid=2f58b0a1e7889b4f5ff419c527899cca&amp;sot=ctocbw&amp;sdt=a&amp;sl=15&amp;s=PUBYEAR+IS+2022&amp;origin=cto&amp;citeCnt=1_DELIM_1_DELIM_CTODS_1655489458_DELIM_1&amp;txGid=1a2a9fd0cd509a2d3861c094cf84a99b" TargetMode="External"/><Relationship Id="rId599" Type="http://schemas.openxmlformats.org/officeDocument/2006/relationships/hyperlink" Target="https://www.tandfonline.com/doi/abs/10.1080/08993408.2022.2044673" TargetMode="External"/><Relationship Id="rId459" Type="http://schemas.openxmlformats.org/officeDocument/2006/relationships/hyperlink" Target="https://atna-mam.utcluj.ro/index.php/Acta/article/view/1751" TargetMode="External"/><Relationship Id="rId666" Type="http://schemas.openxmlformats.org/officeDocument/2006/relationships/hyperlink" Target="https://www.nowpublishers.com/article/Details/HCI-088" TargetMode="External"/><Relationship Id="rId873" Type="http://schemas.openxmlformats.org/officeDocument/2006/relationships/hyperlink" Target="https://www.mdpi.com/2075-4701/12/1/103" TargetMode="External"/><Relationship Id="rId16" Type="http://schemas.openxmlformats.org/officeDocument/2006/relationships/hyperlink" Target="https://link.springer.com/article/10.1007/s42464-022-00185-0" TargetMode="External"/><Relationship Id="rId221" Type="http://schemas.openxmlformats.org/officeDocument/2006/relationships/hyperlink" Target="https://www.sciencedirect.com/science/article/pii/B978012824344200015X?via%3Dihub" TargetMode="External"/><Relationship Id="rId319" Type="http://schemas.openxmlformats.org/officeDocument/2006/relationships/hyperlink" Target="https://www.hindawi.com/journals/cin/2022/6729608/" TargetMode="External"/><Relationship Id="rId526" Type="http://schemas.openxmlformats.org/officeDocument/2006/relationships/hyperlink" Target="https://www.mdpi.com/2077-0383/11/20/5987" TargetMode="External"/><Relationship Id="rId733" Type="http://schemas.openxmlformats.org/officeDocument/2006/relationships/hyperlink" Target="https://www.sciencedirect.com/science/article/pii/S2214785322014572" TargetMode="External"/><Relationship Id="rId940" Type="http://schemas.openxmlformats.org/officeDocument/2006/relationships/hyperlink" Target="https://www.webofscience.com/wos/woscc/full-record/WOS:000778983800001" TargetMode="External"/><Relationship Id="rId165" Type="http://schemas.openxmlformats.org/officeDocument/2006/relationships/hyperlink" Target="https://www.mdpi.com/1996-1073/15/10/3780" TargetMode="External"/><Relationship Id="rId372" Type="http://schemas.openxmlformats.org/officeDocument/2006/relationships/hyperlink" Target="https://www.sciencedirect.com/science/article/pii/S2666154322001909?pes=vor" TargetMode="External"/><Relationship Id="rId677" Type="http://schemas.openxmlformats.org/officeDocument/2006/relationships/hyperlink" Target="https://link.springer.com/article/10.1007/s10845-021-01753-8" TargetMode="External"/><Relationship Id="rId800" Type="http://schemas.openxmlformats.org/officeDocument/2006/relationships/hyperlink" Target="https://ieeexplore.ieee.org/abstract/document/10011588" TargetMode="External"/><Relationship Id="rId232" Type="http://schemas.openxmlformats.org/officeDocument/2006/relationships/hyperlink" Target="https://link.springer.com/article/10.1007%2Fs00170-022-08753-9" TargetMode="External"/><Relationship Id="rId884" Type="http://schemas.openxmlformats.org/officeDocument/2006/relationships/hyperlink" Target="https://onlinelibrary.wiley.com/doi/abs/10.1002/maco.202213122" TargetMode="External"/><Relationship Id="rId27" Type="http://schemas.openxmlformats.org/officeDocument/2006/relationships/hyperlink" Target="https://www.sciencedirect.com/science/article/pii/S0301479722008519?via%3Dihub" TargetMode="External"/><Relationship Id="rId537" Type="http://schemas.openxmlformats.org/officeDocument/2006/relationships/hyperlink" Target="https://www.aimsciences.org/article/doi/10.3934/jimo.2021149" TargetMode="External"/><Relationship Id="rId744" Type="http://schemas.openxmlformats.org/officeDocument/2006/relationships/hyperlink" Target="https://www.taylorfrancis.com/chapters/edit/10.1201/9781003141426-6/odour-control-inhibition-using-antimicrobial-finishing-rosie-broadhead-laure-craeye-chris-callewaert" TargetMode="External"/><Relationship Id="rId951" Type="http://schemas.openxmlformats.org/officeDocument/2006/relationships/hyperlink" Target="https://www.webofscience.com/wos/woscc/full-record/WOS:000757017000001" TargetMode="External"/><Relationship Id="rId80" Type="http://schemas.openxmlformats.org/officeDocument/2006/relationships/hyperlink" Target="https://www.mdpi.com/2071-1050/14/1/482" TargetMode="External"/><Relationship Id="rId176" Type="http://schemas.openxmlformats.org/officeDocument/2006/relationships/hyperlink" Target="http://www.jeeng.net/Analysis-of-the-Composition-of-Municipal-Wastewater-Sludge-from-Small-Settlements,149896,0,2.html" TargetMode="External"/><Relationship Id="rId383" Type="http://schemas.openxmlformats.org/officeDocument/2006/relationships/hyperlink" Target="https://www.scopus.com/record/display.uri?eid=2-s2.0-84940930011&amp;origin=inward&amp;txGid=32a81de4ed9db0e569591cd7669b6d40" TargetMode="External"/><Relationship Id="rId590" Type="http://schemas.openxmlformats.org/officeDocument/2006/relationships/hyperlink" Target="https://www.mdpi.com/2079-9292/11/9/1384" TargetMode="External"/><Relationship Id="rId604" Type="http://schemas.openxmlformats.org/officeDocument/2006/relationships/hyperlink" Target="https://www.sciencedirect.com/science/article/abs/pii/S0020025521009981" TargetMode="External"/><Relationship Id="rId811" Type="http://schemas.openxmlformats.org/officeDocument/2006/relationships/hyperlink" Target="https://www.sciencedirect.com/science/article/pii/S175558172200044X?casa_token=1nQBpn4SJqAAAAAA:ANdmn7sFx_sYNH-gFh5m968muI286Rap4-IM6z0NrrOT8W-0pzoTEX9VfRNu8sM5SzOzYUo" TargetMode="External"/><Relationship Id="rId243" Type="http://schemas.openxmlformats.org/officeDocument/2006/relationships/hyperlink" Target="https://www.mdpi.com/2073-4360/14/5/1050/htm" TargetMode="External"/><Relationship Id="rId450" Type="http://schemas.openxmlformats.org/officeDocument/2006/relationships/hyperlink" Target="https://doi.org/10.1002/pat.5884" TargetMode="External"/><Relationship Id="rId688" Type="http://schemas.openxmlformats.org/officeDocument/2006/relationships/hyperlink" Target="https://www.scopus.com/record/display.uri?eid=2-s2.0-85136935243&amp;origin=resultslist&amp;sort=plf-f" TargetMode="External"/><Relationship Id="rId895" Type="http://schemas.openxmlformats.org/officeDocument/2006/relationships/hyperlink" Target="https://www.sciencedirect.com/science/article/pii/S1350630722001029?casa_token=AtPzquezc4EAAAAA:dcLx9kJ83jzkl4BJ1-VM_cmQduPXpy4B2rLQX-HSJihYYvtWpnS0S8wztUgsFEDSqzNjvCs" TargetMode="External"/><Relationship Id="rId909" Type="http://schemas.openxmlformats.org/officeDocument/2006/relationships/hyperlink" Target="https://www.mdpi.com/2076-3417/12/13/6636" TargetMode="External"/><Relationship Id="rId38" Type="http://schemas.openxmlformats.org/officeDocument/2006/relationships/hyperlink" Target="https://pubs.acs.org/doi/10.1021/acs.iecr.1c03240" TargetMode="External"/><Relationship Id="rId103" Type="http://schemas.openxmlformats.org/officeDocument/2006/relationships/hyperlink" Target="https://www.mdpi.com/2071-1050/14/19/12050" TargetMode="External"/><Relationship Id="rId310" Type="http://schemas.openxmlformats.org/officeDocument/2006/relationships/hyperlink" Target="https://doi.org/10.33258/birci.v5i3.6601" TargetMode="External"/><Relationship Id="rId548" Type="http://schemas.openxmlformats.org/officeDocument/2006/relationships/hyperlink" Target="https://www.sciencedirect.com/science/article/pii/S0020025521009981" TargetMode="External"/><Relationship Id="rId755" Type="http://schemas.openxmlformats.org/officeDocument/2006/relationships/hyperlink" Target="https://www.scopus.com/record/display.uri?eid=2-s2.0-85123124375&amp;origin=resultslist&amp;sort=plf-f&amp;cite=2-s2.0-84891707567&amp;src=s&amp;imp=t&amp;sid=8dfaef38d2b3d0daeef51206117d184b&amp;sot=cite&amp;sdt=a&amp;sl=0&amp;relpos=5&amp;citeCnt=0&amp;searchTerm=" TargetMode="External"/><Relationship Id="rId962" Type="http://schemas.openxmlformats.org/officeDocument/2006/relationships/hyperlink" Target="https://1510q0cc7-y-https-www-webofscience-com.z.e-nformation.ro/wos/author/record/29085890" TargetMode="External"/><Relationship Id="rId91" Type="http://schemas.openxmlformats.org/officeDocument/2006/relationships/hyperlink" Target="https://eprints.bournemouth.ac.uk/37980/7/JBR_TamilNadu%20accepted.pdf" TargetMode="External"/><Relationship Id="rId187" Type="http://schemas.openxmlformats.org/officeDocument/2006/relationships/hyperlink" Target="https://www.scopus.com/record/display.uri?eid=2-s2.0-85150682068&amp;origin=resultslist&amp;sort=plf-f&amp;src=s&amp;citedAuthorId=55888486300&amp;imp=t&amp;sid=804476badfb7da90dd30183397cd72d9&amp;sot=cite&amp;sdt=cite&amp;cluster=scopubyr%2c%222022%22%2ct&amp;sl=0&amp;relpos=8&amp;citeCnt=0&amp;searchTerm=" TargetMode="External"/><Relationship Id="rId394" Type="http://schemas.openxmlformats.org/officeDocument/2006/relationships/hyperlink" Target="https://atna-mam.utcluj.ro/index.php/Acta/article/view/2066" TargetMode="External"/><Relationship Id="rId408" Type="http://schemas.openxmlformats.org/officeDocument/2006/relationships/hyperlink" Target="https://xjournals.com/collections/articles/Article?qt=EWFhyPlN0z/ZAdoz4wSKI3tEwKzbZUqjd1gl5dQPVrlS4Rxo6WR7GylaflEvJ21J" TargetMode="External"/><Relationship Id="rId615" Type="http://schemas.openxmlformats.org/officeDocument/2006/relationships/hyperlink" Target="https://www.webofscience.com/wos/woscc/full-record/WOS:000775227200039" TargetMode="External"/><Relationship Id="rId822" Type="http://schemas.openxmlformats.org/officeDocument/2006/relationships/hyperlink" Target="https://link.springer.com/article/10.1007/s12289-022-01712-5" TargetMode="External"/><Relationship Id="rId254" Type="http://schemas.openxmlformats.org/officeDocument/2006/relationships/hyperlink" Target="https://www.mdpi.com/1996-1944/15/9/3243" TargetMode="External"/><Relationship Id="rId699" Type="http://schemas.openxmlformats.org/officeDocument/2006/relationships/hyperlink" Target="https://ieeexplore.ieee.org/document/9805869%20%20,%20Scopus%20-%20Document%20details%20-%20Extending%20Sniper%20with%20Support%20to%20Access%20Operand%20Values:%20A%20Case%20Study%20on%20Reusability%20Measurement%20%7C%20Signed%20in" TargetMode="External"/><Relationship Id="rId49" Type="http://schemas.openxmlformats.org/officeDocument/2006/relationships/hyperlink" Target="https://www.tandfonline.com/doi/full/10.1080/1331677X.2022.2125889" TargetMode="External"/><Relationship Id="rId114" Type="http://schemas.openxmlformats.org/officeDocument/2006/relationships/hyperlink" Target="https://arts.units.it/bitstream/11368/3013730/1/risks-10-00048-v2.pdf" TargetMode="External"/><Relationship Id="rId461" Type="http://schemas.openxmlformats.org/officeDocument/2006/relationships/hyperlink" Target="https://doi.org/10.1007/s11696-022-02152-w" TargetMode="External"/><Relationship Id="rId559" Type="http://schemas.openxmlformats.org/officeDocument/2006/relationships/hyperlink" Target="https://www.sciencedirect.com/science/article/pii/S2210670722003018" TargetMode="External"/><Relationship Id="rId766" Type="http://schemas.openxmlformats.org/officeDocument/2006/relationships/hyperlink" Target="https://www.webofscience.com/wos/woscc/full-record/WOS:000788110000002" TargetMode="External"/><Relationship Id="rId198" Type="http://schemas.openxmlformats.org/officeDocument/2006/relationships/hyperlink" Target="https://journals.sagepub.com/doi/10.1177/09544062221133674" TargetMode="External"/><Relationship Id="rId321" Type="http://schemas.openxmlformats.org/officeDocument/2006/relationships/hyperlink" Target="https://www.emerald.com/insight/content/doi/10.1108/ER-03-2020-0099/full/html" TargetMode="External"/><Relationship Id="rId419" Type="http://schemas.openxmlformats.org/officeDocument/2006/relationships/hyperlink" Target="https://ui.adsabs.harvard.edu/abs/2022SPIE12492E..0EL/abstract" TargetMode="External"/><Relationship Id="rId626" Type="http://schemas.openxmlformats.org/officeDocument/2006/relationships/hyperlink" Target="https://link.springer.com/chapter/10.1007/978-3-031-18645-5_24" TargetMode="External"/><Relationship Id="rId833" Type="http://schemas.openxmlformats.org/officeDocument/2006/relationships/hyperlink" Target="https://link.springer.com/article/10.1007/s40430-022-03508-9" TargetMode="External"/><Relationship Id="rId265" Type="http://schemas.openxmlformats.org/officeDocument/2006/relationships/hyperlink" Target="https://www.actalogistica.eu/issues/2022/II_2022_09_Oubrahim_Sefiani_Happonen.pdf" TargetMode="External"/><Relationship Id="rId472" Type="http://schemas.openxmlformats.org/officeDocument/2006/relationships/hyperlink" Target="https://doi.org/10.1016/j.scienta.2021.110838%C2%A0" TargetMode="External"/><Relationship Id="rId900" Type="http://schemas.openxmlformats.org/officeDocument/2006/relationships/hyperlink" Target="https://www.mdpi.com/1996-1944/15/2/566" TargetMode="External"/><Relationship Id="rId125" Type="http://schemas.openxmlformats.org/officeDocument/2006/relationships/hyperlink" Target="https://dspace.lib.cranfield.ac.uk/bitstream/handle/1826/18580/Circular_economy_adoption_challenges-2022.pdf;jsessionid=2EAED3E68DE4FF28976D5C44F2737A10?sequence=1" TargetMode="External"/><Relationship Id="rId332" Type="http://schemas.openxmlformats.org/officeDocument/2006/relationships/hyperlink" Target="https://1510q6ck8-y-https-www-webofscience-com.z.e-nformation.ro/wos/woscc/full-record/WOS:000746780200001" TargetMode="External"/><Relationship Id="rId777" Type="http://schemas.openxmlformats.org/officeDocument/2006/relationships/hyperlink" Target="https://link.springer.com/article/10.1007/s10479-022-04775-4" TargetMode="External"/><Relationship Id="rId637" Type="http://schemas.openxmlformats.org/officeDocument/2006/relationships/hyperlink" Target="https://link.springer.com/chapter/10.1007/978-3-030-99108-1_16" TargetMode="External"/><Relationship Id="rId844" Type="http://schemas.openxmlformats.org/officeDocument/2006/relationships/hyperlink" Target="https://journals.sagepub.com/doi/abs/10.1177/09544062221081999?journalCode=picb" TargetMode="External"/><Relationship Id="rId276" Type="http://schemas.openxmlformats.org/officeDocument/2006/relationships/hyperlink" Target="https://www.sciencedirect.com/science/article/pii/S254250482200032X?via%3Dihub" TargetMode="External"/><Relationship Id="rId483" Type="http://schemas.openxmlformats.org/officeDocument/2006/relationships/hyperlink" Target="https://doi.org/10.1504/IJNT.2022.128962%C2%A0" TargetMode="External"/><Relationship Id="rId690" Type="http://schemas.openxmlformats.org/officeDocument/2006/relationships/hyperlink" Target="https://www.scopus.com/record/display.uri?eid=2-s2.0-85120802635&amp;origin=resultslist&amp;sort=plf-f" TargetMode="External"/><Relationship Id="rId704" Type="http://schemas.openxmlformats.org/officeDocument/2006/relationships/hyperlink" Target="https://www.scopus.com/record/display.uri?eid=2-s2.0-85127291162&amp;origin=resultslist&amp;sort=plf-f&amp;src=s&amp;nlo=&amp;nlr=&amp;nls=&amp;citedAuthorId=56184609800&amp;imp=t&amp;sid=19e9dfcc5f518037df097b68e0fd311a&amp;sot=cite&amp;sdt=cl&amp;cluster=scopubyr%2c%222022%22%2ct&amp;sl=0&amp;relpos=1&amp;citeCnt=6&amp;searchTerm=" TargetMode="External"/><Relationship Id="rId911" Type="http://schemas.openxmlformats.org/officeDocument/2006/relationships/hyperlink" Target="https://www.scientific.net/MSF.1054.129" TargetMode="External"/><Relationship Id="rId40" Type="http://schemas.openxmlformats.org/officeDocument/2006/relationships/hyperlink" Target="https://link.springer.com/article/10.1007/s11356-022-18494-7" TargetMode="External"/><Relationship Id="rId136" Type="http://schemas.openxmlformats.org/officeDocument/2006/relationships/hyperlink" Target="https://www.webofscience.com/wos/woscc/full-record/WOS:000782839500003" TargetMode="External"/><Relationship Id="rId343" Type="http://schemas.openxmlformats.org/officeDocument/2006/relationships/hyperlink" Target="https://1510q6cj3-y-https-www-webofscience-com.z.e-nformation.ro/wos/woscc/summary/fe30fcf8-fc0a-437f-bdda-fc155eb6ed5f-92a50ab1/date-descending/1" TargetMode="External"/><Relationship Id="rId550" Type="http://schemas.openxmlformats.org/officeDocument/2006/relationships/hyperlink" Target="https://onlinelibrary.wiley.com/doi/abs/10.1002/int.22797" TargetMode="External"/><Relationship Id="rId788" Type="http://schemas.openxmlformats.org/officeDocument/2006/relationships/hyperlink" Target="https://ieeexplore.ieee.org/abstract/document/10059815" TargetMode="External"/><Relationship Id="rId203" Type="http://schemas.openxmlformats.org/officeDocument/2006/relationships/hyperlink" Target="https://1510a07f6-y-https-www-sciencedirect-com.z.e-nformation.ro/science/article/pii/S2214785322015450?via%3Dihub" TargetMode="External"/><Relationship Id="rId648" Type="http://schemas.openxmlformats.org/officeDocument/2006/relationships/hyperlink" Target="https://www.tandfonline.com/doi/full/10.1080/0960085X.2022.2073278" TargetMode="External"/><Relationship Id="rId855" Type="http://schemas.openxmlformats.org/officeDocument/2006/relationships/hyperlink" Target="https://link.springer.com/article/10.1007/s00170-022-08881-2" TargetMode="External"/><Relationship Id="rId287" Type="http://schemas.openxmlformats.org/officeDocument/2006/relationships/hyperlink" Target="https://link.springer.com/chapter/10.1007/978-3-031-14748-7_1" TargetMode="External"/><Relationship Id="rId410" Type="http://schemas.openxmlformats.org/officeDocument/2006/relationships/hyperlink" Target="https://www.tandfonline.com/doi/full/10.1080/23311916.2022.2085002" TargetMode="External"/><Relationship Id="rId494" Type="http://schemas.openxmlformats.org/officeDocument/2006/relationships/hyperlink" Target="https://doi.org/10.1080/1331677X.2022.2058976" TargetMode="External"/><Relationship Id="rId508" Type="http://schemas.openxmlformats.org/officeDocument/2006/relationships/hyperlink" Target="https://www.webofscience.com/wos/woscc/full-record/WOS:000856208100001" TargetMode="External"/><Relationship Id="rId715" Type="http://schemas.openxmlformats.org/officeDocument/2006/relationships/hyperlink" Target="https://www.scopus.com/record/display.uri?eid=2-s2.0-85145603142&amp;origin=resultslist&amp;sort=plf-f&amp;cite=2-s2.0-84876059136&amp;src=s&amp;imp=t&amp;sid=959c0835ce8b719a2901720576c72ba0&amp;sot=cite&amp;sdt=a&amp;sl=0&amp;relpos=0&amp;citeCnt=0&amp;searchTerm=" TargetMode="External"/><Relationship Id="rId922" Type="http://schemas.openxmlformats.org/officeDocument/2006/relationships/hyperlink" Target="https://www.sciencedirect.com/science/article/pii/S2214785322014572" TargetMode="External"/><Relationship Id="rId147" Type="http://schemas.openxmlformats.org/officeDocument/2006/relationships/hyperlink" Target="https://setac.onlinelibrary.wiley.com/doi/10.1002/ieam.4621" TargetMode="External"/><Relationship Id="rId354" Type="http://schemas.openxmlformats.org/officeDocument/2006/relationships/hyperlink" Target="https://1510q6cj3-y-https-www-webofscience-com.z.e-nformation.ro/wos/woscc/summary/cffc65d2-5ced-41c8-9bb8-421d1411cf8e-92a6dd37/date-descending/1" TargetMode="External"/><Relationship Id="rId799" Type="http://schemas.openxmlformats.org/officeDocument/2006/relationships/hyperlink" Target="https://www.scopus.com/record/display.uri?eid=2-s2.0-85127569219&amp;origin=resultslist&amp;sort=plf-f&amp;cite=2-s2.0-85051457933&amp;src=s&amp;imp=t&amp;sid=7436e535464cc4717180d07461997527&amp;sot=cite&amp;sdt=a&amp;sl=0&amp;relpos=0&amp;citeCnt=0&amp;searchTerm=" TargetMode="External"/><Relationship Id="rId51" Type="http://schemas.openxmlformats.org/officeDocument/2006/relationships/hyperlink" Target="https://www.frontiersin.org/articles/10.3389/fenvs.2022.1006170/full" TargetMode="External"/><Relationship Id="rId561" Type="http://schemas.openxmlformats.org/officeDocument/2006/relationships/hyperlink" Target="https://www.tandfonline.com/doi/abs/10.1080/08993408.2022.2044673?journalCode=ncse20" TargetMode="External"/><Relationship Id="rId659" Type="http://schemas.openxmlformats.org/officeDocument/2006/relationships/hyperlink" Target="https://www.techscience.com/CMES/v131n3/47386/html" TargetMode="External"/><Relationship Id="rId866" Type="http://schemas.openxmlformats.org/officeDocument/2006/relationships/hyperlink" Target="https://www.mdpi.com/1996-1944/15/17/5985" TargetMode="External"/><Relationship Id="rId214" Type="http://schemas.openxmlformats.org/officeDocument/2006/relationships/hyperlink" Target="https://www.sciencedirect.com/science/article/pii/S0009250921007028" TargetMode="External"/><Relationship Id="rId298" Type="http://schemas.openxmlformats.org/officeDocument/2006/relationships/hyperlink" Target="https://4spepublications.onlinelibrary.wiley.com/doi/abs/10.1002/pen.26171" TargetMode="External"/><Relationship Id="rId421" Type="http://schemas.openxmlformats.org/officeDocument/2006/relationships/hyperlink" Target="https://ieeexplore.ieee.org/abstract/document/10083444" TargetMode="External"/><Relationship Id="rId519" Type="http://schemas.openxmlformats.org/officeDocument/2006/relationships/hyperlink" Target="https://www.sciencedirect.com/science/article/pii/S0960148122001902" TargetMode="External"/><Relationship Id="rId158" Type="http://schemas.openxmlformats.org/officeDocument/2006/relationships/hyperlink" Target="https://www.sciencedirect.com/science/article/pii/S1110016822002915?via%3Dihub" TargetMode="External"/><Relationship Id="rId726" Type="http://schemas.openxmlformats.org/officeDocument/2006/relationships/hyperlink" Target="https://www.scopus.com/record/display.uri?eid=2-s2.0-85147545786&amp;origin=resultslist&amp;sort=cp-f&amp;src=s&amp;st1=Mecanum+Wheel+Robotic+Platform+for+Educational+Purposes%3a+A+Cost-Effective+Approach&amp;sid=472497ff529ebcef47bf75c4bc031e20&amp;sot=b&amp;sdt=b&amp;sl=97&amp;s=TITLE-ABS-KEY%28Mecanum+Wheel+Robotic+Platform+for+Educational+Purposes%3a+A+Cost-Effective+Approach%29&amp;relpos=0&amp;citeCnt=0&amp;searchTerm=" TargetMode="External"/><Relationship Id="rId933" Type="http://schemas.openxmlformats.org/officeDocument/2006/relationships/hyperlink" Target="https://asmedigitalcollection.asme.org/manufacturingscience/article-abstract/144/11/110802/1141317/A-Comprehensive-Review-on-Experimental-Conditions" TargetMode="External"/><Relationship Id="rId62" Type="http://schemas.openxmlformats.org/officeDocument/2006/relationships/hyperlink" Target="https://www.sciencedirect.com/science/article/abs/pii/S0019850122000955?via%3Dihub" TargetMode="External"/><Relationship Id="rId365" Type="http://schemas.openxmlformats.org/officeDocument/2006/relationships/hyperlink" Target="https://1510q6d2m-y-https-www-webofscience-com.z.e-nformation.ro/wos/woscc/summary/7bf858b6-b930-4df9-922c-77be8e725343-92c30385/relevance/1" TargetMode="External"/><Relationship Id="rId572" Type="http://schemas.openxmlformats.org/officeDocument/2006/relationships/hyperlink" Target="https://link.springer.com/chapter/10.1007/978-3-030-99235-4_4" TargetMode="External"/><Relationship Id="rId225" Type="http://schemas.openxmlformats.org/officeDocument/2006/relationships/hyperlink" Target="https://www.mdpi.com/2076-3417/12/2/871" TargetMode="External"/><Relationship Id="rId432" Type="http://schemas.openxmlformats.org/officeDocument/2006/relationships/hyperlink" Target="https://www.webofscience.com/wos/woscc/full-record/WOS:000879700100001" TargetMode="External"/><Relationship Id="rId877" Type="http://schemas.openxmlformats.org/officeDocument/2006/relationships/hyperlink" Target="https://journals.sagepub.com/doi/abs/10.1177/09544062221075987?journalCode=picb" TargetMode="External"/><Relationship Id="rId737" Type="http://schemas.openxmlformats.org/officeDocument/2006/relationships/hyperlink" Target="https://www.webofscience.com/wos/woscc/full-record/WOS:000757017000001" TargetMode="External"/><Relationship Id="rId944" Type="http://schemas.openxmlformats.org/officeDocument/2006/relationships/hyperlink" Target="https://www.sciencedirect.com/science/article/pii/S2214785322014572" TargetMode="External"/><Relationship Id="rId73" Type="http://schemas.openxmlformats.org/officeDocument/2006/relationships/hyperlink" Target="https://link.springer.com/article/10.1007/s10668-022-02134-8" TargetMode="External"/><Relationship Id="rId169" Type="http://schemas.openxmlformats.org/officeDocument/2006/relationships/hyperlink" Target="https://pubs.acs.org/doi/10.1021/acssuschemeng.1c07793" TargetMode="External"/><Relationship Id="rId376" Type="http://schemas.openxmlformats.org/officeDocument/2006/relationships/hyperlink" Target="https://1510g6e9j-y-https-link-springer-com.z.e-nformation.ro/article/10.1007/s11998-021-00580-z" TargetMode="External"/><Relationship Id="rId583" Type="http://schemas.openxmlformats.org/officeDocument/2006/relationships/hyperlink" Target="https://link.springer.com/article/10.1007/s00521-022-07320-3" TargetMode="External"/><Relationship Id="rId790" Type="http://schemas.openxmlformats.org/officeDocument/2006/relationships/hyperlink" Target="https://scholar.google.com/citations?view_op=view_citation&amp;hl=en&amp;user=aYMjNncAAAAJ&amp;sortby=pubdate&amp;citation_for_view=aYMjNncAAAAJ:LkGwnXOMwfcC" TargetMode="External"/><Relationship Id="rId804" Type="http://schemas.openxmlformats.org/officeDocument/2006/relationships/hyperlink" Target="https://www.scopus.com/record/display.uri?eid=2-s2.0-85143365758&amp;origin=resultslist&amp;sort=plf-f&amp;cite=2-s2.0-85081055133&amp;src=s&amp;imp=t&amp;sid=54ae3b2a0248bdd52d62f9f6f33e339e&amp;sot=cite&amp;sdt=a&amp;sl=0&amp;relpos=0&amp;citeCnt=0&amp;searchTerm=" TargetMode="External"/><Relationship Id="rId4" Type="http://schemas.openxmlformats.org/officeDocument/2006/relationships/hyperlink" Target="https://doi.org/10.1016/j.jmapro.2022.05.011" TargetMode="External"/><Relationship Id="rId236" Type="http://schemas.openxmlformats.org/officeDocument/2006/relationships/hyperlink" Target="https://www.sciencedirect.com/science/article/abs/pii/S0032591021010792" TargetMode="External"/><Relationship Id="rId443" Type="http://schemas.openxmlformats.org/officeDocument/2006/relationships/hyperlink" Target="https://www.scopus.com/record/display.uri?eid=2-s2.0-85146943712&amp;origin=resultslist&amp;sort=plf-f&amp;src=s&amp;st1=A+Comprehensive+Study%3a+Image+Forensic+Analysis+Traditional+to+Cognitive+Image+Processing&amp;sid=d6a6be4fb2853cb4b923b227b501e279&amp;sot=b&amp;sdt=b&amp;sl=95&amp;s=TITLE%28A+Comprehensive+Study%3a+Image+Forensic+Analysis+Traditional+to+Cognitive+Image+Processing%29&amp;relpos=0&amp;citeCnt=0&amp;searchTerm=" TargetMode="External"/><Relationship Id="rId650" Type="http://schemas.openxmlformats.org/officeDocument/2006/relationships/hyperlink" Target="https://www.mdpi.com/1099-4300/24/5/642" TargetMode="External"/><Relationship Id="rId888" Type="http://schemas.openxmlformats.org/officeDocument/2006/relationships/hyperlink" Target="https://link.springer.com/article/10.1007/s12289-022-01712-5" TargetMode="External"/><Relationship Id="rId303" Type="http://schemas.openxmlformats.org/officeDocument/2006/relationships/hyperlink" Target="https://link.springer.com/chapter/10.1007/978-3-031-14748-7_1" TargetMode="External"/><Relationship Id="rId748" Type="http://schemas.openxmlformats.org/officeDocument/2006/relationships/hyperlink" Target="https://www.scopus.com/record/display.uri?eid=2-s2.0-85118503492&amp;origin=resultslist&amp;sort=plf-f&amp;cite=2-s2.0-84891707567&amp;src=s&amp;imp=t&amp;sid=8dfaef38d2b3d0daeef51206117d184b&amp;sot=cite&amp;sdt=a&amp;sl=0&amp;relpos=10&amp;citeCnt=7&amp;searchTerm=" TargetMode="External"/><Relationship Id="rId955" Type="http://schemas.openxmlformats.org/officeDocument/2006/relationships/hyperlink" Target="https://www.webofscience.com/wos/woscc/full-record/WOS:000778745000016" TargetMode="External"/><Relationship Id="rId84" Type="http://schemas.openxmlformats.org/officeDocument/2006/relationships/hyperlink" Target="https://link.springer.com/article/10.1007/s11356-022-18772-4" TargetMode="External"/><Relationship Id="rId387" Type="http://schemas.openxmlformats.org/officeDocument/2006/relationships/hyperlink" Target="https://link.springer.com/article/10.1007/s10965-022-03167-3" TargetMode="External"/><Relationship Id="rId510" Type="http://schemas.openxmlformats.org/officeDocument/2006/relationships/hyperlink" Target="https://www.webofscience.com/wos/woscc/full-record/WOS:000787503000001" TargetMode="External"/><Relationship Id="rId594" Type="http://schemas.openxmlformats.org/officeDocument/2006/relationships/hyperlink" Target="https://www.mdpi.com/2076-3417/12/8/3887" TargetMode="External"/><Relationship Id="rId608" Type="http://schemas.openxmlformats.org/officeDocument/2006/relationships/hyperlink" Target="http://www.epstem.net/en/pub/issue/74773/1224036" TargetMode="External"/><Relationship Id="rId815" Type="http://schemas.openxmlformats.org/officeDocument/2006/relationships/hyperlink" Target="https://link.springer.com/article/10.1007/s00170-022-09600-7" TargetMode="External"/><Relationship Id="rId247" Type="http://schemas.openxmlformats.org/officeDocument/2006/relationships/hyperlink" Target="https://www.tandfonline.com/doi/full/10.1080/1331677X.2022.2053785" TargetMode="External"/><Relationship Id="rId899" Type="http://schemas.openxmlformats.org/officeDocument/2006/relationships/hyperlink" Target="https://scholar.valpo.edu/jmms/vol9/iss1/15/" TargetMode="External"/><Relationship Id="rId107" Type="http://schemas.openxmlformats.org/officeDocument/2006/relationships/hyperlink" Target="https://pub.h-brs.de/frontdoor/deliver/index/docId/6122/file/sustainability-14-02727.pdf" TargetMode="External"/><Relationship Id="rId454" Type="http://schemas.openxmlformats.org/officeDocument/2006/relationships/hyperlink" Target="https://doi.org/10.1080/00914037.2022.2071271%C2%A0" TargetMode="External"/><Relationship Id="rId661" Type="http://schemas.openxmlformats.org/officeDocument/2006/relationships/hyperlink" Target="https://www.sciencedirect.com/science/article/pii/S0278612522001376" TargetMode="External"/><Relationship Id="rId759" Type="http://schemas.openxmlformats.org/officeDocument/2006/relationships/hyperlink" Target="https://www.webofscience.com/wos/woscc/full-record/WOS:000803213900001" TargetMode="External"/><Relationship Id="rId11" Type="http://schemas.openxmlformats.org/officeDocument/2006/relationships/hyperlink" Target="https://www.sciencedirect.com/science/article/pii/S0043135422014737?via%3Dihub" TargetMode="External"/><Relationship Id="rId314" Type="http://schemas.openxmlformats.org/officeDocument/2006/relationships/hyperlink" Target="http://bm.vgtu.lt/index.php/verslas/2022/paper/view/820" TargetMode="External"/><Relationship Id="rId398" Type="http://schemas.openxmlformats.org/officeDocument/2006/relationships/hyperlink" Target="https://www.scopus.com/record/display.uri?eid=2-s2.0-85149183254&amp;origin=resultslist&amp;sort=plf-f&amp;src=s&amp;citedAuthorId=55572604000&amp;imp=t&amp;sid=9a4987f3b1ca72d6a356729701704127&amp;sot=cite&amp;sdt=cite&amp;cluster=scopubyr%2c%222022%22%2ct&amp;sl=0&amp;relpos=3&amp;citeCnt=0&amp;searchTerm=" TargetMode="External"/><Relationship Id="rId521" Type="http://schemas.openxmlformats.org/officeDocument/2006/relationships/hyperlink" Target="https://www.mdpi.com/1996-1944/15/2/566" TargetMode="External"/><Relationship Id="rId619" Type="http://schemas.openxmlformats.org/officeDocument/2006/relationships/hyperlink" Target="https://www.webofscience.com/wos/woscc/full-record/WOS:000858712900030" TargetMode="External"/><Relationship Id="rId95" Type="http://schemas.openxmlformats.org/officeDocument/2006/relationships/hyperlink" Target="https://www.mdpi.com/2071-1050/14/3/1222" TargetMode="External"/><Relationship Id="rId160" Type="http://schemas.openxmlformats.org/officeDocument/2006/relationships/hyperlink" Target="https://www.ncbi.nlm.nih.gov/pmc/articles/PMC8999871/" TargetMode="External"/><Relationship Id="rId826" Type="http://schemas.openxmlformats.org/officeDocument/2006/relationships/hyperlink" Target="https://link.springer.com/article/10.1007/s00170-021-08583-1" TargetMode="External"/><Relationship Id="rId258" Type="http://schemas.openxmlformats.org/officeDocument/2006/relationships/hyperlink" Target="https://www.sciendo.com/article/10.2478/mspe-2022-0017" TargetMode="External"/><Relationship Id="rId465" Type="http://schemas.openxmlformats.org/officeDocument/2006/relationships/hyperlink" Target="https://doi.org/10.7536/pc210345" TargetMode="External"/><Relationship Id="rId672" Type="http://schemas.openxmlformats.org/officeDocument/2006/relationships/hyperlink" Target="https://www.webofscience.com/wos/woscc/full-record/WOS:000781336500008" TargetMode="External"/><Relationship Id="rId22" Type="http://schemas.openxmlformats.org/officeDocument/2006/relationships/hyperlink" Target="https://dialnet.unirioja.es/servlet/articulo?codigo=8583096" TargetMode="External"/><Relationship Id="rId118" Type="http://schemas.openxmlformats.org/officeDocument/2006/relationships/hyperlink" Target="https://jukuri.luke.fi/bitstream/handle/10024/551495/Peura_et_al_2022.pdf;jsessionid=8DE6E6A973BF79A1AE1515F1710BED21?sequence=1" TargetMode="External"/><Relationship Id="rId325" Type="http://schemas.openxmlformats.org/officeDocument/2006/relationships/hyperlink" Target="https://1510q41ch-y-https-www-webofscience-com.z.e-nformation.ro/wos/woscc/full-record/WOS:000650854100001" TargetMode="External"/><Relationship Id="rId532" Type="http://schemas.openxmlformats.org/officeDocument/2006/relationships/hyperlink" Target="https://www.mdpi.com/2071-1050/14/23/16308" TargetMode="External"/><Relationship Id="rId171" Type="http://schemas.openxmlformats.org/officeDocument/2006/relationships/hyperlink" Target="https://link.springer.com/article/10.1007/s10490-022-09839-4" TargetMode="External"/><Relationship Id="rId837" Type="http://schemas.openxmlformats.org/officeDocument/2006/relationships/hyperlink" Target="https://www.scientific.net/KEM.926.815" TargetMode="External"/><Relationship Id="rId269" Type="http://schemas.openxmlformats.org/officeDocument/2006/relationships/hyperlink" Target="https://link.springer.com/article/10.1007/s10965-022-03167-3" TargetMode="External"/><Relationship Id="rId476" Type="http://schemas.openxmlformats.org/officeDocument/2006/relationships/hyperlink" Target="https://doi.org/10.1155/2022/5779840%C2%A0" TargetMode="External"/><Relationship Id="rId683" Type="http://schemas.openxmlformats.org/officeDocument/2006/relationships/hyperlink" Target="https://www.mdpi.com/1424-8220/22/2/495" TargetMode="External"/><Relationship Id="rId890" Type="http://schemas.openxmlformats.org/officeDocument/2006/relationships/hyperlink" Target="https://www.mdpi.com/1996-1944/15/17/5985" TargetMode="External"/><Relationship Id="rId904" Type="http://schemas.openxmlformats.org/officeDocument/2006/relationships/hyperlink" Target="https://www.spandidos-publications.com/10.3892/etm.2021.10951" TargetMode="External"/><Relationship Id="rId33" Type="http://schemas.openxmlformats.org/officeDocument/2006/relationships/hyperlink" Target="https://onlinelibrary.wiley.com/doi/10.1002/mame.202100944" TargetMode="External"/><Relationship Id="rId129" Type="http://schemas.openxmlformats.org/officeDocument/2006/relationships/hyperlink" Target="https://findresearcher.sdu.dk/ws/files/202688234/jogh_12_03031.pdf" TargetMode="External"/><Relationship Id="rId336" Type="http://schemas.openxmlformats.org/officeDocument/2006/relationships/hyperlink" Target="https://1510q6ck8-y-https-www-webofscience-com.z.e-nformation.ro/wos/woscc/full-record/WOS:000873468800001" TargetMode="External"/><Relationship Id="rId543" Type="http://schemas.openxmlformats.org/officeDocument/2006/relationships/hyperlink" Target="https://www.mdpi.com/1660-4601/19/2/622" TargetMode="External"/><Relationship Id="rId182" Type="http://schemas.openxmlformats.org/officeDocument/2006/relationships/hyperlink" Target="https://www.scopus.com/record/display.uri?eid=2-s2.0-85132549942&amp;origin=resultslist&amp;sort=plf-f&amp;src=s&amp;citedAuthorId=55888486300&amp;imp=t&amp;sid=db3d9443c69df32184b1a83c108c44de&amp;sot=cite&amp;sdt=cite&amp;cluster=scopubyr%2c%222022%22%2ct&amp;sl=0&amp;relpos=3&amp;citeCnt=2&amp;searchTerm=" TargetMode="External"/><Relationship Id="rId403" Type="http://schemas.openxmlformats.org/officeDocument/2006/relationships/hyperlink" Target="https://www.scopus.com/record/display.uri?eid=2-s2.0-85126386334&amp;origin=resultslist&amp;sort=plf-f&amp;src=s&amp;citedAuthorId=55572604000&amp;imp=t&amp;sid=9a4987f3b1ca72d6a356729701704127&amp;sot=cite&amp;sdt=cite&amp;cluster=scopubyr%2c%222022%22%2ct&amp;sl=0&amp;relpos=10&amp;citeCnt=1&amp;searchTerm=" TargetMode="External"/><Relationship Id="rId750" Type="http://schemas.openxmlformats.org/officeDocument/2006/relationships/hyperlink" Target="https://www.scopus.com/record/display.uri?eid=2-s2.0-85140894644&amp;origin=resultslist&amp;sort=plf-f&amp;cite=2-s2.0-84891707567&amp;src=s&amp;imp=t&amp;sid=8dfaef38d2b3d0daeef51206117d184b&amp;sot=cite&amp;sdt=a&amp;sl=0&amp;relpos=3&amp;citeCnt=0&amp;searchTerm=" TargetMode="External"/><Relationship Id="rId848" Type="http://schemas.openxmlformats.org/officeDocument/2006/relationships/hyperlink" Target="https://link.springer.com/article/10.1007/s00170-022-09674-3" TargetMode="External"/><Relationship Id="rId487" Type="http://schemas.openxmlformats.org/officeDocument/2006/relationships/hyperlink" Target="https://doi.org/10.14445/22315381/IJETT-V70I1P216%C2%A0" TargetMode="External"/><Relationship Id="rId610" Type="http://schemas.openxmlformats.org/officeDocument/2006/relationships/hyperlink" Target="https://link.springer.com/chapter/10.1007/978-3-031-18050-7_30" TargetMode="External"/><Relationship Id="rId694" Type="http://schemas.openxmlformats.org/officeDocument/2006/relationships/hyperlink" Target="https://www.scopus.com/record/display.uri?eid=2-s2.0-85123457869&amp;origin=SingleRecordEmailAlert&amp;dgcid=raven_sc_authcite_en_us_email&amp;txGid=f76f9c5703c91b5150aff1e54c85437e" TargetMode="External"/><Relationship Id="rId708" Type="http://schemas.openxmlformats.org/officeDocument/2006/relationships/hyperlink" Target="https://www.scopus.com/record/display.uri?eid=2-s2.0-85124540575&amp;origin=resultslist&amp;sort=plf-f&amp;src=s&amp;nlo=&amp;nlr=&amp;nls=&amp;citedAuthorId=56184609800&amp;imp=t&amp;sid=19e9dfcc5f518037df097b68e0fd311a&amp;sot=cite&amp;sdt=cl&amp;cluster=scopubyr%2c%222022%22%2ct&amp;sl=0&amp;relpos=4&amp;citeCnt=2&amp;searchTerm=" TargetMode="External"/><Relationship Id="rId915" Type="http://schemas.openxmlformats.org/officeDocument/2006/relationships/hyperlink" Target="https://www.taylorfrancis.com/chapters/edit/10.1201/9781003164241-4/overview-issues-related-geometrical-accuracy-single-point-incremental-forming-spif-process-tailor-welded-blanks-kaha-razak-ab-abdullah-nm-noor" TargetMode="External"/><Relationship Id="rId347" Type="http://schemas.openxmlformats.org/officeDocument/2006/relationships/hyperlink" Target="https://1510q6cj3-y-https-www-webofscience-com.z.e-nformation.ro/wos/woscc/summary/3b24070c-f45e-46f7-a999-25bdc9c114ea-92a437c4/date-descending/1" TargetMode="External"/><Relationship Id="rId44" Type="http://schemas.openxmlformats.org/officeDocument/2006/relationships/hyperlink" Target="https://www.emerald.com/insight/content/doi/10.1108/IJLM-04-2022-0162/full/html" TargetMode="External"/><Relationship Id="rId554" Type="http://schemas.openxmlformats.org/officeDocument/2006/relationships/hyperlink" Target="https://www.mdpi.com/2079-9268/12/2/25" TargetMode="External"/><Relationship Id="rId761" Type="http://schemas.openxmlformats.org/officeDocument/2006/relationships/hyperlink" Target="https://www.webofscience.com/wos/woscc/full-record/WOS:000774058600001" TargetMode="External"/><Relationship Id="rId859" Type="http://schemas.openxmlformats.org/officeDocument/2006/relationships/hyperlink" Target="https://www.sciencedirect.com/science/article/pii/S2214785322019587?casa_token=qtz3FilqTqwAAAAA:tLdu6EMqLakjl8bfzWBmwe8nPrmmnBtdSqmtCYrNaLlxtu6Aqcf7f1W4QQonII5ndPIBWjA" TargetMode="External"/><Relationship Id="rId193" Type="http://schemas.openxmlformats.org/officeDocument/2006/relationships/hyperlink" Target="https://www.scopus.com/record/display.uri?eid=2-s2.0-85137984663&amp;origin=resultslist&amp;sort=plf-f&amp;src=s&amp;citedAuthorId=55888486300&amp;imp=t&amp;sid=804476badfb7da90dd30183397cd72d9&amp;sot=cite&amp;sdt=cite&amp;cluster=scopubyr%2c%222022%22%2ct&amp;sl=0&amp;relpos=12&amp;citeCnt=2&amp;searchTerm=" TargetMode="External"/><Relationship Id="rId207" Type="http://schemas.openxmlformats.org/officeDocument/2006/relationships/hyperlink" Target="https://www.mdpi.com/1996-1944/15/12/4278" TargetMode="External"/><Relationship Id="rId414" Type="http://schemas.openxmlformats.org/officeDocument/2006/relationships/hyperlink" Target="https://www.mdpi.com/2076-3417/12/8/3887" TargetMode="External"/><Relationship Id="rId498" Type="http://schemas.openxmlformats.org/officeDocument/2006/relationships/hyperlink" Target="https://doi.org/10.1109/AIE57029.2022.00055" TargetMode="External"/><Relationship Id="rId621" Type="http://schemas.openxmlformats.org/officeDocument/2006/relationships/hyperlink" Target="https://www.scopus.com/record/display.uri?eid=2-s2.0-85145769426&amp;origin=resultslist&amp;sort=plf-f" TargetMode="External"/><Relationship Id="rId260" Type="http://schemas.openxmlformats.org/officeDocument/2006/relationships/hyperlink" Target="https://link.springer.com/chapter/10.1007/978-3-031-05230-9_38" TargetMode="External"/><Relationship Id="rId719" Type="http://schemas.openxmlformats.org/officeDocument/2006/relationships/hyperlink" Target="https://www.scopus.com/record/display.uri?eid=2-s2.0-85127541311&amp;origin=resultslist&amp;sort=plf-f&amp;cite=2-s2.0-85081055133&amp;src=s&amp;imp=t&amp;sid=54ae3b2a0248bdd52d62f9f6f33e339e&amp;sot=cite&amp;sdt=a&amp;sl=0&amp;relpos=1&amp;citeCnt=0&amp;searchTerm=" TargetMode="External"/><Relationship Id="rId926" Type="http://schemas.openxmlformats.org/officeDocument/2006/relationships/hyperlink" Target="https://www.sciencedirect.com/science/article/pii/S0301679X22001190?casa_token=XO8PQD83K2sAAAAA:sPZoVHK-5Gt6bj6djQc_GfHRycG9rMMqhVy3Zhisk419ShSQBlHIxJjW37NPRSTHgA_qiEU" TargetMode="External"/><Relationship Id="rId55" Type="http://schemas.openxmlformats.org/officeDocument/2006/relationships/hyperlink" Target="https://www.emerald.com/insight/content/doi/10.1108/JEEE-10-2021-0411/full/html" TargetMode="External"/><Relationship Id="rId120" Type="http://schemas.openxmlformats.org/officeDocument/2006/relationships/hyperlink" Target="https://www.ncbi.nlm.nih.gov/pmc/articles/PMC8998864/" TargetMode="External"/><Relationship Id="rId358" Type="http://schemas.openxmlformats.org/officeDocument/2006/relationships/hyperlink" Target="https://151096clp-y-https-www-scopus-com.z.e-nformation.ro/results/citedbyresults.uri?sort=plf-f&amp;refeid=2-s2.0-85097434749&amp;src=s&amp;imp=t&amp;sid=e6757804bb8ba01ac20aa1692de34416&amp;sot=ctocbw&amp;sdt=a&amp;sl=15&amp;s=PUBYEAR+IS+2022&amp;origin=cto&amp;citeCnt=3_DELIM_3_DELIM_CTODS_1655447282_DELIM_1&amp;txGid=b2f189192cab9517371a1e8937a9b0cd" TargetMode="External"/><Relationship Id="rId565" Type="http://schemas.openxmlformats.org/officeDocument/2006/relationships/hyperlink" Target="https://ieeexplore.ieee.org/abstract/document/9844260" TargetMode="External"/><Relationship Id="rId772" Type="http://schemas.openxmlformats.org/officeDocument/2006/relationships/hyperlink" Target="https://www.scopus.com/record/display.uri?eid=2-s2.0-85145349559&amp;origin=resultslist&amp;sort=plf-f&amp;src=s&amp;st1=Binman%3a+An+Autonomous+Beach+Cleaning+Robot&amp;sid=bc4c9bcd6cb92e3f5d887bfa514a0ed5&amp;sot=b&amp;sdt=b&amp;sl=57&amp;s=TITLE-ABS-KEY%28Binman%3a+An+Autonomous+Beach+Cleaning+Robot%29&amp;relpos=0&amp;citeCnt=0&amp;searchTerm=" TargetMode="External"/><Relationship Id="rId218" Type="http://schemas.openxmlformats.org/officeDocument/2006/relationships/hyperlink" Target="https://www.sciencedirect.com/science/article/pii/S2213343721020145?via%3Dihub" TargetMode="External"/><Relationship Id="rId425" Type="http://schemas.openxmlformats.org/officeDocument/2006/relationships/hyperlink" Target="https://www.mdpi.com/1996-1944/15/9/3243" TargetMode="External"/><Relationship Id="rId632" Type="http://schemas.openxmlformats.org/officeDocument/2006/relationships/hyperlink" Target="https://thesai.org/Downloads/Volume13No4/Paper_53-A_Review_of_the_Integration_of_Cyber_Physical_System.pdf" TargetMode="External"/><Relationship Id="rId271" Type="http://schemas.openxmlformats.org/officeDocument/2006/relationships/hyperlink" Target="https://www.sciencedirect.com/science/article/pii/S254250482200032X" TargetMode="External"/><Relationship Id="rId937" Type="http://schemas.openxmlformats.org/officeDocument/2006/relationships/hyperlink" Target="https://www.scopus.com/record/display.uri?eid=2-s2.0-85149183254&amp;citeCnt=2_DELIM_2_DELIM_CTODS_1657200937_DELIM_1&amp;origin=resultslist&amp;sort=plf-f&amp;refeidnss=2-s2.0-85083291197&amp;src=s&amp;imp=t&amp;sid=f46b749e18bdbfa67b8fa92a3036fe72&amp;sot=ctocbw&amp;sdt=a&amp;sl=64&amp;s=PUBYEAR+AFT+2021+AND+PUBYEAR+BEF+2023+AND+NOT+AU-ID%2857197396119%29&amp;relpos=0&amp;citeCnt=0&amp;searchTerm=" TargetMode="External"/><Relationship Id="rId66" Type="http://schemas.openxmlformats.org/officeDocument/2006/relationships/hyperlink" Target="https://run.unl.pt/bitstream/10362/144419/1/Towards_a_circular_disruption.pdf" TargetMode="External"/><Relationship Id="rId131" Type="http://schemas.openxmlformats.org/officeDocument/2006/relationships/hyperlink" Target="https://www.ncbi.nlm.nih.gov/pmc/articles/PMC9564704/" TargetMode="External"/><Relationship Id="rId369" Type="http://schemas.openxmlformats.org/officeDocument/2006/relationships/hyperlink" Target="https://link.springer.com/chapter/10.1007/978-3-030-82751-9_6" TargetMode="External"/><Relationship Id="rId576" Type="http://schemas.openxmlformats.org/officeDocument/2006/relationships/hyperlink" Target="https://www.mdpi.com/1996-1073/15/23/8910" TargetMode="External"/><Relationship Id="rId783" Type="http://schemas.openxmlformats.org/officeDocument/2006/relationships/hyperlink" Target="https://www.mdpi.com/2227-7390/10/19/3627" TargetMode="External"/><Relationship Id="rId229" Type="http://schemas.openxmlformats.org/officeDocument/2006/relationships/hyperlink" Target="https://www.mdpi.com/2079-6412/12/2/160" TargetMode="External"/><Relationship Id="rId436" Type="http://schemas.openxmlformats.org/officeDocument/2006/relationships/hyperlink" Target="https://www.scopus.com/source/sourceInfo.uri?sourceId=17700155007&amp;origin=recordpage" TargetMode="External"/><Relationship Id="rId643" Type="http://schemas.openxmlformats.org/officeDocument/2006/relationships/hyperlink" Target="https://www.sciencedirect.com/science/article/pii/S1877050922001569" TargetMode="External"/><Relationship Id="rId850" Type="http://schemas.openxmlformats.org/officeDocument/2006/relationships/hyperlink" Target="https://www.frontiersin.org/articles/10.3389/fmech.2022.1003456/full" TargetMode="External"/><Relationship Id="rId948" Type="http://schemas.openxmlformats.org/officeDocument/2006/relationships/hyperlink" Target="https://www.webofscience.com/wos/woscc/full-record/WOS:000793345500003" TargetMode="External"/><Relationship Id="rId77" Type="http://schemas.openxmlformats.org/officeDocument/2006/relationships/hyperlink" Target="https://link.springer.com/article/10.1007/s11356-022-18522-6" TargetMode="External"/><Relationship Id="rId282" Type="http://schemas.openxmlformats.org/officeDocument/2006/relationships/hyperlink" Target="https://www.sciencedirect.com/science/article/abs/pii/S0141813022019626?via%3Dihub" TargetMode="External"/><Relationship Id="rId503" Type="http://schemas.openxmlformats.org/officeDocument/2006/relationships/hyperlink" Target="https://www.scopus.com/record/display.uri?eid=2-s2.0-85153331032&amp;origin=SingleRecordEmailAlert&amp;dgcid=raven_sc_authcite_en_us_email&amp;txGid=17301e88970a768b12b54dc669044b9e" TargetMode="External"/><Relationship Id="rId587" Type="http://schemas.openxmlformats.org/officeDocument/2006/relationships/hyperlink" Target="https://dl.acm.org/doi/10.1145/3544016" TargetMode="External"/><Relationship Id="rId710" Type="http://schemas.openxmlformats.org/officeDocument/2006/relationships/hyperlink" Target="https://www.webofscience.com/wos/woscc/full-record/WOS:000747631000001" TargetMode="External"/><Relationship Id="rId808" Type="http://schemas.openxmlformats.org/officeDocument/2006/relationships/hyperlink" Target="https://www.webofscience.com/wos/woscc/full-record/WOS:000885139000052" TargetMode="External"/><Relationship Id="rId8" Type="http://schemas.openxmlformats.org/officeDocument/2006/relationships/hyperlink" Target="https://www.scopus.com/record/display.uri?eid=2-s2.0-85149183254&amp;origin=resultslist&amp;sort=plf-f&amp;src=s&amp;citedAuthorId=55572604000&amp;imp=t&amp;sid=9a4987f3b1ca72d6a356729701704127&amp;sot=cite&amp;sdt=cite&amp;cluster=scopubyr%2c%222022%22%2ct&amp;sl=0&amp;relpos=3&amp;citeCnt=0&amp;searchTerm=" TargetMode="External"/><Relationship Id="rId142" Type="http://schemas.openxmlformats.org/officeDocument/2006/relationships/hyperlink" Target="https://iris.unibs.it/bitstream/11379/557204/1/2022%20-%20Towards%20the%20Smart%20Circular%20Economy%20paradigm.pdf" TargetMode="External"/><Relationship Id="rId447" Type="http://schemas.openxmlformats.org/officeDocument/2006/relationships/hyperlink" Target="https://www.thieme-connect.com/products/ejournals/html/10.1055/s-0042-1749363" TargetMode="External"/><Relationship Id="rId794" Type="http://schemas.openxmlformats.org/officeDocument/2006/relationships/hyperlink" Target="https://scholar.google.com/citations?view_op=view_citation&amp;hl=en&amp;user=aYMjNncAAAAJ&amp;sortby=pubdate&amp;citation_for_view=aYMjNncAAAAJ:2osOgNQ5qMEC" TargetMode="External"/><Relationship Id="rId654" Type="http://schemas.openxmlformats.org/officeDocument/2006/relationships/hyperlink" Target="https://link.springer.com/chapter/10.1007/978-981-16-5036-9_26" TargetMode="External"/><Relationship Id="rId861" Type="http://schemas.openxmlformats.org/officeDocument/2006/relationships/hyperlink" Target="https://link.springer.com/article/10.1007/s13369-022-06570-6" TargetMode="External"/><Relationship Id="rId959" Type="http://schemas.openxmlformats.org/officeDocument/2006/relationships/hyperlink" Target="https://1510q0cc7-y-https-www-webofscience-com.z.e-nformation.ro/wos/woscc/full-record/WOS:000836443900024" TargetMode="External"/><Relationship Id="rId293" Type="http://schemas.openxmlformats.org/officeDocument/2006/relationships/hyperlink" Target="https://www.sciencedirect.com/science/article/pii/S089684462200273X?via%3Dihub" TargetMode="External"/><Relationship Id="rId307" Type="http://schemas.openxmlformats.org/officeDocument/2006/relationships/hyperlink" Target="https://ieeexplore.ieee.org/abstract/document/10059815" TargetMode="External"/><Relationship Id="rId514" Type="http://schemas.openxmlformats.org/officeDocument/2006/relationships/hyperlink" Target="http://www.epstem.net/en/pub/issue/74773/1224036" TargetMode="External"/><Relationship Id="rId721" Type="http://schemas.openxmlformats.org/officeDocument/2006/relationships/hyperlink" Target="https://www.scopus.com/record/display.uri?eid=2-s2.0-85127569219&amp;origin=resultslist&amp;sort=plf-f&amp;cite=2-s2.0-85051457933&amp;src=s&amp;imp=t&amp;sid=7436e535464cc4717180d07461997527&amp;sot=cite&amp;sdt=a&amp;sl=0&amp;relpos=0&amp;citeCnt=0&amp;searchTerm=" TargetMode="External"/><Relationship Id="rId88" Type="http://schemas.openxmlformats.org/officeDocument/2006/relationships/hyperlink" Target="https://journals.sagepub.com/doi/10.1177/09721509221121714" TargetMode="External"/><Relationship Id="rId153" Type="http://schemas.openxmlformats.org/officeDocument/2006/relationships/hyperlink" Target="https://www.sciencedirect.com/science/article/abs/pii/S0301420722005153?via%3Dihub" TargetMode="External"/><Relationship Id="rId360" Type="http://schemas.openxmlformats.org/officeDocument/2006/relationships/hyperlink" Target="https://151096clp-y-https-www-scopus-com.z.e-nformation.ro/results/citedbyresults.uri?sort=plf-f&amp;refeid=2-s2.0-85097434749&amp;src=s&amp;imp=t&amp;sid=e6757804bb8ba01ac20aa1692de34416&amp;sot=ctocbw&amp;sdt=a&amp;sl=15&amp;s=PUBYEAR+IS+2022&amp;origin=cto&amp;citeCnt=3_DELIM_3_DELIM_CTODS_1655447282_DELIM_1&amp;txGid=b2f189192cab9517371a1e8937a9b0cd" TargetMode="External"/><Relationship Id="rId598" Type="http://schemas.openxmlformats.org/officeDocument/2006/relationships/hyperlink" Target="https://www.sciencedirect.com/science/article/abs/pii/S0960148122001902" TargetMode="External"/><Relationship Id="rId819" Type="http://schemas.openxmlformats.org/officeDocument/2006/relationships/hyperlink" Target="https://www.mdpi.com/2075-1702/10/10/941" TargetMode="External"/><Relationship Id="rId220" Type="http://schemas.openxmlformats.org/officeDocument/2006/relationships/hyperlink" Target="https://www.sciencedirect.com/science/article/pii/S0032591021010792?via%3Dihub" TargetMode="External"/><Relationship Id="rId458" Type="http://schemas.openxmlformats.org/officeDocument/2006/relationships/hyperlink" Target="https://doi.org/10.3390/molecules27072311%C2%A0" TargetMode="External"/><Relationship Id="rId665" Type="http://schemas.openxmlformats.org/officeDocument/2006/relationships/hyperlink" Target="https://link.springer.com/article/10.1007/s10845-021-01753-8" TargetMode="External"/><Relationship Id="rId872" Type="http://schemas.openxmlformats.org/officeDocument/2006/relationships/hyperlink" Target="https://www.mdpi.com/2075-4701/12/1/113" TargetMode="External"/><Relationship Id="rId15" Type="http://schemas.openxmlformats.org/officeDocument/2006/relationships/hyperlink" Target="https://pubs.acs.org/doi/10.1021/acsomega.2c04994" TargetMode="External"/><Relationship Id="rId318" Type="http://schemas.openxmlformats.org/officeDocument/2006/relationships/hyperlink" Target="https://downloads.hindawi.com/journals/wcmc/2022/2957193.pdf" TargetMode="External"/><Relationship Id="rId525" Type="http://schemas.openxmlformats.org/officeDocument/2006/relationships/hyperlink" Target="https://www.sciencedirect.com/science/article/pii/S0040162522004371?pes=vor" TargetMode="External"/><Relationship Id="rId732" Type="http://schemas.openxmlformats.org/officeDocument/2006/relationships/hyperlink" Target="https://link.springer.com/chapter/10.1007/978-3-031-15928-2_97" TargetMode="External"/><Relationship Id="rId99" Type="http://schemas.openxmlformats.org/officeDocument/2006/relationships/hyperlink" Target="https://www.sciencedirect.com/science/article/abs/pii/S0921344922006498?via%3Dihub" TargetMode="External"/><Relationship Id="rId164" Type="http://schemas.openxmlformats.org/officeDocument/2006/relationships/hyperlink" Target="https://www.mdpi.com/2071-1050/14/14/8499" TargetMode="External"/><Relationship Id="rId371"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469" Type="http://schemas.openxmlformats.org/officeDocument/2006/relationships/hyperlink" Target="https://doi.org/10.1007/s12221-022-4116-1" TargetMode="External"/><Relationship Id="rId676" Type="http://schemas.openxmlformats.org/officeDocument/2006/relationships/hyperlink" Target="https://www.webofscience.com/wos/woscc/full-record/WOS:000757074100001" TargetMode="External"/><Relationship Id="rId883" Type="http://schemas.openxmlformats.org/officeDocument/2006/relationships/hyperlink" Target="https://www.mdpi.com/1996-1944/15/12/4278" TargetMode="External"/><Relationship Id="rId26" Type="http://schemas.openxmlformats.org/officeDocument/2006/relationships/hyperlink" Target="https://www.sciencedirect.com/science/article/pii/S2214785322022751?via%3Dihub" TargetMode="External"/><Relationship Id="rId231" Type="http://schemas.openxmlformats.org/officeDocument/2006/relationships/hyperlink" Target="https://www.sciencedirect.com/science/article/pii/S0141391022000295?via%3Dihub" TargetMode="External"/><Relationship Id="rId329" Type="http://schemas.openxmlformats.org/officeDocument/2006/relationships/hyperlink" Target="https://1510q6ck8-y-https-www-webofscience-com.z.e-nformation.ro/wos/woscc/full-record/WOS:000873468800001" TargetMode="External"/><Relationship Id="rId536" Type="http://schemas.openxmlformats.org/officeDocument/2006/relationships/hyperlink" Target="https://www.emerald.com/insight/content/doi/10.1108/IJPPM-10-2021-0573/full/html" TargetMode="External"/><Relationship Id="rId175" Type="http://schemas.openxmlformats.org/officeDocument/2006/relationships/hyperlink" Target="https://www.mdpi.com/2073-4395/12/7/1578" TargetMode="External"/><Relationship Id="rId743" Type="http://schemas.openxmlformats.org/officeDocument/2006/relationships/hyperlink" Target="https://www.scopus.com/record/display.uri?eid=2-s2.0-85139278944&amp;origin=resultslist&amp;sort=plf-f&amp;cite=2-s2.0-77953496872&amp;src=s&amp;imp=t&amp;sid=28bd352ca20446f895eca77e543bc3b2&amp;sot=cite&amp;sdt=a&amp;sl=0&amp;relpos=2&amp;citeCnt=0&amp;searchTerm=" TargetMode="External"/><Relationship Id="rId950" Type="http://schemas.openxmlformats.org/officeDocument/2006/relationships/hyperlink" Target="https://www.taylorfrancis.com/chapters/edit/10.1201/9781003164241-4/overview-issues-related-geometrical-accuracy-single-point-incremental-forming-spif-process-tailor-welded-blanks-kaha-razak-ab-abdullah-nm-noor" TargetMode="External"/><Relationship Id="rId382" Type="http://schemas.openxmlformats.org/officeDocument/2006/relationships/hyperlink" Target="https://doi.org/10.1016/j.jmapro.2021.11.065" TargetMode="External"/><Relationship Id="rId603" Type="http://schemas.openxmlformats.org/officeDocument/2006/relationships/hyperlink" Target="https://www.sciencedirect.com/science/article/pii/S0268401221001493" TargetMode="External"/><Relationship Id="rId687" Type="http://schemas.openxmlformats.org/officeDocument/2006/relationships/hyperlink" Target="https://link.springer.com/chapter/10.1007/978-3-031-14317-5_9" TargetMode="External"/><Relationship Id="rId810" Type="http://schemas.openxmlformats.org/officeDocument/2006/relationships/hyperlink" Target="https://link.springer.com/article/10.1007/s12289-022-01714-3" TargetMode="External"/><Relationship Id="rId908" Type="http://schemas.openxmlformats.org/officeDocument/2006/relationships/hyperlink" Target="https://www.emerald.com/insight/content/doi/10.1108/RPJ-08-2021-0207/full/html" TargetMode="External"/><Relationship Id="rId242" Type="http://schemas.openxmlformats.org/officeDocument/2006/relationships/hyperlink" Target="https://www.mdpi.com/2071-1050/14/5/3023/htm" TargetMode="External"/><Relationship Id="rId894" Type="http://schemas.openxmlformats.org/officeDocument/2006/relationships/hyperlink" Target="https://www.mdpi.com/2075-4701/12/1/113" TargetMode="External"/><Relationship Id="rId37" Type="http://schemas.openxmlformats.org/officeDocument/2006/relationships/hyperlink" Target="https://www.sciencedirect.com/science/article/pii/S0378382022000170?via%3Dihub" TargetMode="External"/><Relationship Id="rId102" Type="http://schemas.openxmlformats.org/officeDocument/2006/relationships/hyperlink" Target="https://jukuri.luke.fi/bitstream/handle/10024/551495/Peura_et_al_2022.pdf;jsessionid=8DE6E6A973BF79A1AE1515F1710BED21?sequence=1" TargetMode="External"/><Relationship Id="rId547" Type="http://schemas.openxmlformats.org/officeDocument/2006/relationships/hyperlink" Target="https://www.sciencedirect.com/science/article/pii/S0045790621005371" TargetMode="External"/><Relationship Id="rId754" Type="http://schemas.openxmlformats.org/officeDocument/2006/relationships/hyperlink" Target="https://www.scopus.com/record/display.uri?eid=2-s2.0-85143628392&amp;origin=resultslist&amp;sort=plf-f&amp;cite=2-s2.0-84891707567&amp;src=s&amp;imp=t&amp;sid=8dfaef38d2b3d0daeef51206117d184b&amp;sot=cite&amp;sdt=a&amp;sl=0&amp;relpos=8&amp;citeCnt=0&amp;searchTerm=" TargetMode="External"/><Relationship Id="rId961" Type="http://schemas.openxmlformats.org/officeDocument/2006/relationships/hyperlink" Target="https://doi.org/10.1142/S0217979223500741" TargetMode="External"/><Relationship Id="rId90" Type="http://schemas.openxmlformats.org/officeDocument/2006/relationships/hyperlink" Target="https://www.emerald.com/insight/content/doi/10.1108/JIMA-04-2020-0093/full/html" TargetMode="External"/><Relationship Id="rId186" Type="http://schemas.openxmlformats.org/officeDocument/2006/relationships/hyperlink" Target="https://www.scopus.com/record/display.uri?eid=2-s2.0-85156144381&amp;origin=resultslist&amp;sort=plf-f&amp;src=s&amp;citedAuthorId=55888486300&amp;imp=t&amp;sid=804476badfb7da90dd30183397cd72d9&amp;sot=cite&amp;sdt=cite&amp;cluster=scopubyr%2c%222022%22%2ct&amp;sl=0&amp;relpos=7&amp;citeCnt=0&amp;searchTerm=" TargetMode="External"/><Relationship Id="rId393" Type="http://schemas.openxmlformats.org/officeDocument/2006/relationships/hyperlink" Target="https://www.tandfonline.com/doi/abs/10.1080/00405000.2021.1907988" TargetMode="External"/><Relationship Id="rId407" Type="http://schemas.openxmlformats.org/officeDocument/2006/relationships/hyperlink" Target="https://link.springer.com/article/10.1007/s11334-021-00423-5" TargetMode="External"/><Relationship Id="rId614" Type="http://schemas.openxmlformats.org/officeDocument/2006/relationships/hyperlink" Target="https://www.webofscience.com/wos/woscc/full-record/WOS:000856208100001" TargetMode="External"/><Relationship Id="rId821" Type="http://schemas.openxmlformats.org/officeDocument/2006/relationships/hyperlink" Target="https://www.sciencedirect.com/science/article/pii/S221478532201121X?casa_token=H0qwfYwySTEAAAAA:fHVu6OA0ciMp4voHb8R9JftgwrxvlkSsQucKESwkYmwbzSe1aZx4WcX1zCbFFuGRBrtfFR0" TargetMode="External"/><Relationship Id="rId253" Type="http://schemas.openxmlformats.org/officeDocument/2006/relationships/hyperlink" Target="https://www.sciencedirect.com/science/article/pii/S2214785322022751?via%3Dihub" TargetMode="External"/><Relationship Id="rId460" Type="http://schemas.openxmlformats.org/officeDocument/2006/relationships/hyperlink" Target="https://doi.org/10.3390/cryst12030343" TargetMode="External"/><Relationship Id="rId698" Type="http://schemas.openxmlformats.org/officeDocument/2006/relationships/hyperlink" Target="https://www.scopus.com/record/display.uri?eid=2-s2.0-85121602243&amp;origin=resultslist&amp;sort=plf-f&amp;src=s&amp;citedAuthorId=23391009700&amp;imp=t&amp;sid=24e52b5636d47e0a205046054798c4fc&amp;sot=cite&amp;sdt=cite&amp;cluster=scopubyr%2c%222022%22%2ct&amp;sl=0&amp;relpos=6&amp;citeCnt=6&amp;searchTerm=" TargetMode="External"/><Relationship Id="rId919" Type="http://schemas.openxmlformats.org/officeDocument/2006/relationships/hyperlink" Target="https://www.taylorfrancis.com/chapters/edit/10.1201/9781003164241-4/overview-issues-related-geometrical-accuracy-single-point-incremental-forming-spif-process-tailor-welded-blanks-kaha-razak-ab-abdullah-nm-noor" TargetMode="External"/><Relationship Id="rId48" Type="http://schemas.openxmlformats.org/officeDocument/2006/relationships/hyperlink" Target="https://www.mdpi.com/2077-0375/12/10/1013" TargetMode="External"/><Relationship Id="rId113" Type="http://schemas.openxmlformats.org/officeDocument/2006/relationships/hyperlink" Target="https://www.webofscience.com/wos/woscc/full-record/WOS:000810992900001" TargetMode="External"/><Relationship Id="rId320" Type="http://schemas.openxmlformats.org/officeDocument/2006/relationships/hyperlink" Target="https://library.iated.org/view/TRETJAKOVA2022KEE" TargetMode="External"/><Relationship Id="rId558" Type="http://schemas.openxmlformats.org/officeDocument/2006/relationships/hyperlink" Target="https://www.sciencedirect.com/science/article/pii/S0360544222022125" TargetMode="External"/><Relationship Id="rId765" Type="http://schemas.openxmlformats.org/officeDocument/2006/relationships/hyperlink" Target="https://www.webofscience.com/wos/woscc/full-record/WOS:000802892800010" TargetMode="External"/><Relationship Id="rId197" Type="http://schemas.openxmlformats.org/officeDocument/2006/relationships/hyperlink" Target="https://www.webofscience.com/wos/woscc/full-record/WOS:000786135300001" TargetMode="External"/><Relationship Id="rId418" Type="http://schemas.openxmlformats.org/officeDocument/2006/relationships/hyperlink" Target="https://www.mdpi.com/1424-8220/22/24/9769" TargetMode="External"/><Relationship Id="rId625" Type="http://schemas.openxmlformats.org/officeDocument/2006/relationships/hyperlink" Target="https://xjournals.com/collections/articles/Article?qt=EWFhyPlN0z/ZAdoz4wSKI3tEwKzbZUqjd1gl5dQPVrlS4Rxo6WR7GylaflEvJ21J" TargetMode="External"/><Relationship Id="rId832" Type="http://schemas.openxmlformats.org/officeDocument/2006/relationships/hyperlink" Target="https://journals.sagepub.com/doi/abs/10.1177/09544054221093571?journalCode=pibb" TargetMode="External"/><Relationship Id="rId264" Type="http://schemas.openxmlformats.org/officeDocument/2006/relationships/hyperlink" Target="http://jssidoi.org/jesi/uploads/articles/36/Stawska_The_impact_of_monetary_and_fiscal_policy_variables_on_the_EU_economic_growth_Panel_data_analysis.pdf" TargetMode="External"/><Relationship Id="rId471" Type="http://schemas.openxmlformats.org/officeDocument/2006/relationships/hyperlink" Target="https://doi.org/10.24425/amm.2022.137495%C2%A0" TargetMode="External"/><Relationship Id="rId59" Type="http://schemas.openxmlformats.org/officeDocument/2006/relationships/hyperlink" Target="https://www.sciencedirect.com/science/article/pii/S2352186422001997?via%3Dihub" TargetMode="External"/><Relationship Id="rId124" Type="http://schemas.openxmlformats.org/officeDocument/2006/relationships/hyperlink" Target="https://www.sciencedirect.com/science/article/abs/pii/S0016236122022049?via%3Dihub" TargetMode="External"/><Relationship Id="rId569" Type="http://schemas.openxmlformats.org/officeDocument/2006/relationships/hyperlink" Target="https://www.mdpi.com/2075-1729/12/9/1430" TargetMode="External"/><Relationship Id="rId776" Type="http://schemas.openxmlformats.org/officeDocument/2006/relationships/hyperlink" Target="https://www.sciencedirect.com/science/article/pii/S0360835222002765?via%3Dihub" TargetMode="External"/><Relationship Id="rId331" Type="http://schemas.openxmlformats.org/officeDocument/2006/relationships/hyperlink" Target="https://1510q6ck8-y-https-www-webofscience-com.z.e-nformation.ro/wos/woscc/full-record/WOS:000833526800004" TargetMode="External"/><Relationship Id="rId429" Type="http://schemas.openxmlformats.org/officeDocument/2006/relationships/hyperlink" Target="https://151096bx5-y-https-www-scopus-com.z.e-nformation.ro/record/display.uri?eid=2-s2.0-85144675567&amp;origin=resultslist&amp;sort=plf-f&amp;cite=2-s2.0-85041108183&amp;src=s&amp;imp=t&amp;sid=5e8f55f12d3fd9eed3d2d32ba3497e01&amp;sot=cite&amp;sdt=a&amp;sl=0&amp;relpos=0&amp;citeCnt=0&amp;searchTerm=" TargetMode="External"/><Relationship Id="rId636" Type="http://schemas.openxmlformats.org/officeDocument/2006/relationships/hyperlink" Target="http://cje.ustb.edu.cn/article/doi/10.13374/j.issn2095-9389.2021.06.22.001?pageType=en" TargetMode="External"/><Relationship Id="rId843" Type="http://schemas.openxmlformats.org/officeDocument/2006/relationships/hyperlink" Target="https://asmedigitalcollection.asme.org/MSEC/proceedings-abstract/MSEC2022/V002T05A001/1147035" TargetMode="External"/><Relationship Id="rId275" Type="http://schemas.openxmlformats.org/officeDocument/2006/relationships/hyperlink" Target="https://ijneam.unimap.edu.my/images/PDF/ISSTE2022/Vol_15_SI_March_2022_483-494.pdf" TargetMode="External"/><Relationship Id="rId482" Type="http://schemas.openxmlformats.org/officeDocument/2006/relationships/hyperlink" Target="https://doi.org/10.1016/j.compscitech.2022.109544%C2%A0" TargetMode="External"/><Relationship Id="rId703" Type="http://schemas.openxmlformats.org/officeDocument/2006/relationships/hyperlink" Target="https://www.scopus.com/record/display.uri?eid=2-s2.0-85142480669&amp;origin=resultslist&amp;sort=lfp-t&amp;src=s&amp;st1=Compatibility+of+High-Density+Polyethylene+Piping+and+Associated+Elastomers+with+the+Renewable+Fuels+Ammonia+and+Dimethyl+Ether&amp;sid=f1ec5861064209d8efe567a2481b00cf&amp;sot=b&amp;sdt=b&amp;sl=142&amp;s=TITLE-ABS-KEY%28Compatibility+of+High-Density+Polyethylene+Piping+and+Associated+Elastomers+with+the+Renewable+Fuels+Ammonia+and+Dimethyl+Ether%29&amp;relpos=0&amp;citeCnt=0&amp;searchTerm=" TargetMode="External"/><Relationship Id="rId910" Type="http://schemas.openxmlformats.org/officeDocument/2006/relationships/hyperlink" Target="https://www.sciencedirect.com/science/article/pii/S2214785322014572" TargetMode="External"/><Relationship Id="rId135" Type="http://schemas.openxmlformats.org/officeDocument/2006/relationships/hyperlink" Target="https://doi.nrct.go.th/ListDoi/listDetail?Resolve_DOI=10.14456/itjemast.2022.56" TargetMode="External"/><Relationship Id="rId342" Type="http://schemas.openxmlformats.org/officeDocument/2006/relationships/hyperlink" Target="https://1510q6cj3-y-https-www-webofscience-com.z.e-nformation.ro/wos/woscc/summary/fe30fcf8-fc0a-437f-bdda-fc155eb6ed5f-92a50ab1/date-descending/1" TargetMode="External"/><Relationship Id="rId787" Type="http://schemas.openxmlformats.org/officeDocument/2006/relationships/hyperlink" Target="http://www.jatit.org/volumes/Vol100No23/1Vol100No23.pdf" TargetMode="External"/><Relationship Id="rId202" Type="http://schemas.openxmlformats.org/officeDocument/2006/relationships/hyperlink" Target="https://1510g07f0-y-https-link-springer-com.z.e-nformation.ro/article/10.1007/s13369-022-06570-6" TargetMode="External"/><Relationship Id="rId647" Type="http://schemas.openxmlformats.org/officeDocument/2006/relationships/hyperlink" Target="https://link.springer.com/article/10.1007/s11042-021-10971-4" TargetMode="External"/><Relationship Id="rId854" Type="http://schemas.openxmlformats.org/officeDocument/2006/relationships/hyperlink" Target="https://link.springer.com/article/10.1007/s13369-022-06570-6" TargetMode="External"/><Relationship Id="rId286" Type="http://schemas.openxmlformats.org/officeDocument/2006/relationships/hyperlink" Target="https://www.mdpi.com/2227-7390/10/19/3627" TargetMode="External"/><Relationship Id="rId493" Type="http://schemas.openxmlformats.org/officeDocument/2006/relationships/hyperlink" Target="https://doi.org/10.1556/1848.2021.00350%C2%A0" TargetMode="External"/><Relationship Id="rId507" Type="http://schemas.openxmlformats.org/officeDocument/2006/relationships/hyperlink" Target="https://www.webofscience.com/wos/woscc/full-record/WOS:000847596700001" TargetMode="External"/><Relationship Id="rId714" Type="http://schemas.openxmlformats.org/officeDocument/2006/relationships/hyperlink" Target="https://www.scopus.com/record/display.uri?eid=2-s2.0-85147695101&amp;origin=resultslist&amp;sort=lfp-t&amp;src=s&amp;st1=Development+of+Localization-Based+Waiter+Robot+Using+RP-LIDAR&amp;sid=e2b31fec5276d958c96260c256053d2e&amp;sot=b&amp;sdt=b&amp;sl=76&amp;s=TITLE-ABS-KEY%28Development+of+Localization-Based+Waiter+Robot+Using+RP-LIDAR%29&amp;relpos=0&amp;citeCnt=0&amp;searchTerm=" TargetMode="External"/><Relationship Id="rId921" Type="http://schemas.openxmlformats.org/officeDocument/2006/relationships/hyperlink" Target="https://onlinelibrary.wiley.com/doi/abs/10.1002/mawe.20200025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978"/>
  <sheetViews>
    <sheetView tabSelected="1" topLeftCell="Z1" workbookViewId="0">
      <pane ySplit="4" topLeftCell="A112" activePane="bottomLeft" state="frozen"/>
      <selection pane="bottomLeft" activeCell="AQ1" sqref="AQ1:AQ1048576"/>
    </sheetView>
  </sheetViews>
  <sheetFormatPr defaultColWidth="14.3984375" defaultRowHeight="15" customHeight="1"/>
  <cols>
    <col min="1" max="1" width="12.1328125" customWidth="1"/>
    <col min="2" max="2" width="42.1328125" customWidth="1"/>
    <col min="3" max="3" width="17.1328125" customWidth="1"/>
    <col min="4" max="4" width="19.73046875" customWidth="1"/>
    <col min="5" max="5" width="13.3984375" customWidth="1"/>
    <col min="6" max="6" width="9.1328125" customWidth="1"/>
    <col min="7" max="8" width="7.86328125" customWidth="1"/>
    <col min="9" max="9" width="8.73046875" customWidth="1"/>
    <col min="10" max="16" width="7.86328125" customWidth="1"/>
    <col min="17" max="17" width="8.73046875" customWidth="1"/>
    <col min="18" max="40" width="7.86328125" customWidth="1"/>
    <col min="41" max="41" width="12.1328125" customWidth="1"/>
    <col min="42" max="43" width="13" customWidth="1"/>
    <col min="44" max="45" width="14.1328125" customWidth="1"/>
    <col min="46" max="46" width="8.86328125" customWidth="1"/>
  </cols>
  <sheetData>
    <row r="1" spans="1:46" ht="9" customHeight="1">
      <c r="A1" s="1"/>
      <c r="B1" s="1"/>
      <c r="C1" s="1"/>
      <c r="D1" s="2"/>
      <c r="E1" s="3"/>
      <c r="F1" s="2"/>
      <c r="G1" s="2"/>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46" ht="9.75" customHeight="1">
      <c r="A2" s="5" t="s">
        <v>0</v>
      </c>
      <c r="B2" s="6" t="s">
        <v>1</v>
      </c>
      <c r="C2" s="7"/>
      <c r="D2" s="2"/>
      <c r="E2" s="3"/>
      <c r="F2" s="2"/>
      <c r="G2" s="2"/>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row>
    <row r="3" spans="1:46" ht="45" customHeight="1">
      <c r="A3" s="1"/>
      <c r="B3" s="1"/>
      <c r="C3" s="1"/>
      <c r="D3" s="8"/>
      <c r="E3" s="9" t="s">
        <v>2</v>
      </c>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4"/>
      <c r="AP3" s="4"/>
      <c r="AQ3" s="4"/>
      <c r="AR3" s="11" t="s">
        <v>3</v>
      </c>
      <c r="AS3" s="11" t="s">
        <v>4</v>
      </c>
      <c r="AT3" s="4"/>
    </row>
    <row r="4" spans="1:46" ht="86.25" customHeight="1">
      <c r="A4" s="12" t="s">
        <v>5</v>
      </c>
      <c r="B4" s="13" t="s">
        <v>6</v>
      </c>
      <c r="C4" s="13" t="s">
        <v>7</v>
      </c>
      <c r="D4" s="13" t="s">
        <v>8</v>
      </c>
      <c r="E4" s="13" t="s">
        <v>9</v>
      </c>
      <c r="F4" s="13" t="s">
        <v>10</v>
      </c>
      <c r="G4" s="13" t="s">
        <v>11</v>
      </c>
      <c r="H4" s="13" t="s">
        <v>12</v>
      </c>
      <c r="I4" s="13" t="s">
        <v>13</v>
      </c>
      <c r="J4" s="13" t="s">
        <v>14</v>
      </c>
      <c r="K4" s="13" t="s">
        <v>15</v>
      </c>
      <c r="L4" s="13" t="s">
        <v>16</v>
      </c>
      <c r="M4" s="13" t="s">
        <v>17</v>
      </c>
      <c r="N4" s="13" t="s">
        <v>18</v>
      </c>
      <c r="O4" s="13" t="s">
        <v>19</v>
      </c>
      <c r="P4" s="13" t="s">
        <v>20</v>
      </c>
      <c r="Q4" s="13" t="s">
        <v>21</v>
      </c>
      <c r="R4" s="13" t="s">
        <v>22</v>
      </c>
      <c r="S4" s="13" t="s">
        <v>23</v>
      </c>
      <c r="T4" s="13" t="s">
        <v>24</v>
      </c>
      <c r="U4" s="13" t="s">
        <v>25</v>
      </c>
      <c r="V4" s="13" t="s">
        <v>26</v>
      </c>
      <c r="W4" s="14" t="s">
        <v>27</v>
      </c>
      <c r="X4" s="14" t="s">
        <v>28</v>
      </c>
      <c r="Y4" s="14" t="s">
        <v>29</v>
      </c>
      <c r="Z4" s="14" t="s">
        <v>30</v>
      </c>
      <c r="AA4" s="14" t="s">
        <v>31</v>
      </c>
      <c r="AB4" s="14" t="s">
        <v>32</v>
      </c>
      <c r="AC4" s="14" t="s">
        <v>33</v>
      </c>
      <c r="AD4" s="14" t="s">
        <v>34</v>
      </c>
      <c r="AE4" s="14" t="s">
        <v>35</v>
      </c>
      <c r="AF4" s="14" t="s">
        <v>36</v>
      </c>
      <c r="AG4" s="14" t="s">
        <v>37</v>
      </c>
      <c r="AH4" s="14" t="s">
        <v>38</v>
      </c>
      <c r="AI4" s="14" t="s">
        <v>39</v>
      </c>
      <c r="AJ4" s="14" t="s">
        <v>40</v>
      </c>
      <c r="AK4" s="14" t="s">
        <v>41</v>
      </c>
      <c r="AL4" s="14" t="s">
        <v>42</v>
      </c>
      <c r="AM4" s="14" t="s">
        <v>43</v>
      </c>
      <c r="AN4" s="14" t="s">
        <v>44</v>
      </c>
      <c r="AO4" s="15" t="s">
        <v>45</v>
      </c>
      <c r="AP4" s="12" t="s">
        <v>46</v>
      </c>
      <c r="AQ4" s="12" t="s">
        <v>47</v>
      </c>
      <c r="AR4" s="16" t="s">
        <v>48</v>
      </c>
      <c r="AS4" s="16" t="s">
        <v>49</v>
      </c>
      <c r="AT4" s="17"/>
    </row>
    <row r="5" spans="1:46" ht="14.25" customHeight="1">
      <c r="A5" s="18">
        <v>1</v>
      </c>
      <c r="B5" s="19" t="s">
        <v>50</v>
      </c>
      <c r="C5" s="19" t="s">
        <v>51</v>
      </c>
      <c r="D5" s="20" t="s">
        <v>52</v>
      </c>
      <c r="E5" s="20">
        <v>1600</v>
      </c>
      <c r="F5" s="21">
        <v>200</v>
      </c>
      <c r="G5" s="21">
        <v>0</v>
      </c>
      <c r="H5" s="21">
        <v>0</v>
      </c>
      <c r="I5" s="21">
        <v>25</v>
      </c>
      <c r="J5" s="21">
        <v>0</v>
      </c>
      <c r="K5" s="21">
        <v>0</v>
      </c>
      <c r="L5" s="21">
        <v>0</v>
      </c>
      <c r="M5" s="21">
        <v>0</v>
      </c>
      <c r="N5" s="21">
        <v>0</v>
      </c>
      <c r="O5" s="21">
        <v>304</v>
      </c>
      <c r="P5" s="21">
        <v>0</v>
      </c>
      <c r="Q5" s="22">
        <v>0</v>
      </c>
      <c r="R5" s="21">
        <v>50</v>
      </c>
      <c r="S5" s="21">
        <v>0</v>
      </c>
      <c r="T5" s="21">
        <v>0</v>
      </c>
      <c r="U5" s="21">
        <v>0</v>
      </c>
      <c r="V5" s="21">
        <v>0</v>
      </c>
      <c r="W5" s="21">
        <v>0</v>
      </c>
      <c r="X5" s="21">
        <v>0</v>
      </c>
      <c r="Y5" s="21">
        <v>0</v>
      </c>
      <c r="Z5" s="21">
        <v>0</v>
      </c>
      <c r="AA5" s="21">
        <v>0</v>
      </c>
      <c r="AB5" s="21">
        <v>0</v>
      </c>
      <c r="AC5" s="21">
        <v>0</v>
      </c>
      <c r="AD5" s="21">
        <v>252</v>
      </c>
      <c r="AE5" s="21">
        <v>504</v>
      </c>
      <c r="AF5" s="21">
        <v>81.25</v>
      </c>
      <c r="AG5" s="21">
        <v>90</v>
      </c>
      <c r="AH5" s="21">
        <v>0</v>
      </c>
      <c r="AI5" s="21">
        <v>256</v>
      </c>
      <c r="AJ5" s="21">
        <v>30</v>
      </c>
      <c r="AK5" s="21">
        <v>0</v>
      </c>
      <c r="AL5" s="21">
        <v>0</v>
      </c>
      <c r="AM5" s="21">
        <v>0</v>
      </c>
      <c r="AN5" s="21">
        <v>0</v>
      </c>
      <c r="AO5" s="23">
        <f t="shared" ref="AO5:AO110" si="0">SUM(F5:AN5)</f>
        <v>1792.25</v>
      </c>
      <c r="AP5" s="24">
        <v>1792.25</v>
      </c>
      <c r="AQ5" s="24">
        <v>1792.25</v>
      </c>
      <c r="AR5" s="25">
        <f t="shared" ref="AR5:AR107" si="1">AO5-AP5</f>
        <v>0</v>
      </c>
      <c r="AS5" s="25">
        <f t="shared" ref="AS5:AS107" si="2">AO5-AQ5</f>
        <v>0</v>
      </c>
      <c r="AT5" s="4"/>
    </row>
    <row r="6" spans="1:46" ht="14.25" customHeight="1">
      <c r="A6" s="18">
        <v>2</v>
      </c>
      <c r="B6" s="19" t="s">
        <v>53</v>
      </c>
      <c r="C6" s="19" t="s">
        <v>51</v>
      </c>
      <c r="D6" s="20" t="s">
        <v>54</v>
      </c>
      <c r="E6" s="20">
        <v>1600</v>
      </c>
      <c r="F6" s="21">
        <v>0</v>
      </c>
      <c r="G6" s="21">
        <v>0</v>
      </c>
      <c r="H6" s="26">
        <v>0</v>
      </c>
      <c r="I6" s="26">
        <v>0</v>
      </c>
      <c r="J6" s="26">
        <v>0</v>
      </c>
      <c r="K6" s="26">
        <v>0</v>
      </c>
      <c r="L6" s="26">
        <v>0</v>
      </c>
      <c r="M6" s="26">
        <v>0</v>
      </c>
      <c r="N6" s="26">
        <v>0</v>
      </c>
      <c r="O6" s="26">
        <v>0</v>
      </c>
      <c r="P6" s="26">
        <v>0</v>
      </c>
      <c r="Q6" s="27">
        <v>0</v>
      </c>
      <c r="R6" s="26">
        <v>0</v>
      </c>
      <c r="S6" s="26">
        <v>0</v>
      </c>
      <c r="T6" s="26">
        <v>0</v>
      </c>
      <c r="U6" s="26">
        <v>0</v>
      </c>
      <c r="V6" s="26">
        <v>0</v>
      </c>
      <c r="W6" s="26">
        <v>0</v>
      </c>
      <c r="X6" s="26">
        <v>0</v>
      </c>
      <c r="Y6" s="26">
        <v>0</v>
      </c>
      <c r="Z6" s="26">
        <v>0</v>
      </c>
      <c r="AA6" s="26">
        <v>0</v>
      </c>
      <c r="AB6" s="26">
        <v>0</v>
      </c>
      <c r="AC6" s="26">
        <v>0</v>
      </c>
      <c r="AD6" s="26">
        <v>336</v>
      </c>
      <c r="AE6" s="26">
        <v>672</v>
      </c>
      <c r="AF6" s="26">
        <v>113.13000000000002</v>
      </c>
      <c r="AG6" s="26">
        <v>30</v>
      </c>
      <c r="AH6" s="26">
        <v>0</v>
      </c>
      <c r="AI6" s="26">
        <v>392</v>
      </c>
      <c r="AJ6" s="26">
        <v>0</v>
      </c>
      <c r="AK6" s="26">
        <v>0</v>
      </c>
      <c r="AL6" s="26">
        <v>50</v>
      </c>
      <c r="AM6" s="26">
        <v>0</v>
      </c>
      <c r="AN6" s="26">
        <v>100</v>
      </c>
      <c r="AO6" s="23">
        <f t="shared" si="0"/>
        <v>1693.13</v>
      </c>
      <c r="AP6" s="24">
        <v>1693.13</v>
      </c>
      <c r="AQ6" s="24">
        <v>1693.13</v>
      </c>
      <c r="AR6" s="25">
        <f t="shared" si="1"/>
        <v>0</v>
      </c>
      <c r="AS6" s="25">
        <f t="shared" si="2"/>
        <v>0</v>
      </c>
      <c r="AT6" s="4"/>
    </row>
    <row r="7" spans="1:46" ht="14.25" customHeight="1">
      <c r="A7" s="18">
        <v>3</v>
      </c>
      <c r="B7" s="19" t="s">
        <v>55</v>
      </c>
      <c r="C7" s="19" t="s">
        <v>51</v>
      </c>
      <c r="D7" s="20" t="s">
        <v>52</v>
      </c>
      <c r="E7" s="20">
        <v>1600</v>
      </c>
      <c r="F7" s="21">
        <v>0</v>
      </c>
      <c r="G7" s="21">
        <v>0</v>
      </c>
      <c r="H7" s="26">
        <v>0</v>
      </c>
      <c r="I7" s="26">
        <v>125</v>
      </c>
      <c r="J7" s="26">
        <v>0</v>
      </c>
      <c r="K7" s="26">
        <v>0</v>
      </c>
      <c r="L7" s="26">
        <v>0</v>
      </c>
      <c r="M7" s="26">
        <v>0</v>
      </c>
      <c r="N7" s="26">
        <v>50</v>
      </c>
      <c r="O7" s="26">
        <v>350</v>
      </c>
      <c r="P7" s="26">
        <v>0</v>
      </c>
      <c r="Q7" s="27">
        <v>13.33</v>
      </c>
      <c r="R7" s="26">
        <v>350</v>
      </c>
      <c r="S7" s="26">
        <v>0</v>
      </c>
      <c r="T7" s="26">
        <v>0</v>
      </c>
      <c r="U7" s="26">
        <v>0</v>
      </c>
      <c r="V7" s="26">
        <v>0</v>
      </c>
      <c r="W7" s="26">
        <v>0</v>
      </c>
      <c r="X7" s="26">
        <v>0</v>
      </c>
      <c r="Y7" s="26">
        <v>200</v>
      </c>
      <c r="Z7" s="26">
        <v>0</v>
      </c>
      <c r="AA7" s="26">
        <v>0</v>
      </c>
      <c r="AB7" s="26">
        <v>0</v>
      </c>
      <c r="AC7" s="26">
        <v>0</v>
      </c>
      <c r="AD7" s="26">
        <v>196</v>
      </c>
      <c r="AE7" s="26">
        <v>392</v>
      </c>
      <c r="AF7" s="26">
        <v>185.8</v>
      </c>
      <c r="AG7" s="26">
        <v>220</v>
      </c>
      <c r="AH7" s="26">
        <v>0</v>
      </c>
      <c r="AI7" s="26">
        <v>256</v>
      </c>
      <c r="AJ7" s="26">
        <v>16</v>
      </c>
      <c r="AK7" s="26">
        <v>0</v>
      </c>
      <c r="AL7" s="26">
        <v>50</v>
      </c>
      <c r="AM7" s="26">
        <v>0</v>
      </c>
      <c r="AN7" s="26">
        <v>100</v>
      </c>
      <c r="AO7" s="23">
        <f t="shared" si="0"/>
        <v>2504.13</v>
      </c>
      <c r="AP7" s="24">
        <v>2504.13</v>
      </c>
      <c r="AQ7" s="24">
        <v>2504.13</v>
      </c>
      <c r="AR7" s="25">
        <f t="shared" si="1"/>
        <v>0</v>
      </c>
      <c r="AS7" s="25">
        <f t="shared" si="2"/>
        <v>0</v>
      </c>
      <c r="AT7" s="4"/>
    </row>
    <row r="8" spans="1:46" ht="14.25" customHeight="1">
      <c r="A8" s="18">
        <v>4</v>
      </c>
      <c r="B8" s="19" t="s">
        <v>56</v>
      </c>
      <c r="C8" s="19" t="s">
        <v>51</v>
      </c>
      <c r="D8" s="20" t="s">
        <v>52</v>
      </c>
      <c r="E8" s="20">
        <v>1600</v>
      </c>
      <c r="F8" s="21">
        <v>0</v>
      </c>
      <c r="G8" s="21">
        <v>0</v>
      </c>
      <c r="H8" s="26">
        <v>0</v>
      </c>
      <c r="I8" s="26">
        <v>0</v>
      </c>
      <c r="J8" s="26">
        <v>0</v>
      </c>
      <c r="K8" s="26">
        <v>0</v>
      </c>
      <c r="L8" s="26">
        <v>0</v>
      </c>
      <c r="M8" s="26">
        <v>0</v>
      </c>
      <c r="N8" s="26">
        <v>0</v>
      </c>
      <c r="O8" s="26">
        <v>0</v>
      </c>
      <c r="P8" s="26">
        <v>0</v>
      </c>
      <c r="Q8" s="27">
        <v>0</v>
      </c>
      <c r="R8" s="26">
        <v>0</v>
      </c>
      <c r="S8" s="26">
        <v>0</v>
      </c>
      <c r="T8" s="26">
        <v>0</v>
      </c>
      <c r="U8" s="26">
        <v>0</v>
      </c>
      <c r="V8" s="26">
        <v>0</v>
      </c>
      <c r="W8" s="26">
        <v>0</v>
      </c>
      <c r="X8" s="26">
        <v>0</v>
      </c>
      <c r="Y8" s="26">
        <v>200</v>
      </c>
      <c r="Z8" s="26">
        <v>0</v>
      </c>
      <c r="AA8" s="26">
        <v>0</v>
      </c>
      <c r="AB8" s="26">
        <v>0</v>
      </c>
      <c r="AC8" s="26">
        <v>0</v>
      </c>
      <c r="AD8" s="26">
        <v>252</v>
      </c>
      <c r="AE8" s="26">
        <v>504</v>
      </c>
      <c r="AF8" s="26">
        <v>49.575000000000003</v>
      </c>
      <c r="AG8" s="26">
        <v>150</v>
      </c>
      <c r="AH8" s="26">
        <v>60</v>
      </c>
      <c r="AI8" s="26">
        <v>400</v>
      </c>
      <c r="AJ8" s="26">
        <v>250</v>
      </c>
      <c r="AK8" s="26">
        <v>0</v>
      </c>
      <c r="AL8" s="26">
        <v>0</v>
      </c>
      <c r="AM8" s="26">
        <v>0</v>
      </c>
      <c r="AN8" s="26">
        <v>0</v>
      </c>
      <c r="AO8" s="23">
        <f t="shared" si="0"/>
        <v>1865.575</v>
      </c>
      <c r="AP8" s="4">
        <v>1865.575</v>
      </c>
      <c r="AQ8" s="24">
        <v>1865.58</v>
      </c>
      <c r="AR8" s="25">
        <f t="shared" si="1"/>
        <v>0</v>
      </c>
      <c r="AS8" s="25">
        <f t="shared" si="2"/>
        <v>-4.9999999998817657E-3</v>
      </c>
      <c r="AT8" s="4"/>
    </row>
    <row r="9" spans="1:46" ht="14.25" customHeight="1">
      <c r="A9" s="18">
        <v>5</v>
      </c>
      <c r="B9" s="19" t="s">
        <v>57</v>
      </c>
      <c r="C9" s="19" t="s">
        <v>51</v>
      </c>
      <c r="D9" s="20" t="s">
        <v>52</v>
      </c>
      <c r="E9" s="20">
        <v>1600</v>
      </c>
      <c r="F9" s="21">
        <v>0</v>
      </c>
      <c r="G9" s="21">
        <v>0</v>
      </c>
      <c r="H9" s="26">
        <v>0</v>
      </c>
      <c r="I9" s="26">
        <v>33.333333333333336</v>
      </c>
      <c r="J9" s="26">
        <v>0</v>
      </c>
      <c r="K9" s="26">
        <v>666.66</v>
      </c>
      <c r="L9" s="26">
        <v>0</v>
      </c>
      <c r="M9" s="26">
        <v>0</v>
      </c>
      <c r="N9" s="26">
        <v>0</v>
      </c>
      <c r="O9" s="26">
        <v>0</v>
      </c>
      <c r="P9" s="26">
        <v>40</v>
      </c>
      <c r="Q9" s="27">
        <v>0</v>
      </c>
      <c r="R9" s="26">
        <v>100</v>
      </c>
      <c r="S9" s="26">
        <v>0</v>
      </c>
      <c r="T9" s="26">
        <v>0</v>
      </c>
      <c r="U9" s="26">
        <v>0</v>
      </c>
      <c r="V9" s="26">
        <v>0</v>
      </c>
      <c r="W9" s="26">
        <v>0</v>
      </c>
      <c r="X9" s="26">
        <v>0</v>
      </c>
      <c r="Y9" s="26">
        <v>300</v>
      </c>
      <c r="Z9" s="26">
        <v>0</v>
      </c>
      <c r="AA9" s="26">
        <v>0</v>
      </c>
      <c r="AB9" s="26">
        <v>0</v>
      </c>
      <c r="AC9" s="26">
        <v>40</v>
      </c>
      <c r="AD9" s="26">
        <v>196</v>
      </c>
      <c r="AE9" s="26">
        <v>392</v>
      </c>
      <c r="AF9" s="26">
        <v>143</v>
      </c>
      <c r="AG9" s="26">
        <v>40</v>
      </c>
      <c r="AH9" s="26">
        <v>140</v>
      </c>
      <c r="AI9" s="26">
        <v>0</v>
      </c>
      <c r="AJ9" s="26">
        <v>0</v>
      </c>
      <c r="AK9" s="26">
        <v>0</v>
      </c>
      <c r="AL9" s="26">
        <v>0</v>
      </c>
      <c r="AM9" s="26">
        <v>0</v>
      </c>
      <c r="AN9" s="26">
        <v>0</v>
      </c>
      <c r="AO9" s="23">
        <f t="shared" si="0"/>
        <v>2090.9933333333333</v>
      </c>
      <c r="AP9" s="24">
        <v>2090.9933333333333</v>
      </c>
      <c r="AQ9" s="24">
        <v>2090.9899999999998</v>
      </c>
      <c r="AR9" s="25">
        <f t="shared" si="1"/>
        <v>0</v>
      </c>
      <c r="AS9" s="25">
        <f t="shared" si="2"/>
        <v>3.3333333335576754E-3</v>
      </c>
      <c r="AT9" s="4"/>
    </row>
    <row r="10" spans="1:46" ht="14.25" customHeight="1">
      <c r="A10" s="18">
        <v>6</v>
      </c>
      <c r="B10" s="28" t="s">
        <v>58</v>
      </c>
      <c r="C10" s="19" t="s">
        <v>51</v>
      </c>
      <c r="D10" s="20" t="s">
        <v>54</v>
      </c>
      <c r="E10" s="20">
        <v>1600</v>
      </c>
      <c r="F10" s="21">
        <v>0</v>
      </c>
      <c r="G10" s="21">
        <v>0</v>
      </c>
      <c r="H10" s="26">
        <v>0</v>
      </c>
      <c r="I10" s="26">
        <v>250</v>
      </c>
      <c r="J10" s="26">
        <v>0</v>
      </c>
      <c r="K10" s="26">
        <v>0</v>
      </c>
      <c r="L10" s="26">
        <v>0</v>
      </c>
      <c r="M10" s="26">
        <v>0</v>
      </c>
      <c r="N10" s="26">
        <v>0</v>
      </c>
      <c r="O10" s="26">
        <v>176</v>
      </c>
      <c r="P10" s="26">
        <v>0</v>
      </c>
      <c r="Q10" s="27">
        <v>80</v>
      </c>
      <c r="R10" s="26">
        <v>400</v>
      </c>
      <c r="S10" s="26">
        <v>20</v>
      </c>
      <c r="T10" s="26">
        <v>0</v>
      </c>
      <c r="U10" s="26">
        <v>0</v>
      </c>
      <c r="V10" s="26">
        <v>0</v>
      </c>
      <c r="W10" s="26">
        <v>0</v>
      </c>
      <c r="X10" s="26">
        <v>0</v>
      </c>
      <c r="Y10" s="26">
        <v>0</v>
      </c>
      <c r="Z10" s="26">
        <v>0</v>
      </c>
      <c r="AA10" s="26">
        <v>0</v>
      </c>
      <c r="AB10" s="26">
        <v>0</v>
      </c>
      <c r="AC10" s="26">
        <v>0</v>
      </c>
      <c r="AD10" s="26">
        <v>266</v>
      </c>
      <c r="AE10" s="26">
        <v>532</v>
      </c>
      <c r="AF10" s="26">
        <v>88.166666666666657</v>
      </c>
      <c r="AG10" s="26">
        <v>6.666666666666667</v>
      </c>
      <c r="AH10" s="26">
        <v>0</v>
      </c>
      <c r="AI10" s="26">
        <v>0</v>
      </c>
      <c r="AJ10" s="26">
        <v>10</v>
      </c>
      <c r="AK10" s="26">
        <v>0</v>
      </c>
      <c r="AL10" s="26">
        <v>50</v>
      </c>
      <c r="AM10" s="26">
        <v>0</v>
      </c>
      <c r="AN10" s="26">
        <v>24</v>
      </c>
      <c r="AO10" s="23">
        <f t="shared" si="0"/>
        <v>1902.8333333333335</v>
      </c>
      <c r="AP10" s="24">
        <v>1902.8333333333335</v>
      </c>
      <c r="AQ10" s="24">
        <v>1902.83</v>
      </c>
      <c r="AR10" s="25">
        <f t="shared" si="1"/>
        <v>0</v>
      </c>
      <c r="AS10" s="25">
        <f t="shared" si="2"/>
        <v>3.3333333335576754E-3</v>
      </c>
      <c r="AT10" s="4"/>
    </row>
    <row r="11" spans="1:46" ht="14.25" customHeight="1">
      <c r="A11" s="18">
        <v>7</v>
      </c>
      <c r="B11" s="29" t="s">
        <v>59</v>
      </c>
      <c r="C11" s="19" t="s">
        <v>51</v>
      </c>
      <c r="D11" s="30" t="s">
        <v>60</v>
      </c>
      <c r="E11" s="20">
        <v>1600</v>
      </c>
      <c r="F11" s="21">
        <v>242.85</v>
      </c>
      <c r="G11" s="21">
        <v>0</v>
      </c>
      <c r="H11" s="26">
        <v>0</v>
      </c>
      <c r="I11" s="26">
        <v>0</v>
      </c>
      <c r="J11" s="26">
        <v>0</v>
      </c>
      <c r="K11" s="26">
        <v>0</v>
      </c>
      <c r="L11" s="26">
        <v>0</v>
      </c>
      <c r="M11" s="26">
        <v>0</v>
      </c>
      <c r="N11" s="26">
        <v>0</v>
      </c>
      <c r="O11" s="26">
        <v>0</v>
      </c>
      <c r="P11" s="26">
        <v>10</v>
      </c>
      <c r="Q11" s="27">
        <v>0</v>
      </c>
      <c r="R11" s="26">
        <v>0</v>
      </c>
      <c r="S11" s="26">
        <v>0</v>
      </c>
      <c r="T11" s="26">
        <v>0</v>
      </c>
      <c r="U11" s="26">
        <v>0</v>
      </c>
      <c r="V11" s="26">
        <v>0</v>
      </c>
      <c r="W11" s="26">
        <v>0</v>
      </c>
      <c r="X11" s="26">
        <v>0</v>
      </c>
      <c r="Y11" s="26">
        <v>0</v>
      </c>
      <c r="Z11" s="26">
        <v>0</v>
      </c>
      <c r="AA11" s="26">
        <v>0</v>
      </c>
      <c r="AB11" s="26">
        <v>0</v>
      </c>
      <c r="AC11" s="26">
        <v>0</v>
      </c>
      <c r="AD11" s="26">
        <v>378</v>
      </c>
      <c r="AE11" s="26">
        <v>756</v>
      </c>
      <c r="AF11" s="26">
        <v>77.289999999999978</v>
      </c>
      <c r="AG11" s="26">
        <v>40</v>
      </c>
      <c r="AH11" s="26">
        <v>0</v>
      </c>
      <c r="AI11" s="26">
        <v>56</v>
      </c>
      <c r="AJ11" s="26">
        <v>0</v>
      </c>
      <c r="AK11" s="26">
        <v>0</v>
      </c>
      <c r="AL11" s="26">
        <v>0</v>
      </c>
      <c r="AM11" s="26">
        <v>0</v>
      </c>
      <c r="AN11" s="26">
        <v>130</v>
      </c>
      <c r="AO11" s="23">
        <f t="shared" si="0"/>
        <v>1690.1399999999999</v>
      </c>
      <c r="AP11" s="24">
        <v>1690.1399999999999</v>
      </c>
      <c r="AQ11" s="24">
        <v>1690.14</v>
      </c>
      <c r="AR11" s="25">
        <f t="shared" si="1"/>
        <v>0</v>
      </c>
      <c r="AS11" s="25">
        <f t="shared" si="2"/>
        <v>0</v>
      </c>
      <c r="AT11" s="4"/>
    </row>
    <row r="12" spans="1:46" ht="14.25" customHeight="1">
      <c r="A12" s="18">
        <v>8</v>
      </c>
      <c r="B12" s="19" t="s">
        <v>61</v>
      </c>
      <c r="C12" s="19" t="s">
        <v>51</v>
      </c>
      <c r="D12" s="20" t="s">
        <v>62</v>
      </c>
      <c r="E12" s="20">
        <v>1600</v>
      </c>
      <c r="F12" s="21">
        <v>0</v>
      </c>
      <c r="G12" s="21">
        <v>0</v>
      </c>
      <c r="H12" s="26">
        <v>0</v>
      </c>
      <c r="I12" s="26">
        <v>50</v>
      </c>
      <c r="J12" s="26">
        <v>0</v>
      </c>
      <c r="K12" s="26">
        <v>0</v>
      </c>
      <c r="L12" s="26">
        <v>0</v>
      </c>
      <c r="M12" s="26">
        <v>0</v>
      </c>
      <c r="N12" s="26">
        <v>50</v>
      </c>
      <c r="O12" s="26">
        <v>0</v>
      </c>
      <c r="P12" s="26">
        <v>0</v>
      </c>
      <c r="Q12" s="27">
        <v>80</v>
      </c>
      <c r="R12" s="26">
        <v>0</v>
      </c>
      <c r="S12" s="26">
        <v>30</v>
      </c>
      <c r="T12" s="26">
        <v>0</v>
      </c>
      <c r="U12" s="26">
        <v>0</v>
      </c>
      <c r="V12" s="26">
        <v>0</v>
      </c>
      <c r="W12" s="26">
        <v>0</v>
      </c>
      <c r="X12" s="26">
        <v>0</v>
      </c>
      <c r="Y12" s="26">
        <v>0</v>
      </c>
      <c r="Z12" s="26">
        <v>0</v>
      </c>
      <c r="AA12" s="26">
        <v>0</v>
      </c>
      <c r="AB12" s="26">
        <v>0</v>
      </c>
      <c r="AC12" s="26">
        <v>0</v>
      </c>
      <c r="AD12" s="26">
        <v>336</v>
      </c>
      <c r="AE12" s="26">
        <v>672</v>
      </c>
      <c r="AF12" s="26">
        <v>245.27</v>
      </c>
      <c r="AG12" s="26">
        <v>70</v>
      </c>
      <c r="AH12" s="26">
        <v>0</v>
      </c>
      <c r="AI12" s="26">
        <v>346</v>
      </c>
      <c r="AJ12" s="26">
        <v>40</v>
      </c>
      <c r="AK12" s="26">
        <v>0</v>
      </c>
      <c r="AL12" s="26">
        <v>0</v>
      </c>
      <c r="AM12" s="26">
        <v>0</v>
      </c>
      <c r="AN12" s="26">
        <v>112</v>
      </c>
      <c r="AO12" s="23">
        <f t="shared" si="0"/>
        <v>2031.27</v>
      </c>
      <c r="AP12" s="24">
        <v>2031.27</v>
      </c>
      <c r="AQ12" s="24">
        <v>2031.27</v>
      </c>
      <c r="AR12" s="25">
        <f t="shared" si="1"/>
        <v>0</v>
      </c>
      <c r="AS12" s="25">
        <f t="shared" si="2"/>
        <v>0</v>
      </c>
      <c r="AT12" s="4"/>
    </row>
    <row r="13" spans="1:46" ht="14.25" customHeight="1">
      <c r="A13" s="18">
        <v>9</v>
      </c>
      <c r="B13" s="19" t="s">
        <v>63</v>
      </c>
      <c r="C13" s="19" t="s">
        <v>51</v>
      </c>
      <c r="D13" s="20" t="s">
        <v>52</v>
      </c>
      <c r="E13" s="20">
        <v>1600</v>
      </c>
      <c r="F13" s="21">
        <v>8502.36</v>
      </c>
      <c r="G13" s="21">
        <v>1016.6600000000001</v>
      </c>
      <c r="H13" s="26">
        <v>0</v>
      </c>
      <c r="I13" s="26">
        <v>2532.3400000000011</v>
      </c>
      <c r="J13" s="26">
        <v>0</v>
      </c>
      <c r="K13" s="26">
        <v>0</v>
      </c>
      <c r="L13" s="26">
        <v>0</v>
      </c>
      <c r="M13" s="26">
        <v>0</v>
      </c>
      <c r="N13" s="26">
        <v>0</v>
      </c>
      <c r="O13" s="26">
        <v>176</v>
      </c>
      <c r="P13" s="26">
        <v>0</v>
      </c>
      <c r="Q13" s="27">
        <v>80</v>
      </c>
      <c r="R13" s="26">
        <v>1600</v>
      </c>
      <c r="S13" s="26">
        <v>0</v>
      </c>
      <c r="T13" s="26">
        <v>0</v>
      </c>
      <c r="U13" s="26">
        <v>0</v>
      </c>
      <c r="V13" s="26">
        <v>0</v>
      </c>
      <c r="W13" s="26">
        <v>0</v>
      </c>
      <c r="X13" s="26">
        <v>0</v>
      </c>
      <c r="Y13" s="26">
        <v>0</v>
      </c>
      <c r="Z13" s="26">
        <v>0</v>
      </c>
      <c r="AA13" s="26">
        <v>0</v>
      </c>
      <c r="AB13" s="26">
        <v>300</v>
      </c>
      <c r="AC13" s="26">
        <v>0</v>
      </c>
      <c r="AD13" s="26">
        <v>196</v>
      </c>
      <c r="AE13" s="26">
        <v>392</v>
      </c>
      <c r="AF13" s="26">
        <v>61.666666666666671</v>
      </c>
      <c r="AG13" s="26">
        <v>180</v>
      </c>
      <c r="AH13" s="26">
        <v>0</v>
      </c>
      <c r="AI13" s="26">
        <v>0</v>
      </c>
      <c r="AJ13" s="26">
        <v>20</v>
      </c>
      <c r="AK13" s="26">
        <v>0</v>
      </c>
      <c r="AL13" s="26">
        <v>0</v>
      </c>
      <c r="AM13" s="26">
        <v>0</v>
      </c>
      <c r="AN13" s="26">
        <v>58</v>
      </c>
      <c r="AO13" s="23">
        <f t="shared" si="0"/>
        <v>15115.026666666667</v>
      </c>
      <c r="AP13" s="24">
        <v>15115.026666666667</v>
      </c>
      <c r="AQ13" s="24">
        <v>15115.03</v>
      </c>
      <c r="AR13" s="25">
        <f t="shared" si="1"/>
        <v>0</v>
      </c>
      <c r="AS13" s="25">
        <f t="shared" si="2"/>
        <v>-3.3333333340124227E-3</v>
      </c>
      <c r="AT13" s="4"/>
    </row>
    <row r="14" spans="1:46" ht="14.25" customHeight="1">
      <c r="A14" s="18">
        <v>10</v>
      </c>
      <c r="B14" s="19" t="s">
        <v>64</v>
      </c>
      <c r="C14" s="19" t="s">
        <v>51</v>
      </c>
      <c r="D14" s="20" t="s">
        <v>52</v>
      </c>
      <c r="E14" s="20">
        <v>1600</v>
      </c>
      <c r="F14" s="21">
        <v>850</v>
      </c>
      <c r="G14" s="21">
        <v>0</v>
      </c>
      <c r="H14" s="26">
        <v>0</v>
      </c>
      <c r="I14" s="26">
        <v>362.54000000000008</v>
      </c>
      <c r="J14" s="26">
        <v>0</v>
      </c>
      <c r="K14" s="26">
        <v>0</v>
      </c>
      <c r="L14" s="26">
        <v>0</v>
      </c>
      <c r="M14" s="26">
        <v>0</v>
      </c>
      <c r="N14" s="26">
        <v>0</v>
      </c>
      <c r="O14" s="26">
        <v>0</v>
      </c>
      <c r="P14" s="26">
        <v>0</v>
      </c>
      <c r="Q14" s="27">
        <v>58.319999999999993</v>
      </c>
      <c r="R14" s="26">
        <v>0</v>
      </c>
      <c r="S14" s="26">
        <v>0</v>
      </c>
      <c r="T14" s="26">
        <v>0</v>
      </c>
      <c r="U14" s="26">
        <v>0</v>
      </c>
      <c r="V14" s="26">
        <v>0</v>
      </c>
      <c r="W14" s="26">
        <v>0</v>
      </c>
      <c r="X14" s="26">
        <v>0</v>
      </c>
      <c r="Y14" s="26">
        <v>0</v>
      </c>
      <c r="Z14" s="26">
        <v>0</v>
      </c>
      <c r="AA14" s="26">
        <v>0</v>
      </c>
      <c r="AB14" s="26">
        <v>0</v>
      </c>
      <c r="AC14" s="26">
        <v>0</v>
      </c>
      <c r="AD14" s="26">
        <v>252</v>
      </c>
      <c r="AE14" s="26">
        <v>504</v>
      </c>
      <c r="AF14" s="26">
        <v>111.18999999999998</v>
      </c>
      <c r="AG14" s="26">
        <v>0</v>
      </c>
      <c r="AH14" s="26">
        <v>0</v>
      </c>
      <c r="AI14" s="26">
        <v>256</v>
      </c>
      <c r="AJ14" s="26">
        <v>0</v>
      </c>
      <c r="AK14" s="26">
        <v>0</v>
      </c>
      <c r="AL14" s="26">
        <v>0</v>
      </c>
      <c r="AM14" s="26">
        <v>0</v>
      </c>
      <c r="AN14" s="26">
        <v>8</v>
      </c>
      <c r="AO14" s="23">
        <f t="shared" si="0"/>
        <v>2402.0499999999997</v>
      </c>
      <c r="AP14" s="24">
        <v>2402.0499999999997</v>
      </c>
      <c r="AQ14" s="24">
        <v>2402.0500000000002</v>
      </c>
      <c r="AR14" s="25">
        <f t="shared" si="1"/>
        <v>0</v>
      </c>
      <c r="AS14" s="25">
        <f t="shared" si="2"/>
        <v>0</v>
      </c>
      <c r="AT14" s="4"/>
    </row>
    <row r="15" spans="1:46" ht="14.25" customHeight="1">
      <c r="A15" s="18">
        <v>11</v>
      </c>
      <c r="B15" s="19" t="s">
        <v>65</v>
      </c>
      <c r="C15" s="19" t="s">
        <v>51</v>
      </c>
      <c r="D15" s="20" t="s">
        <v>54</v>
      </c>
      <c r="E15" s="20">
        <v>1600</v>
      </c>
      <c r="F15" s="21">
        <v>0</v>
      </c>
      <c r="G15" s="21">
        <v>0</v>
      </c>
      <c r="H15" s="26">
        <v>0</v>
      </c>
      <c r="I15" s="26">
        <v>0</v>
      </c>
      <c r="J15" s="26">
        <v>0</v>
      </c>
      <c r="K15" s="26">
        <v>0</v>
      </c>
      <c r="L15" s="26">
        <v>0</v>
      </c>
      <c r="M15" s="26">
        <v>0</v>
      </c>
      <c r="N15" s="26">
        <v>400</v>
      </c>
      <c r="O15" s="26">
        <v>0</v>
      </c>
      <c r="P15" s="26">
        <v>0</v>
      </c>
      <c r="Q15" s="27">
        <v>0</v>
      </c>
      <c r="R15" s="26">
        <v>0</v>
      </c>
      <c r="S15" s="26">
        <v>0</v>
      </c>
      <c r="T15" s="26">
        <v>0</v>
      </c>
      <c r="U15" s="26">
        <v>0</v>
      </c>
      <c r="V15" s="26">
        <v>0</v>
      </c>
      <c r="W15" s="26">
        <v>0</v>
      </c>
      <c r="X15" s="26">
        <v>0</v>
      </c>
      <c r="Y15" s="26">
        <v>0</v>
      </c>
      <c r="Z15" s="26">
        <v>0</v>
      </c>
      <c r="AA15" s="26">
        <v>0</v>
      </c>
      <c r="AB15" s="26">
        <v>0</v>
      </c>
      <c r="AC15" s="26">
        <v>0</v>
      </c>
      <c r="AD15" s="26">
        <v>336</v>
      </c>
      <c r="AE15" s="26">
        <v>672</v>
      </c>
      <c r="AF15" s="26">
        <v>35.29</v>
      </c>
      <c r="AG15" s="26">
        <v>20</v>
      </c>
      <c r="AH15" s="26">
        <v>0</v>
      </c>
      <c r="AI15" s="26">
        <v>200</v>
      </c>
      <c r="AJ15" s="26">
        <v>50</v>
      </c>
      <c r="AK15" s="26">
        <v>0</v>
      </c>
      <c r="AL15" s="26">
        <v>0</v>
      </c>
      <c r="AM15" s="26">
        <v>0</v>
      </c>
      <c r="AN15" s="26">
        <v>0</v>
      </c>
      <c r="AO15" s="23">
        <f t="shared" si="0"/>
        <v>1713.29</v>
      </c>
      <c r="AP15" s="24">
        <v>1713.29</v>
      </c>
      <c r="AQ15" s="24">
        <v>1713.29</v>
      </c>
      <c r="AR15" s="25">
        <f t="shared" si="1"/>
        <v>0</v>
      </c>
      <c r="AS15" s="25">
        <f t="shared" si="2"/>
        <v>0</v>
      </c>
      <c r="AT15" s="4"/>
    </row>
    <row r="16" spans="1:46" ht="14.25" customHeight="1">
      <c r="A16" s="18">
        <v>12</v>
      </c>
      <c r="B16" s="19" t="s">
        <v>66</v>
      </c>
      <c r="C16" s="19" t="s">
        <v>51</v>
      </c>
      <c r="D16" s="20" t="s">
        <v>52</v>
      </c>
      <c r="E16" s="20">
        <v>1600</v>
      </c>
      <c r="F16" s="21">
        <v>385.72</v>
      </c>
      <c r="G16" s="21">
        <v>0</v>
      </c>
      <c r="H16" s="26">
        <v>0</v>
      </c>
      <c r="I16" s="26">
        <v>108.75</v>
      </c>
      <c r="J16" s="26">
        <v>0</v>
      </c>
      <c r="K16" s="26">
        <v>0</v>
      </c>
      <c r="L16" s="26">
        <v>0</v>
      </c>
      <c r="M16" s="26">
        <v>0</v>
      </c>
      <c r="N16" s="26">
        <v>0</v>
      </c>
      <c r="O16" s="26">
        <v>0</v>
      </c>
      <c r="P16" s="26">
        <v>0</v>
      </c>
      <c r="Q16" s="27">
        <v>2.5</v>
      </c>
      <c r="R16" s="26">
        <v>400</v>
      </c>
      <c r="S16" s="26">
        <v>0</v>
      </c>
      <c r="T16" s="26">
        <v>0</v>
      </c>
      <c r="U16" s="26">
        <v>0</v>
      </c>
      <c r="V16" s="26">
        <v>0</v>
      </c>
      <c r="W16" s="26">
        <v>0</v>
      </c>
      <c r="X16" s="26">
        <v>0</v>
      </c>
      <c r="Y16" s="26">
        <v>100</v>
      </c>
      <c r="Z16" s="26">
        <v>0</v>
      </c>
      <c r="AA16" s="26">
        <v>0</v>
      </c>
      <c r="AB16" s="26">
        <v>0</v>
      </c>
      <c r="AC16" s="26">
        <v>0</v>
      </c>
      <c r="AD16" s="26">
        <v>252</v>
      </c>
      <c r="AE16" s="26">
        <v>504</v>
      </c>
      <c r="AF16" s="26">
        <v>273.83333333333331</v>
      </c>
      <c r="AG16" s="26">
        <v>240</v>
      </c>
      <c r="AH16" s="26">
        <v>280</v>
      </c>
      <c r="AI16" s="26">
        <v>1156</v>
      </c>
      <c r="AJ16" s="26">
        <v>0</v>
      </c>
      <c r="AK16" s="26">
        <v>0</v>
      </c>
      <c r="AL16" s="26">
        <v>200</v>
      </c>
      <c r="AM16" s="26">
        <v>0</v>
      </c>
      <c r="AN16" s="26">
        <v>80</v>
      </c>
      <c r="AO16" s="23">
        <f t="shared" si="0"/>
        <v>3982.8033333333333</v>
      </c>
      <c r="AP16" s="24">
        <v>3982.8033333333333</v>
      </c>
      <c r="AQ16" s="24">
        <v>3982.8</v>
      </c>
      <c r="AR16" s="25">
        <f t="shared" si="1"/>
        <v>0</v>
      </c>
      <c r="AS16" s="25">
        <f t="shared" si="2"/>
        <v>3.333333333102928E-3</v>
      </c>
      <c r="AT16" s="4"/>
    </row>
    <row r="17" spans="1:46" ht="14.25" customHeight="1">
      <c r="A17" s="18">
        <v>13</v>
      </c>
      <c r="B17" s="19" t="s">
        <v>67</v>
      </c>
      <c r="C17" s="19" t="s">
        <v>51</v>
      </c>
      <c r="D17" s="20" t="s">
        <v>62</v>
      </c>
      <c r="E17" s="20">
        <v>1600</v>
      </c>
      <c r="F17" s="21">
        <v>0</v>
      </c>
      <c r="G17" s="21">
        <v>0</v>
      </c>
      <c r="H17" s="26">
        <v>0</v>
      </c>
      <c r="I17" s="26">
        <v>0</v>
      </c>
      <c r="J17" s="26">
        <v>0</v>
      </c>
      <c r="K17" s="26">
        <v>0</v>
      </c>
      <c r="L17" s="26">
        <v>0</v>
      </c>
      <c r="M17" s="26">
        <v>0</v>
      </c>
      <c r="N17" s="26">
        <v>0</v>
      </c>
      <c r="O17" s="26">
        <v>0</v>
      </c>
      <c r="P17" s="26">
        <v>0</v>
      </c>
      <c r="Q17" s="27">
        <v>0</v>
      </c>
      <c r="R17" s="26">
        <v>0</v>
      </c>
      <c r="S17" s="26">
        <v>0</v>
      </c>
      <c r="T17" s="26">
        <v>0</v>
      </c>
      <c r="U17" s="26">
        <v>0</v>
      </c>
      <c r="V17" s="26">
        <v>0</v>
      </c>
      <c r="W17" s="26">
        <v>0</v>
      </c>
      <c r="X17" s="26">
        <v>0</v>
      </c>
      <c r="Y17" s="26">
        <v>0</v>
      </c>
      <c r="Z17" s="26">
        <v>0</v>
      </c>
      <c r="AA17" s="26">
        <v>0</v>
      </c>
      <c r="AB17" s="26">
        <v>0</v>
      </c>
      <c r="AC17" s="26">
        <v>0</v>
      </c>
      <c r="AD17" s="26">
        <v>448</v>
      </c>
      <c r="AE17" s="26">
        <v>896</v>
      </c>
      <c r="AF17" s="26">
        <v>122.08333333333334</v>
      </c>
      <c r="AG17" s="26">
        <v>40</v>
      </c>
      <c r="AH17" s="26">
        <v>0</v>
      </c>
      <c r="AI17" s="26">
        <v>370</v>
      </c>
      <c r="AJ17" s="26">
        <v>70</v>
      </c>
      <c r="AK17" s="26">
        <v>0</v>
      </c>
      <c r="AL17" s="26">
        <v>0</v>
      </c>
      <c r="AM17" s="26">
        <v>0</v>
      </c>
      <c r="AN17" s="26">
        <v>180</v>
      </c>
      <c r="AO17" s="23">
        <f t="shared" si="0"/>
        <v>2126.083333333333</v>
      </c>
      <c r="AP17" s="24">
        <v>2126.083333333333</v>
      </c>
      <c r="AQ17" s="24">
        <v>2126.08</v>
      </c>
      <c r="AR17" s="25">
        <f t="shared" si="1"/>
        <v>0</v>
      </c>
      <c r="AS17" s="25">
        <f t="shared" si="2"/>
        <v>3.333333333102928E-3</v>
      </c>
      <c r="AT17" s="4"/>
    </row>
    <row r="18" spans="1:46" ht="14.25" customHeight="1">
      <c r="A18" s="18">
        <v>14</v>
      </c>
      <c r="B18" s="19" t="s">
        <v>68</v>
      </c>
      <c r="C18" s="19" t="s">
        <v>51</v>
      </c>
      <c r="D18" s="20" t="s">
        <v>69</v>
      </c>
      <c r="E18" s="20">
        <v>1600</v>
      </c>
      <c r="F18" s="21">
        <v>0</v>
      </c>
      <c r="G18" s="21">
        <v>0</v>
      </c>
      <c r="H18" s="26">
        <v>0</v>
      </c>
      <c r="I18" s="26">
        <v>133.29</v>
      </c>
      <c r="J18" s="26">
        <v>0</v>
      </c>
      <c r="K18" s="26">
        <v>0</v>
      </c>
      <c r="L18" s="26">
        <v>0</v>
      </c>
      <c r="M18" s="26">
        <v>0</v>
      </c>
      <c r="N18" s="26">
        <v>0</v>
      </c>
      <c r="O18" s="26">
        <v>0</v>
      </c>
      <c r="P18" s="26">
        <v>0</v>
      </c>
      <c r="Q18" s="27">
        <v>0</v>
      </c>
      <c r="R18" s="26">
        <v>310</v>
      </c>
      <c r="S18" s="26">
        <v>0</v>
      </c>
      <c r="T18" s="26">
        <v>0</v>
      </c>
      <c r="U18" s="26">
        <v>0</v>
      </c>
      <c r="V18" s="26">
        <v>0</v>
      </c>
      <c r="W18" s="26">
        <v>0</v>
      </c>
      <c r="X18" s="26">
        <v>0</v>
      </c>
      <c r="Y18" s="26">
        <v>0</v>
      </c>
      <c r="Z18" s="26">
        <v>0</v>
      </c>
      <c r="AA18" s="26">
        <v>0</v>
      </c>
      <c r="AB18" s="26">
        <v>0</v>
      </c>
      <c r="AC18" s="26">
        <v>0</v>
      </c>
      <c r="AD18" s="26">
        <v>280</v>
      </c>
      <c r="AE18" s="26">
        <v>560</v>
      </c>
      <c r="AF18" s="26">
        <v>80.969999999999985</v>
      </c>
      <c r="AG18" s="26">
        <v>160</v>
      </c>
      <c r="AH18" s="26">
        <v>40</v>
      </c>
      <c r="AI18" s="26">
        <v>400</v>
      </c>
      <c r="AJ18" s="26">
        <v>0</v>
      </c>
      <c r="AK18" s="26">
        <v>0</v>
      </c>
      <c r="AL18" s="26">
        <v>0</v>
      </c>
      <c r="AM18" s="26">
        <v>0</v>
      </c>
      <c r="AN18" s="26">
        <v>100</v>
      </c>
      <c r="AO18" s="23">
        <f t="shared" si="0"/>
        <v>2064.2600000000002</v>
      </c>
      <c r="AP18" s="24">
        <v>2064.2600000000002</v>
      </c>
      <c r="AQ18" s="24">
        <v>2064.2600000000002</v>
      </c>
      <c r="AR18" s="25">
        <f t="shared" si="1"/>
        <v>0</v>
      </c>
      <c r="AS18" s="25">
        <f t="shared" si="2"/>
        <v>0</v>
      </c>
      <c r="AT18" s="4"/>
    </row>
    <row r="19" spans="1:46" ht="14.25" customHeight="1">
      <c r="A19" s="18">
        <v>15</v>
      </c>
      <c r="B19" s="19" t="s">
        <v>70</v>
      </c>
      <c r="C19" s="19" t="s">
        <v>51</v>
      </c>
      <c r="D19" s="20" t="s">
        <v>52</v>
      </c>
      <c r="E19" s="20">
        <v>1600</v>
      </c>
      <c r="F19" s="21">
        <v>0</v>
      </c>
      <c r="G19" s="21">
        <v>0</v>
      </c>
      <c r="H19" s="26">
        <v>0</v>
      </c>
      <c r="I19" s="26">
        <v>75</v>
      </c>
      <c r="J19" s="26">
        <v>0</v>
      </c>
      <c r="K19" s="26">
        <v>0</v>
      </c>
      <c r="L19" s="26">
        <v>0</v>
      </c>
      <c r="M19" s="26">
        <v>0</v>
      </c>
      <c r="N19" s="26">
        <v>20</v>
      </c>
      <c r="O19" s="26">
        <v>1842</v>
      </c>
      <c r="P19" s="26">
        <v>0</v>
      </c>
      <c r="Q19" s="27">
        <v>270</v>
      </c>
      <c r="R19" s="26">
        <v>100</v>
      </c>
      <c r="S19" s="26">
        <v>0</v>
      </c>
      <c r="T19" s="26">
        <v>0</v>
      </c>
      <c r="U19" s="26">
        <v>0</v>
      </c>
      <c r="V19" s="26">
        <v>0</v>
      </c>
      <c r="W19" s="26">
        <v>0</v>
      </c>
      <c r="X19" s="26">
        <v>0</v>
      </c>
      <c r="Y19" s="26">
        <v>0</v>
      </c>
      <c r="Z19" s="26">
        <v>0</v>
      </c>
      <c r="AA19" s="26">
        <v>0</v>
      </c>
      <c r="AB19" s="26">
        <v>0</v>
      </c>
      <c r="AC19" s="26">
        <v>0</v>
      </c>
      <c r="AD19" s="26">
        <v>196</v>
      </c>
      <c r="AE19" s="26">
        <v>392</v>
      </c>
      <c r="AF19" s="26">
        <v>94.933333333333337</v>
      </c>
      <c r="AG19" s="26">
        <v>160</v>
      </c>
      <c r="AH19" s="26">
        <v>0</v>
      </c>
      <c r="AI19" s="26">
        <v>256</v>
      </c>
      <c r="AJ19" s="26">
        <v>50</v>
      </c>
      <c r="AK19" s="26">
        <v>0</v>
      </c>
      <c r="AL19" s="26">
        <v>0</v>
      </c>
      <c r="AM19" s="26">
        <v>0</v>
      </c>
      <c r="AN19" s="26">
        <v>19.166666666666668</v>
      </c>
      <c r="AO19" s="23">
        <f t="shared" si="0"/>
        <v>3475.1</v>
      </c>
      <c r="AP19" s="24">
        <v>3475.1</v>
      </c>
      <c r="AQ19" s="24">
        <v>3475.1</v>
      </c>
      <c r="AR19" s="25">
        <f t="shared" si="1"/>
        <v>0</v>
      </c>
      <c r="AS19" s="25">
        <f t="shared" si="2"/>
        <v>0</v>
      </c>
      <c r="AT19" s="4"/>
    </row>
    <row r="20" spans="1:46" ht="14.25" customHeight="1">
      <c r="A20" s="18">
        <v>16</v>
      </c>
      <c r="B20" s="19" t="s">
        <v>71</v>
      </c>
      <c r="C20" s="19" t="s">
        <v>51</v>
      </c>
      <c r="D20" s="20" t="s">
        <v>52</v>
      </c>
      <c r="E20" s="20">
        <v>1600</v>
      </c>
      <c r="F20" s="21">
        <v>6416.66</v>
      </c>
      <c r="G20" s="21">
        <v>470</v>
      </c>
      <c r="H20" s="26">
        <v>0</v>
      </c>
      <c r="I20" s="26">
        <v>2163.5400000000009</v>
      </c>
      <c r="J20" s="26">
        <v>0</v>
      </c>
      <c r="K20" s="26">
        <v>0</v>
      </c>
      <c r="L20" s="26">
        <v>0</v>
      </c>
      <c r="M20" s="26">
        <v>0</v>
      </c>
      <c r="N20" s="26">
        <v>0</v>
      </c>
      <c r="O20" s="26">
        <v>0</v>
      </c>
      <c r="P20" s="26">
        <v>0</v>
      </c>
      <c r="Q20" s="27">
        <v>99.4</v>
      </c>
      <c r="R20" s="26">
        <v>5045</v>
      </c>
      <c r="S20" s="26">
        <v>2200</v>
      </c>
      <c r="T20" s="26">
        <v>0</v>
      </c>
      <c r="U20" s="26">
        <v>0</v>
      </c>
      <c r="V20" s="26">
        <v>0</v>
      </c>
      <c r="W20" s="26">
        <v>0</v>
      </c>
      <c r="X20" s="26">
        <v>0</v>
      </c>
      <c r="Y20" s="26">
        <v>0</v>
      </c>
      <c r="Z20" s="26">
        <v>0</v>
      </c>
      <c r="AA20" s="26">
        <v>0</v>
      </c>
      <c r="AB20" s="26">
        <v>0</v>
      </c>
      <c r="AC20" s="26">
        <v>0</v>
      </c>
      <c r="AD20" s="26">
        <v>196</v>
      </c>
      <c r="AE20" s="26">
        <v>392</v>
      </c>
      <c r="AF20" s="26">
        <v>129.96999999999997</v>
      </c>
      <c r="AG20" s="26">
        <v>140</v>
      </c>
      <c r="AH20" s="26">
        <v>60</v>
      </c>
      <c r="AI20" s="26">
        <v>256</v>
      </c>
      <c r="AJ20" s="26">
        <v>30</v>
      </c>
      <c r="AK20" s="26">
        <v>0</v>
      </c>
      <c r="AL20" s="26">
        <v>0</v>
      </c>
      <c r="AM20" s="26">
        <v>0</v>
      </c>
      <c r="AN20" s="26">
        <v>100</v>
      </c>
      <c r="AO20" s="23">
        <f t="shared" si="0"/>
        <v>17698.57</v>
      </c>
      <c r="AP20" s="24">
        <v>17698.57</v>
      </c>
      <c r="AQ20" s="24">
        <v>17698.57</v>
      </c>
      <c r="AR20" s="25">
        <f t="shared" si="1"/>
        <v>0</v>
      </c>
      <c r="AS20" s="25">
        <f t="shared" si="2"/>
        <v>0</v>
      </c>
      <c r="AT20" s="4"/>
    </row>
    <row r="21" spans="1:46" ht="14.25" customHeight="1">
      <c r="A21" s="18">
        <v>17</v>
      </c>
      <c r="B21" s="19" t="s">
        <v>72</v>
      </c>
      <c r="C21" s="19" t="s">
        <v>51</v>
      </c>
      <c r="D21" s="20" t="s">
        <v>54</v>
      </c>
      <c r="E21" s="20">
        <v>1600</v>
      </c>
      <c r="F21" s="21">
        <v>0</v>
      </c>
      <c r="G21" s="21">
        <v>0</v>
      </c>
      <c r="H21" s="26">
        <v>0</v>
      </c>
      <c r="I21" s="26">
        <v>325.01000000000005</v>
      </c>
      <c r="J21" s="26">
        <v>0</v>
      </c>
      <c r="K21" s="26">
        <v>0</v>
      </c>
      <c r="L21" s="26">
        <v>0</v>
      </c>
      <c r="M21" s="26">
        <v>0</v>
      </c>
      <c r="N21" s="26">
        <v>0</v>
      </c>
      <c r="O21" s="26">
        <v>0</v>
      </c>
      <c r="P21" s="26">
        <v>0</v>
      </c>
      <c r="Q21" s="27">
        <v>16.670000000000002</v>
      </c>
      <c r="R21" s="26">
        <v>100</v>
      </c>
      <c r="S21" s="26">
        <v>20</v>
      </c>
      <c r="T21" s="26">
        <v>0</v>
      </c>
      <c r="U21" s="26">
        <v>0</v>
      </c>
      <c r="V21" s="26">
        <v>0</v>
      </c>
      <c r="W21" s="26">
        <v>0</v>
      </c>
      <c r="X21" s="26">
        <v>0</v>
      </c>
      <c r="Y21" s="26">
        <v>0</v>
      </c>
      <c r="Z21" s="26">
        <v>0</v>
      </c>
      <c r="AA21" s="26">
        <v>0</v>
      </c>
      <c r="AB21" s="26">
        <v>0</v>
      </c>
      <c r="AC21" s="26">
        <v>0</v>
      </c>
      <c r="AD21" s="26">
        <v>336</v>
      </c>
      <c r="AE21" s="26">
        <v>672</v>
      </c>
      <c r="AF21" s="26">
        <v>91.81</v>
      </c>
      <c r="AG21" s="26">
        <v>0</v>
      </c>
      <c r="AH21" s="26">
        <v>0</v>
      </c>
      <c r="AI21" s="26">
        <v>56</v>
      </c>
      <c r="AJ21" s="26">
        <v>0</v>
      </c>
      <c r="AK21" s="26">
        <v>0</v>
      </c>
      <c r="AL21" s="26">
        <v>0</v>
      </c>
      <c r="AM21" s="26">
        <v>0</v>
      </c>
      <c r="AN21" s="26">
        <v>212</v>
      </c>
      <c r="AO21" s="23">
        <f t="shared" si="0"/>
        <v>1829.49</v>
      </c>
      <c r="AP21" s="24">
        <v>1829.49</v>
      </c>
      <c r="AQ21" s="24">
        <v>1829.49</v>
      </c>
      <c r="AR21" s="25">
        <f t="shared" si="1"/>
        <v>0</v>
      </c>
      <c r="AS21" s="25">
        <f t="shared" si="2"/>
        <v>0</v>
      </c>
      <c r="AT21" s="4"/>
    </row>
    <row r="22" spans="1:46" ht="14.25" customHeight="1">
      <c r="A22" s="18">
        <v>18</v>
      </c>
      <c r="B22" s="19" t="s">
        <v>73</v>
      </c>
      <c r="C22" s="19" t="s">
        <v>51</v>
      </c>
      <c r="D22" s="20" t="s">
        <v>52</v>
      </c>
      <c r="E22" s="20">
        <v>1600</v>
      </c>
      <c r="F22" s="21">
        <v>250</v>
      </c>
      <c r="G22" s="21">
        <v>0</v>
      </c>
      <c r="H22" s="26">
        <v>0</v>
      </c>
      <c r="I22" s="26">
        <v>553.32000000000005</v>
      </c>
      <c r="J22" s="26">
        <v>0</v>
      </c>
      <c r="K22" s="26">
        <v>0</v>
      </c>
      <c r="L22" s="26">
        <v>0</v>
      </c>
      <c r="M22" s="26">
        <v>0</v>
      </c>
      <c r="N22" s="26">
        <v>0</v>
      </c>
      <c r="O22" s="26">
        <v>754.33</v>
      </c>
      <c r="P22" s="26">
        <v>33.340000000000003</v>
      </c>
      <c r="Q22" s="27">
        <v>95.639999999999986</v>
      </c>
      <c r="R22" s="26">
        <v>460</v>
      </c>
      <c r="S22" s="26">
        <v>75</v>
      </c>
      <c r="T22" s="26">
        <v>0</v>
      </c>
      <c r="U22" s="26">
        <v>0</v>
      </c>
      <c r="V22" s="26">
        <v>0</v>
      </c>
      <c r="W22" s="26">
        <v>0</v>
      </c>
      <c r="X22" s="26">
        <v>0</v>
      </c>
      <c r="Y22" s="26">
        <v>0</v>
      </c>
      <c r="Z22" s="26">
        <v>0</v>
      </c>
      <c r="AA22" s="26">
        <v>0</v>
      </c>
      <c r="AB22" s="26">
        <v>100</v>
      </c>
      <c r="AC22" s="26">
        <v>20</v>
      </c>
      <c r="AD22" s="26">
        <v>196</v>
      </c>
      <c r="AE22" s="26">
        <v>392</v>
      </c>
      <c r="AF22" s="26">
        <v>305.56299999999993</v>
      </c>
      <c r="AG22" s="26">
        <v>440</v>
      </c>
      <c r="AH22" s="26">
        <v>150</v>
      </c>
      <c r="AI22" s="26">
        <v>56</v>
      </c>
      <c r="AJ22" s="26">
        <v>130</v>
      </c>
      <c r="AK22" s="26">
        <v>0</v>
      </c>
      <c r="AL22" s="26">
        <v>50</v>
      </c>
      <c r="AM22" s="26">
        <v>0</v>
      </c>
      <c r="AN22" s="26">
        <v>100</v>
      </c>
      <c r="AO22" s="23">
        <f t="shared" si="0"/>
        <v>4161.1930000000002</v>
      </c>
      <c r="AP22" s="24">
        <v>4161.1930000000002</v>
      </c>
      <c r="AQ22" s="24">
        <v>4161.1899999999996</v>
      </c>
      <c r="AR22" s="25">
        <f t="shared" si="1"/>
        <v>0</v>
      </c>
      <c r="AS22" s="25">
        <f t="shared" si="2"/>
        <v>3.0000000006111804E-3</v>
      </c>
      <c r="AT22" s="4"/>
    </row>
    <row r="23" spans="1:46" ht="14.25" customHeight="1">
      <c r="A23" s="18">
        <v>19</v>
      </c>
      <c r="B23" s="31" t="s">
        <v>74</v>
      </c>
      <c r="C23" s="19" t="s">
        <v>51</v>
      </c>
      <c r="D23" s="20" t="s">
        <v>54</v>
      </c>
      <c r="E23" s="20">
        <v>1600</v>
      </c>
      <c r="F23" s="21">
        <v>0</v>
      </c>
      <c r="G23" s="21">
        <v>0</v>
      </c>
      <c r="H23" s="26">
        <v>0</v>
      </c>
      <c r="I23" s="26">
        <v>0</v>
      </c>
      <c r="J23" s="26">
        <v>0</v>
      </c>
      <c r="K23" s="26">
        <v>0</v>
      </c>
      <c r="L23" s="26">
        <v>0</v>
      </c>
      <c r="M23" s="26">
        <v>0</v>
      </c>
      <c r="N23" s="26">
        <v>0</v>
      </c>
      <c r="O23" s="26">
        <v>0</v>
      </c>
      <c r="P23" s="26">
        <v>0</v>
      </c>
      <c r="Q23" s="27">
        <v>0</v>
      </c>
      <c r="R23" s="26">
        <v>0</v>
      </c>
      <c r="S23" s="26">
        <v>0</v>
      </c>
      <c r="T23" s="26">
        <v>0</v>
      </c>
      <c r="U23" s="26">
        <v>0</v>
      </c>
      <c r="V23" s="26">
        <v>0</v>
      </c>
      <c r="W23" s="26">
        <v>0</v>
      </c>
      <c r="X23" s="26">
        <v>0</v>
      </c>
      <c r="Y23" s="26">
        <v>0</v>
      </c>
      <c r="Z23" s="26">
        <v>0</v>
      </c>
      <c r="AA23" s="26">
        <v>0</v>
      </c>
      <c r="AB23" s="26">
        <v>0</v>
      </c>
      <c r="AC23" s="26">
        <v>0</v>
      </c>
      <c r="AD23" s="26">
        <v>0</v>
      </c>
      <c r="AE23" s="26">
        <v>672</v>
      </c>
      <c r="AF23" s="26">
        <v>0</v>
      </c>
      <c r="AG23" s="26">
        <v>20</v>
      </c>
      <c r="AH23" s="26">
        <v>0</v>
      </c>
      <c r="AI23" s="26">
        <v>0</v>
      </c>
      <c r="AJ23" s="26">
        <v>15</v>
      </c>
      <c r="AK23" s="26">
        <v>0</v>
      </c>
      <c r="AL23" s="26">
        <v>0</v>
      </c>
      <c r="AM23" s="26">
        <v>0</v>
      </c>
      <c r="AN23" s="26">
        <v>100</v>
      </c>
      <c r="AO23" s="23">
        <f t="shared" si="0"/>
        <v>807</v>
      </c>
      <c r="AP23" s="24">
        <v>807</v>
      </c>
      <c r="AQ23" s="24">
        <v>807</v>
      </c>
      <c r="AR23" s="25">
        <f t="shared" si="1"/>
        <v>0</v>
      </c>
      <c r="AS23" s="25">
        <f t="shared" si="2"/>
        <v>0</v>
      </c>
      <c r="AT23" s="4"/>
    </row>
    <row r="24" spans="1:46" ht="14.25" customHeight="1">
      <c r="A24" s="18">
        <v>20</v>
      </c>
      <c r="B24" s="19" t="s">
        <v>75</v>
      </c>
      <c r="C24" s="19" t="s">
        <v>51</v>
      </c>
      <c r="D24" s="20" t="s">
        <v>54</v>
      </c>
      <c r="E24" s="20">
        <v>1600</v>
      </c>
      <c r="F24" s="21">
        <v>0</v>
      </c>
      <c r="G24" s="21">
        <v>0</v>
      </c>
      <c r="H24" s="26">
        <v>0</v>
      </c>
      <c r="I24" s="26">
        <v>50</v>
      </c>
      <c r="J24" s="26">
        <v>0</v>
      </c>
      <c r="K24" s="26">
        <v>0</v>
      </c>
      <c r="L24" s="26">
        <v>0</v>
      </c>
      <c r="M24" s="26">
        <v>0</v>
      </c>
      <c r="N24" s="26">
        <v>100</v>
      </c>
      <c r="O24" s="26">
        <v>1724</v>
      </c>
      <c r="P24" s="26">
        <v>0</v>
      </c>
      <c r="Q24" s="27">
        <v>40</v>
      </c>
      <c r="R24" s="26">
        <v>0</v>
      </c>
      <c r="S24" s="26">
        <v>0</v>
      </c>
      <c r="T24" s="26">
        <v>0</v>
      </c>
      <c r="U24" s="26">
        <v>0</v>
      </c>
      <c r="V24" s="26">
        <v>0</v>
      </c>
      <c r="W24" s="26">
        <v>0</v>
      </c>
      <c r="X24" s="26">
        <v>0</v>
      </c>
      <c r="Y24" s="26">
        <v>0</v>
      </c>
      <c r="Z24" s="26">
        <v>0</v>
      </c>
      <c r="AA24" s="26">
        <v>0</v>
      </c>
      <c r="AB24" s="26">
        <v>0</v>
      </c>
      <c r="AC24" s="26">
        <v>0</v>
      </c>
      <c r="AD24" s="26">
        <v>280</v>
      </c>
      <c r="AE24" s="26">
        <v>280</v>
      </c>
      <c r="AF24" s="26">
        <v>163.32999999999998</v>
      </c>
      <c r="AG24" s="26">
        <v>50</v>
      </c>
      <c r="AH24" s="26">
        <v>40</v>
      </c>
      <c r="AI24" s="26">
        <v>256</v>
      </c>
      <c r="AJ24" s="26">
        <v>0</v>
      </c>
      <c r="AK24" s="26">
        <v>0</v>
      </c>
      <c r="AL24" s="26">
        <v>0</v>
      </c>
      <c r="AM24" s="26">
        <v>0</v>
      </c>
      <c r="AN24" s="26">
        <v>0</v>
      </c>
      <c r="AO24" s="23">
        <f t="shared" si="0"/>
        <v>2983.33</v>
      </c>
      <c r="AP24" s="24">
        <v>2983.33</v>
      </c>
      <c r="AQ24" s="24">
        <v>2983.33</v>
      </c>
      <c r="AR24" s="25">
        <f t="shared" si="1"/>
        <v>0</v>
      </c>
      <c r="AS24" s="25">
        <f t="shared" si="2"/>
        <v>0</v>
      </c>
      <c r="AT24" s="4"/>
    </row>
    <row r="25" spans="1:46" ht="14.25" customHeight="1">
      <c r="A25" s="18">
        <v>21</v>
      </c>
      <c r="B25" s="19" t="s">
        <v>76</v>
      </c>
      <c r="C25" s="19" t="s">
        <v>51</v>
      </c>
      <c r="D25" s="20" t="s">
        <v>54</v>
      </c>
      <c r="E25" s="20">
        <v>1600</v>
      </c>
      <c r="F25" s="21">
        <v>0</v>
      </c>
      <c r="G25" s="21">
        <v>0</v>
      </c>
      <c r="H25" s="26">
        <v>0</v>
      </c>
      <c r="I25" s="26">
        <v>0</v>
      </c>
      <c r="J25" s="26">
        <v>0</v>
      </c>
      <c r="K25" s="26">
        <v>0</v>
      </c>
      <c r="L25" s="26">
        <v>0</v>
      </c>
      <c r="M25" s="26">
        <v>0</v>
      </c>
      <c r="N25" s="26">
        <v>0</v>
      </c>
      <c r="O25" s="26">
        <v>0</v>
      </c>
      <c r="P25" s="26">
        <v>0</v>
      </c>
      <c r="Q25" s="27">
        <v>0</v>
      </c>
      <c r="R25" s="26">
        <v>0</v>
      </c>
      <c r="S25" s="26">
        <v>0</v>
      </c>
      <c r="T25" s="26">
        <v>0</v>
      </c>
      <c r="U25" s="26">
        <v>0</v>
      </c>
      <c r="V25" s="26">
        <v>0</v>
      </c>
      <c r="W25" s="26">
        <v>0</v>
      </c>
      <c r="X25" s="26">
        <v>0</v>
      </c>
      <c r="Y25" s="26">
        <v>0</v>
      </c>
      <c r="Z25" s="26">
        <v>0</v>
      </c>
      <c r="AA25" s="26">
        <v>0</v>
      </c>
      <c r="AB25" s="26">
        <v>0</v>
      </c>
      <c r="AC25" s="26">
        <v>0</v>
      </c>
      <c r="AD25" s="26">
        <v>420</v>
      </c>
      <c r="AE25" s="26">
        <v>840</v>
      </c>
      <c r="AF25" s="26">
        <v>61.75</v>
      </c>
      <c r="AG25" s="26">
        <v>160</v>
      </c>
      <c r="AH25" s="26">
        <v>0</v>
      </c>
      <c r="AI25" s="26">
        <v>0</v>
      </c>
      <c r="AJ25" s="26">
        <v>122</v>
      </c>
      <c r="AK25" s="26">
        <v>0</v>
      </c>
      <c r="AL25" s="26">
        <v>0</v>
      </c>
      <c r="AM25" s="26">
        <v>0</v>
      </c>
      <c r="AN25" s="26">
        <v>16</v>
      </c>
      <c r="AO25" s="23">
        <f t="shared" si="0"/>
        <v>1619.75</v>
      </c>
      <c r="AP25" s="24">
        <v>1619.75</v>
      </c>
      <c r="AQ25" s="24">
        <v>1619.75</v>
      </c>
      <c r="AR25" s="25">
        <f t="shared" si="1"/>
        <v>0</v>
      </c>
      <c r="AS25" s="25">
        <f t="shared" si="2"/>
        <v>0</v>
      </c>
      <c r="AT25" s="4"/>
    </row>
    <row r="26" spans="1:46" ht="14.25" customHeight="1">
      <c r="A26" s="18">
        <v>22</v>
      </c>
      <c r="B26" s="19" t="s">
        <v>77</v>
      </c>
      <c r="C26" s="19" t="s">
        <v>51</v>
      </c>
      <c r="D26" s="20" t="s">
        <v>54</v>
      </c>
      <c r="E26" s="20">
        <v>1600</v>
      </c>
      <c r="F26" s="21">
        <v>500</v>
      </c>
      <c r="G26" s="21">
        <v>0</v>
      </c>
      <c r="H26" s="26">
        <v>0</v>
      </c>
      <c r="I26" s="26">
        <v>616.66666666666663</v>
      </c>
      <c r="J26" s="26">
        <v>0</v>
      </c>
      <c r="K26" s="26">
        <v>0</v>
      </c>
      <c r="L26" s="26">
        <v>0</v>
      </c>
      <c r="M26" s="26">
        <v>0</v>
      </c>
      <c r="N26" s="26">
        <v>0</v>
      </c>
      <c r="O26" s="26">
        <v>1690</v>
      </c>
      <c r="P26" s="26">
        <v>0</v>
      </c>
      <c r="Q26" s="27">
        <v>769.99999999999966</v>
      </c>
      <c r="R26" s="26">
        <v>50</v>
      </c>
      <c r="S26" s="26">
        <v>200</v>
      </c>
      <c r="T26" s="26">
        <v>0</v>
      </c>
      <c r="U26" s="26">
        <v>0</v>
      </c>
      <c r="V26" s="26">
        <v>0</v>
      </c>
      <c r="W26" s="26">
        <v>0</v>
      </c>
      <c r="X26" s="26">
        <v>0</v>
      </c>
      <c r="Y26" s="26">
        <v>0</v>
      </c>
      <c r="Z26" s="26">
        <v>0</v>
      </c>
      <c r="AA26" s="26">
        <v>0</v>
      </c>
      <c r="AB26" s="26">
        <v>0</v>
      </c>
      <c r="AC26" s="26">
        <v>0</v>
      </c>
      <c r="AD26" s="26">
        <v>280</v>
      </c>
      <c r="AE26" s="26">
        <v>560</v>
      </c>
      <c r="AF26" s="26">
        <v>63.100000000000009</v>
      </c>
      <c r="AG26" s="26">
        <v>160</v>
      </c>
      <c r="AH26" s="26">
        <v>40</v>
      </c>
      <c r="AI26" s="26">
        <v>0</v>
      </c>
      <c r="AJ26" s="26">
        <v>0</v>
      </c>
      <c r="AK26" s="26">
        <v>0</v>
      </c>
      <c r="AL26" s="26">
        <v>50</v>
      </c>
      <c r="AM26" s="26">
        <v>0</v>
      </c>
      <c r="AN26" s="26">
        <v>0</v>
      </c>
      <c r="AO26" s="23">
        <f t="shared" si="0"/>
        <v>4979.7666666666664</v>
      </c>
      <c r="AP26" s="24">
        <v>4979.7666666666664</v>
      </c>
      <c r="AQ26" s="24">
        <v>4979.7700000000004</v>
      </c>
      <c r="AR26" s="25">
        <f t="shared" si="1"/>
        <v>0</v>
      </c>
      <c r="AS26" s="25">
        <f t="shared" si="2"/>
        <v>-3.3333333340124227E-3</v>
      </c>
      <c r="AT26" s="4"/>
    </row>
    <row r="27" spans="1:46" ht="14.25" customHeight="1">
      <c r="A27" s="18">
        <v>23</v>
      </c>
      <c r="B27" s="19" t="s">
        <v>78</v>
      </c>
      <c r="C27" s="19" t="s">
        <v>51</v>
      </c>
      <c r="D27" s="20" t="s">
        <v>69</v>
      </c>
      <c r="E27" s="20">
        <v>1600</v>
      </c>
      <c r="F27" s="21">
        <v>0</v>
      </c>
      <c r="G27" s="21">
        <v>0</v>
      </c>
      <c r="H27" s="26">
        <v>0</v>
      </c>
      <c r="I27" s="26">
        <v>50</v>
      </c>
      <c r="J27" s="26">
        <v>0</v>
      </c>
      <c r="K27" s="26">
        <v>0</v>
      </c>
      <c r="L27" s="26">
        <v>0</v>
      </c>
      <c r="M27" s="26">
        <v>0</v>
      </c>
      <c r="N27" s="26">
        <v>500</v>
      </c>
      <c r="O27" s="26">
        <v>0</v>
      </c>
      <c r="P27" s="26">
        <v>0</v>
      </c>
      <c r="Q27" s="27">
        <v>22.5</v>
      </c>
      <c r="R27" s="26">
        <v>0</v>
      </c>
      <c r="S27" s="26">
        <v>0</v>
      </c>
      <c r="T27" s="26">
        <v>0</v>
      </c>
      <c r="U27" s="26">
        <v>0</v>
      </c>
      <c r="V27" s="26">
        <v>0</v>
      </c>
      <c r="W27" s="26">
        <v>0</v>
      </c>
      <c r="X27" s="26">
        <v>0</v>
      </c>
      <c r="Y27" s="26">
        <v>100</v>
      </c>
      <c r="Z27" s="26">
        <v>0</v>
      </c>
      <c r="AA27" s="26">
        <v>0</v>
      </c>
      <c r="AB27" s="26">
        <v>0</v>
      </c>
      <c r="AC27" s="26">
        <v>0</v>
      </c>
      <c r="AD27" s="26">
        <v>224</v>
      </c>
      <c r="AE27" s="26">
        <v>448</v>
      </c>
      <c r="AF27" s="26">
        <v>113.66666666666667</v>
      </c>
      <c r="AG27" s="26">
        <v>305</v>
      </c>
      <c r="AH27" s="26">
        <v>270</v>
      </c>
      <c r="AI27" s="26">
        <v>824</v>
      </c>
      <c r="AJ27" s="26">
        <v>0</v>
      </c>
      <c r="AK27" s="26">
        <v>0</v>
      </c>
      <c r="AL27" s="26">
        <v>0</v>
      </c>
      <c r="AM27" s="26">
        <v>0</v>
      </c>
      <c r="AN27" s="26">
        <v>50</v>
      </c>
      <c r="AO27" s="23">
        <f t="shared" si="0"/>
        <v>2907.166666666667</v>
      </c>
      <c r="AP27" s="24">
        <v>2907.166666666667</v>
      </c>
      <c r="AQ27" s="24">
        <v>2907.17</v>
      </c>
      <c r="AR27" s="25">
        <f t="shared" si="1"/>
        <v>0</v>
      </c>
      <c r="AS27" s="25">
        <f t="shared" si="2"/>
        <v>-3.333333333102928E-3</v>
      </c>
      <c r="AT27" s="4"/>
    </row>
    <row r="28" spans="1:46" ht="14.25" customHeight="1">
      <c r="A28" s="18">
        <v>24</v>
      </c>
      <c r="B28" s="19" t="s">
        <v>79</v>
      </c>
      <c r="C28" s="19" t="s">
        <v>51</v>
      </c>
      <c r="D28" s="20" t="s">
        <v>69</v>
      </c>
      <c r="E28" s="20">
        <v>1600</v>
      </c>
      <c r="F28" s="21">
        <v>0</v>
      </c>
      <c r="G28" s="21">
        <v>0</v>
      </c>
      <c r="H28" s="26">
        <v>0</v>
      </c>
      <c r="I28" s="26">
        <v>0</v>
      </c>
      <c r="J28" s="26">
        <v>0</v>
      </c>
      <c r="K28" s="26">
        <v>0</v>
      </c>
      <c r="L28" s="26">
        <v>0</v>
      </c>
      <c r="M28" s="26">
        <v>0</v>
      </c>
      <c r="N28" s="26">
        <v>0</v>
      </c>
      <c r="O28" s="26">
        <v>0</v>
      </c>
      <c r="P28" s="26">
        <v>0</v>
      </c>
      <c r="Q28" s="27">
        <v>8</v>
      </c>
      <c r="R28" s="26">
        <v>0</v>
      </c>
      <c r="S28" s="26">
        <v>40</v>
      </c>
      <c r="T28" s="26">
        <v>0</v>
      </c>
      <c r="U28" s="26">
        <v>0</v>
      </c>
      <c r="V28" s="26">
        <v>0</v>
      </c>
      <c r="W28" s="26">
        <v>0</v>
      </c>
      <c r="X28" s="26">
        <v>0</v>
      </c>
      <c r="Y28" s="26">
        <v>0</v>
      </c>
      <c r="Z28" s="26">
        <v>0</v>
      </c>
      <c r="AA28" s="26">
        <v>0</v>
      </c>
      <c r="AB28" s="26">
        <v>0</v>
      </c>
      <c r="AC28" s="26">
        <v>0</v>
      </c>
      <c r="AD28" s="26">
        <v>434</v>
      </c>
      <c r="AE28" s="26">
        <v>868</v>
      </c>
      <c r="AF28" s="26">
        <v>112.92999999999999</v>
      </c>
      <c r="AG28" s="26">
        <v>110</v>
      </c>
      <c r="AH28" s="26">
        <v>0</v>
      </c>
      <c r="AI28" s="26">
        <v>0</v>
      </c>
      <c r="AJ28" s="26">
        <v>0</v>
      </c>
      <c r="AK28" s="26">
        <v>100</v>
      </c>
      <c r="AL28" s="26">
        <v>0</v>
      </c>
      <c r="AM28" s="26">
        <v>0</v>
      </c>
      <c r="AN28" s="26">
        <v>0</v>
      </c>
      <c r="AO28" s="23">
        <f t="shared" si="0"/>
        <v>1672.93</v>
      </c>
      <c r="AP28" s="24">
        <v>1672.93</v>
      </c>
      <c r="AQ28" s="24">
        <v>1672.93</v>
      </c>
      <c r="AR28" s="25">
        <f t="shared" si="1"/>
        <v>0</v>
      </c>
      <c r="AS28" s="25">
        <f t="shared" si="2"/>
        <v>0</v>
      </c>
      <c r="AT28" s="4"/>
    </row>
    <row r="29" spans="1:46" ht="14.25" customHeight="1">
      <c r="A29" s="18">
        <v>25</v>
      </c>
      <c r="B29" s="19" t="s">
        <v>80</v>
      </c>
      <c r="C29" s="19" t="s">
        <v>51</v>
      </c>
      <c r="D29" s="20" t="s">
        <v>52</v>
      </c>
      <c r="E29" s="20">
        <v>1600</v>
      </c>
      <c r="F29" s="21">
        <v>500</v>
      </c>
      <c r="G29" s="21">
        <v>0</v>
      </c>
      <c r="H29" s="26">
        <v>0</v>
      </c>
      <c r="I29" s="26">
        <v>785.13904761904757</v>
      </c>
      <c r="J29" s="26">
        <v>0</v>
      </c>
      <c r="K29" s="26">
        <v>133.34</v>
      </c>
      <c r="L29" s="26">
        <v>0</v>
      </c>
      <c r="M29" s="26">
        <v>0</v>
      </c>
      <c r="N29" s="26">
        <v>0</v>
      </c>
      <c r="O29" s="26">
        <v>0</v>
      </c>
      <c r="P29" s="26">
        <v>0</v>
      </c>
      <c r="Q29" s="27">
        <v>307.96047619047619</v>
      </c>
      <c r="R29" s="26">
        <v>950</v>
      </c>
      <c r="S29" s="26">
        <v>475</v>
      </c>
      <c r="T29" s="26">
        <v>0</v>
      </c>
      <c r="U29" s="26">
        <v>0</v>
      </c>
      <c r="V29" s="26">
        <v>0</v>
      </c>
      <c r="W29" s="26">
        <v>0</v>
      </c>
      <c r="X29" s="26">
        <v>0</v>
      </c>
      <c r="Y29" s="26">
        <v>550</v>
      </c>
      <c r="Z29" s="26">
        <v>0</v>
      </c>
      <c r="AA29" s="26">
        <v>0</v>
      </c>
      <c r="AB29" s="26">
        <v>100</v>
      </c>
      <c r="AC29" s="26">
        <v>0</v>
      </c>
      <c r="AD29" s="26">
        <v>196</v>
      </c>
      <c r="AE29" s="26">
        <v>392</v>
      </c>
      <c r="AF29" s="26">
        <v>177.33333333333334</v>
      </c>
      <c r="AG29" s="26">
        <v>90</v>
      </c>
      <c r="AH29" s="26">
        <v>140</v>
      </c>
      <c r="AI29" s="26">
        <v>456</v>
      </c>
      <c r="AJ29" s="26">
        <v>0</v>
      </c>
      <c r="AK29" s="26">
        <v>0</v>
      </c>
      <c r="AL29" s="26">
        <v>0</v>
      </c>
      <c r="AM29" s="26">
        <v>0</v>
      </c>
      <c r="AN29" s="26">
        <v>16</v>
      </c>
      <c r="AO29" s="23">
        <f t="shared" si="0"/>
        <v>5268.772857142857</v>
      </c>
      <c r="AP29" s="24">
        <v>5268.772857142857</v>
      </c>
      <c r="AQ29" s="24">
        <v>5268.77</v>
      </c>
      <c r="AR29" s="25">
        <f t="shared" si="1"/>
        <v>0</v>
      </c>
      <c r="AS29" s="25">
        <f t="shared" si="2"/>
        <v>2.8571428565555834E-3</v>
      </c>
      <c r="AT29" s="4"/>
    </row>
    <row r="30" spans="1:46" ht="14.25" customHeight="1">
      <c r="A30" s="18">
        <v>26</v>
      </c>
      <c r="B30" s="19" t="s">
        <v>81</v>
      </c>
      <c r="C30" s="19" t="s">
        <v>51</v>
      </c>
      <c r="D30" s="20" t="s">
        <v>69</v>
      </c>
      <c r="E30" s="20">
        <v>1600</v>
      </c>
      <c r="F30" s="21">
        <v>0</v>
      </c>
      <c r="G30" s="21">
        <v>0</v>
      </c>
      <c r="H30" s="26">
        <v>0</v>
      </c>
      <c r="I30" s="26">
        <v>45.82</v>
      </c>
      <c r="J30" s="26">
        <v>0</v>
      </c>
      <c r="K30" s="26">
        <v>0</v>
      </c>
      <c r="L30" s="26">
        <v>0</v>
      </c>
      <c r="M30" s="26">
        <v>0</v>
      </c>
      <c r="N30" s="26">
        <v>0</v>
      </c>
      <c r="O30" s="26">
        <v>0</v>
      </c>
      <c r="P30" s="26">
        <v>0</v>
      </c>
      <c r="Q30" s="27">
        <v>0</v>
      </c>
      <c r="R30" s="26">
        <v>100</v>
      </c>
      <c r="S30" s="26">
        <v>105</v>
      </c>
      <c r="T30" s="26">
        <v>0</v>
      </c>
      <c r="U30" s="26">
        <v>0</v>
      </c>
      <c r="V30" s="26">
        <v>0</v>
      </c>
      <c r="W30" s="26">
        <v>0</v>
      </c>
      <c r="X30" s="26">
        <v>0</v>
      </c>
      <c r="Y30" s="26">
        <v>100</v>
      </c>
      <c r="Z30" s="26">
        <v>0</v>
      </c>
      <c r="AA30" s="26">
        <v>0</v>
      </c>
      <c r="AB30" s="26">
        <v>0</v>
      </c>
      <c r="AC30" s="26">
        <v>0</v>
      </c>
      <c r="AD30" s="26">
        <v>406</v>
      </c>
      <c r="AE30" s="26">
        <v>812</v>
      </c>
      <c r="AF30" s="26">
        <v>70.649999999999991</v>
      </c>
      <c r="AG30" s="26">
        <v>100</v>
      </c>
      <c r="AH30" s="26">
        <v>120</v>
      </c>
      <c r="AI30" s="26">
        <v>200</v>
      </c>
      <c r="AJ30" s="26">
        <v>20</v>
      </c>
      <c r="AK30" s="26">
        <v>0</v>
      </c>
      <c r="AL30" s="26">
        <v>0</v>
      </c>
      <c r="AM30" s="26">
        <v>0</v>
      </c>
      <c r="AN30" s="26">
        <v>30</v>
      </c>
      <c r="AO30" s="23">
        <f t="shared" si="0"/>
        <v>2109.4700000000003</v>
      </c>
      <c r="AP30" s="24">
        <v>2109.4700000000003</v>
      </c>
      <c r="AQ30" s="24">
        <v>2109.4699999999998</v>
      </c>
      <c r="AR30" s="25">
        <f t="shared" si="1"/>
        <v>0</v>
      </c>
      <c r="AS30" s="25">
        <f t="shared" si="2"/>
        <v>0</v>
      </c>
      <c r="AT30" s="4"/>
    </row>
    <row r="31" spans="1:46" ht="14.25" customHeight="1">
      <c r="A31" s="18">
        <v>27</v>
      </c>
      <c r="B31" s="32" t="s">
        <v>82</v>
      </c>
      <c r="C31" s="19" t="s">
        <v>51</v>
      </c>
      <c r="D31" s="20" t="s">
        <v>60</v>
      </c>
      <c r="E31" s="20">
        <v>1600</v>
      </c>
      <c r="F31" s="21">
        <v>0</v>
      </c>
      <c r="G31" s="21">
        <v>0</v>
      </c>
      <c r="H31" s="26">
        <v>0</v>
      </c>
      <c r="I31" s="26">
        <v>0</v>
      </c>
      <c r="J31" s="26">
        <v>0</v>
      </c>
      <c r="K31" s="26">
        <v>0</v>
      </c>
      <c r="L31" s="26">
        <v>0</v>
      </c>
      <c r="M31" s="26">
        <v>0</v>
      </c>
      <c r="N31" s="26">
        <v>0</v>
      </c>
      <c r="O31" s="26">
        <v>0</v>
      </c>
      <c r="P31" s="26">
        <v>0</v>
      </c>
      <c r="Q31" s="27">
        <v>0</v>
      </c>
      <c r="R31" s="26">
        <v>0</v>
      </c>
      <c r="S31" s="26">
        <v>0</v>
      </c>
      <c r="T31" s="26">
        <v>0</v>
      </c>
      <c r="U31" s="26">
        <v>0</v>
      </c>
      <c r="V31" s="26">
        <v>0</v>
      </c>
      <c r="W31" s="26">
        <v>0</v>
      </c>
      <c r="X31" s="26">
        <v>0</v>
      </c>
      <c r="Y31" s="26">
        <v>0</v>
      </c>
      <c r="Z31" s="26">
        <v>0</v>
      </c>
      <c r="AA31" s="26">
        <v>0</v>
      </c>
      <c r="AB31" s="26">
        <v>0</v>
      </c>
      <c r="AC31" s="26">
        <v>0</v>
      </c>
      <c r="AD31" s="26">
        <v>434</v>
      </c>
      <c r="AE31" s="26">
        <v>868</v>
      </c>
      <c r="AF31" s="26">
        <v>190.0083333333335</v>
      </c>
      <c r="AG31" s="26">
        <v>0</v>
      </c>
      <c r="AH31" s="26">
        <v>0</v>
      </c>
      <c r="AI31" s="26">
        <v>0</v>
      </c>
      <c r="AJ31" s="26">
        <v>80</v>
      </c>
      <c r="AK31" s="26">
        <v>0</v>
      </c>
      <c r="AL31" s="26">
        <v>0</v>
      </c>
      <c r="AM31" s="26">
        <v>0</v>
      </c>
      <c r="AN31" s="26">
        <v>38</v>
      </c>
      <c r="AO31" s="23">
        <f t="shared" si="0"/>
        <v>1610.0083333333334</v>
      </c>
      <c r="AP31" s="24">
        <v>1610.0083333333334</v>
      </c>
      <c r="AQ31" s="24">
        <v>1610.01</v>
      </c>
      <c r="AR31" s="25">
        <f t="shared" si="1"/>
        <v>0</v>
      </c>
      <c r="AS31" s="25">
        <f t="shared" si="2"/>
        <v>-1.666666666551464E-3</v>
      </c>
      <c r="AT31" s="4"/>
    </row>
    <row r="32" spans="1:46" ht="14.25" customHeight="1">
      <c r="A32" s="18">
        <v>28</v>
      </c>
      <c r="B32" s="19" t="s">
        <v>83</v>
      </c>
      <c r="C32" s="19" t="s">
        <v>51</v>
      </c>
      <c r="D32" s="20" t="s">
        <v>52</v>
      </c>
      <c r="E32" s="20">
        <v>1600</v>
      </c>
      <c r="F32" s="21">
        <v>0</v>
      </c>
      <c r="G32" s="21">
        <v>0</v>
      </c>
      <c r="H32" s="26">
        <v>0</v>
      </c>
      <c r="I32" s="26">
        <v>250</v>
      </c>
      <c r="J32" s="26">
        <v>0</v>
      </c>
      <c r="K32" s="26">
        <v>0</v>
      </c>
      <c r="L32" s="26">
        <v>0</v>
      </c>
      <c r="M32" s="26">
        <v>0</v>
      </c>
      <c r="N32" s="26">
        <v>150</v>
      </c>
      <c r="O32" s="26">
        <v>0</v>
      </c>
      <c r="P32" s="26">
        <v>0</v>
      </c>
      <c r="Q32" s="27">
        <v>63.33</v>
      </c>
      <c r="R32" s="26">
        <v>570</v>
      </c>
      <c r="S32" s="26">
        <v>245</v>
      </c>
      <c r="T32" s="26">
        <v>0</v>
      </c>
      <c r="U32" s="26">
        <v>0</v>
      </c>
      <c r="V32" s="26">
        <v>0</v>
      </c>
      <c r="W32" s="26">
        <v>0</v>
      </c>
      <c r="X32" s="26">
        <v>0</v>
      </c>
      <c r="Y32" s="26">
        <v>400</v>
      </c>
      <c r="Z32" s="26">
        <v>50</v>
      </c>
      <c r="AA32" s="26">
        <v>0</v>
      </c>
      <c r="AB32" s="26">
        <v>0</v>
      </c>
      <c r="AC32" s="26">
        <v>0</v>
      </c>
      <c r="AD32" s="26">
        <v>252</v>
      </c>
      <c r="AE32" s="26">
        <v>504</v>
      </c>
      <c r="AF32" s="26">
        <v>375.22</v>
      </c>
      <c r="AG32" s="26">
        <v>470</v>
      </c>
      <c r="AH32" s="26">
        <v>300</v>
      </c>
      <c r="AI32" s="26">
        <v>792</v>
      </c>
      <c r="AJ32" s="26">
        <v>195</v>
      </c>
      <c r="AK32" s="26">
        <v>0</v>
      </c>
      <c r="AL32" s="26">
        <v>50</v>
      </c>
      <c r="AM32" s="26">
        <v>0</v>
      </c>
      <c r="AN32" s="26">
        <v>0</v>
      </c>
      <c r="AO32" s="23">
        <f t="shared" si="0"/>
        <v>4666.55</v>
      </c>
      <c r="AP32" s="24">
        <v>4666.55</v>
      </c>
      <c r="AQ32" s="24">
        <v>4666.55</v>
      </c>
      <c r="AR32" s="25">
        <f t="shared" si="1"/>
        <v>0</v>
      </c>
      <c r="AS32" s="25">
        <f t="shared" si="2"/>
        <v>0</v>
      </c>
      <c r="AT32" s="4"/>
    </row>
    <row r="33" spans="1:46" ht="14.25" customHeight="1">
      <c r="A33" s="18">
        <v>29</v>
      </c>
      <c r="B33" s="19" t="s">
        <v>84</v>
      </c>
      <c r="C33" s="19" t="s">
        <v>51</v>
      </c>
      <c r="D33" s="20" t="s">
        <v>54</v>
      </c>
      <c r="E33" s="20">
        <v>1600</v>
      </c>
      <c r="F33" s="21">
        <v>0</v>
      </c>
      <c r="G33" s="21">
        <v>0</v>
      </c>
      <c r="H33" s="26">
        <v>0</v>
      </c>
      <c r="I33" s="26">
        <v>50</v>
      </c>
      <c r="J33" s="26">
        <v>0</v>
      </c>
      <c r="K33" s="26">
        <v>0</v>
      </c>
      <c r="L33" s="26">
        <v>0</v>
      </c>
      <c r="M33" s="26">
        <v>0</v>
      </c>
      <c r="N33" s="26">
        <v>0</v>
      </c>
      <c r="O33" s="26">
        <v>0</v>
      </c>
      <c r="P33" s="26">
        <v>0</v>
      </c>
      <c r="Q33" s="27">
        <v>31.666666666666668</v>
      </c>
      <c r="R33" s="26">
        <v>0</v>
      </c>
      <c r="S33" s="26">
        <v>232.5</v>
      </c>
      <c r="T33" s="26">
        <v>0</v>
      </c>
      <c r="U33" s="26">
        <v>0</v>
      </c>
      <c r="V33" s="26">
        <v>0</v>
      </c>
      <c r="W33" s="26">
        <v>0</v>
      </c>
      <c r="X33" s="26">
        <v>0</v>
      </c>
      <c r="Y33" s="26">
        <v>0</v>
      </c>
      <c r="Z33" s="26">
        <v>0</v>
      </c>
      <c r="AA33" s="26">
        <v>0</v>
      </c>
      <c r="AB33" s="26">
        <v>0</v>
      </c>
      <c r="AC33" s="26">
        <v>0</v>
      </c>
      <c r="AD33" s="26">
        <v>336</v>
      </c>
      <c r="AE33" s="26">
        <v>672</v>
      </c>
      <c r="AF33" s="26">
        <v>278.62500000000006</v>
      </c>
      <c r="AG33" s="26">
        <v>370</v>
      </c>
      <c r="AH33" s="26">
        <v>60</v>
      </c>
      <c r="AI33" s="26">
        <v>392</v>
      </c>
      <c r="AJ33" s="26">
        <v>160</v>
      </c>
      <c r="AK33" s="26">
        <v>0</v>
      </c>
      <c r="AL33" s="26">
        <v>0</v>
      </c>
      <c r="AM33" s="26">
        <v>0</v>
      </c>
      <c r="AN33" s="26">
        <v>146</v>
      </c>
      <c r="AO33" s="23">
        <f t="shared" si="0"/>
        <v>2728.791666666667</v>
      </c>
      <c r="AP33" s="24">
        <v>2728.791666666667</v>
      </c>
      <c r="AQ33" s="24">
        <v>2728.79</v>
      </c>
      <c r="AR33" s="25">
        <f t="shared" si="1"/>
        <v>0</v>
      </c>
      <c r="AS33" s="25">
        <f t="shared" si="2"/>
        <v>1.6666666670062114E-3</v>
      </c>
      <c r="AT33" s="4"/>
    </row>
    <row r="34" spans="1:46" ht="14.25" customHeight="1">
      <c r="A34" s="18">
        <v>30</v>
      </c>
      <c r="B34" s="32" t="s">
        <v>85</v>
      </c>
      <c r="C34" s="19" t="s">
        <v>51</v>
      </c>
      <c r="D34" s="20" t="s">
        <v>54</v>
      </c>
      <c r="E34" s="20">
        <v>1600</v>
      </c>
      <c r="F34" s="21">
        <v>0</v>
      </c>
      <c r="G34" s="21">
        <v>0</v>
      </c>
      <c r="H34" s="26">
        <v>0</v>
      </c>
      <c r="I34" s="26">
        <v>75</v>
      </c>
      <c r="J34" s="26">
        <v>0</v>
      </c>
      <c r="K34" s="26">
        <v>0</v>
      </c>
      <c r="L34" s="26">
        <v>0</v>
      </c>
      <c r="M34" s="26">
        <v>0</v>
      </c>
      <c r="N34" s="26">
        <v>0</v>
      </c>
      <c r="O34" s="26">
        <v>0</v>
      </c>
      <c r="P34" s="26">
        <v>200</v>
      </c>
      <c r="Q34" s="27">
        <v>10</v>
      </c>
      <c r="R34" s="26">
        <v>0</v>
      </c>
      <c r="S34" s="26">
        <v>0</v>
      </c>
      <c r="T34" s="26">
        <v>0</v>
      </c>
      <c r="U34" s="26">
        <v>0</v>
      </c>
      <c r="V34" s="26">
        <v>0</v>
      </c>
      <c r="W34" s="26">
        <v>0</v>
      </c>
      <c r="X34" s="26">
        <v>0</v>
      </c>
      <c r="Y34" s="26">
        <v>0</v>
      </c>
      <c r="Z34" s="26">
        <v>0</v>
      </c>
      <c r="AA34" s="26">
        <v>0</v>
      </c>
      <c r="AB34" s="26">
        <v>0</v>
      </c>
      <c r="AC34" s="26">
        <v>0</v>
      </c>
      <c r="AD34" s="26">
        <v>336</v>
      </c>
      <c r="AE34" s="26">
        <v>672</v>
      </c>
      <c r="AF34" s="26">
        <v>158.00000000000003</v>
      </c>
      <c r="AG34" s="26">
        <v>0</v>
      </c>
      <c r="AH34" s="26">
        <v>0</v>
      </c>
      <c r="AI34" s="26">
        <v>0</v>
      </c>
      <c r="AJ34" s="26">
        <v>16</v>
      </c>
      <c r="AK34" s="26">
        <v>0</v>
      </c>
      <c r="AL34" s="26">
        <v>0</v>
      </c>
      <c r="AM34" s="26">
        <v>0</v>
      </c>
      <c r="AN34" s="26">
        <v>140</v>
      </c>
      <c r="AO34" s="23">
        <f t="shared" si="0"/>
        <v>1607</v>
      </c>
      <c r="AP34" s="24">
        <v>1607</v>
      </c>
      <c r="AQ34" s="24">
        <v>1607</v>
      </c>
      <c r="AR34" s="25">
        <f t="shared" si="1"/>
        <v>0</v>
      </c>
      <c r="AS34" s="25">
        <f t="shared" si="2"/>
        <v>0</v>
      </c>
      <c r="AT34" s="4"/>
    </row>
    <row r="35" spans="1:46" ht="14.25" customHeight="1">
      <c r="A35" s="18">
        <v>31</v>
      </c>
      <c r="B35" s="19" t="s">
        <v>86</v>
      </c>
      <c r="C35" s="19" t="s">
        <v>51</v>
      </c>
      <c r="D35" s="20" t="s">
        <v>54</v>
      </c>
      <c r="E35" s="20">
        <v>1600</v>
      </c>
      <c r="F35" s="21">
        <v>791.66666666666663</v>
      </c>
      <c r="G35" s="21">
        <v>0</v>
      </c>
      <c r="H35" s="26">
        <v>0</v>
      </c>
      <c r="I35" s="26">
        <v>142.14285714285714</v>
      </c>
      <c r="J35" s="26">
        <v>0</v>
      </c>
      <c r="K35" s="26">
        <v>0</v>
      </c>
      <c r="L35" s="26">
        <v>0</v>
      </c>
      <c r="M35" s="26">
        <v>0</v>
      </c>
      <c r="N35" s="26">
        <v>0</v>
      </c>
      <c r="O35" s="26">
        <v>0</v>
      </c>
      <c r="P35" s="26">
        <v>0</v>
      </c>
      <c r="Q35" s="27">
        <v>24</v>
      </c>
      <c r="R35" s="26">
        <v>350</v>
      </c>
      <c r="S35" s="26">
        <v>20</v>
      </c>
      <c r="T35" s="26">
        <v>0</v>
      </c>
      <c r="U35" s="26">
        <v>0</v>
      </c>
      <c r="V35" s="26">
        <v>0</v>
      </c>
      <c r="W35" s="26">
        <v>0</v>
      </c>
      <c r="X35" s="26">
        <v>0</v>
      </c>
      <c r="Y35" s="26">
        <v>0</v>
      </c>
      <c r="Z35" s="26">
        <v>0</v>
      </c>
      <c r="AA35" s="26">
        <v>0</v>
      </c>
      <c r="AB35" s="26">
        <v>0</v>
      </c>
      <c r="AC35" s="26">
        <v>0</v>
      </c>
      <c r="AD35" s="26">
        <v>280</v>
      </c>
      <c r="AE35" s="26">
        <v>560</v>
      </c>
      <c r="AF35" s="26">
        <v>137.15666666666667</v>
      </c>
      <c r="AG35" s="26">
        <v>20</v>
      </c>
      <c r="AH35" s="26">
        <v>30</v>
      </c>
      <c r="AI35" s="26">
        <v>56</v>
      </c>
      <c r="AJ35" s="26">
        <v>20</v>
      </c>
      <c r="AK35" s="26">
        <v>0</v>
      </c>
      <c r="AL35" s="26">
        <v>0</v>
      </c>
      <c r="AM35" s="26">
        <v>0</v>
      </c>
      <c r="AN35" s="26">
        <v>100</v>
      </c>
      <c r="AO35" s="23">
        <f t="shared" si="0"/>
        <v>2530.9661904761906</v>
      </c>
      <c r="AP35" s="24">
        <v>2530.9661904761906</v>
      </c>
      <c r="AQ35" s="24">
        <v>2530.9699999999998</v>
      </c>
      <c r="AR35" s="25">
        <f t="shared" si="1"/>
        <v>0</v>
      </c>
      <c r="AS35" s="25">
        <f t="shared" si="2"/>
        <v>-3.8095238091955252E-3</v>
      </c>
      <c r="AT35" s="4"/>
    </row>
    <row r="36" spans="1:46" ht="14.25" customHeight="1">
      <c r="A36" s="18">
        <v>32</v>
      </c>
      <c r="B36" s="19" t="s">
        <v>87</v>
      </c>
      <c r="C36" s="19" t="s">
        <v>51</v>
      </c>
      <c r="D36" s="20" t="s">
        <v>54</v>
      </c>
      <c r="E36" s="20">
        <v>1600</v>
      </c>
      <c r="F36" s="21">
        <v>50</v>
      </c>
      <c r="G36" s="21">
        <v>0</v>
      </c>
      <c r="H36" s="26">
        <v>400</v>
      </c>
      <c r="I36" s="26">
        <v>491.66666666666669</v>
      </c>
      <c r="J36" s="26">
        <v>0</v>
      </c>
      <c r="K36" s="26">
        <v>0</v>
      </c>
      <c r="L36" s="26">
        <v>0</v>
      </c>
      <c r="M36" s="26">
        <v>0</v>
      </c>
      <c r="N36" s="26">
        <v>50</v>
      </c>
      <c r="O36" s="26">
        <v>0</v>
      </c>
      <c r="P36" s="26">
        <v>50</v>
      </c>
      <c r="Q36" s="27">
        <v>70</v>
      </c>
      <c r="R36" s="26">
        <v>1000</v>
      </c>
      <c r="S36" s="26">
        <v>0</v>
      </c>
      <c r="T36" s="26">
        <v>0</v>
      </c>
      <c r="U36" s="26">
        <v>0</v>
      </c>
      <c r="V36" s="26">
        <v>0</v>
      </c>
      <c r="W36" s="26">
        <v>0</v>
      </c>
      <c r="X36" s="26">
        <v>0</v>
      </c>
      <c r="Y36" s="26">
        <v>0</v>
      </c>
      <c r="Z36" s="26">
        <v>0</v>
      </c>
      <c r="AA36" s="26">
        <v>0</v>
      </c>
      <c r="AB36" s="26">
        <v>0</v>
      </c>
      <c r="AC36" s="26">
        <v>0</v>
      </c>
      <c r="AD36" s="26">
        <v>280</v>
      </c>
      <c r="AE36" s="26">
        <v>560</v>
      </c>
      <c r="AF36" s="26">
        <v>0</v>
      </c>
      <c r="AG36" s="26">
        <v>150</v>
      </c>
      <c r="AH36" s="26">
        <v>0</v>
      </c>
      <c r="AI36" s="26">
        <v>0</v>
      </c>
      <c r="AJ36" s="26">
        <v>0</v>
      </c>
      <c r="AK36" s="26">
        <v>0</v>
      </c>
      <c r="AL36" s="26">
        <v>0</v>
      </c>
      <c r="AM36" s="26">
        <v>0</v>
      </c>
      <c r="AN36" s="26">
        <v>0</v>
      </c>
      <c r="AO36" s="23">
        <f t="shared" si="0"/>
        <v>3101.666666666667</v>
      </c>
      <c r="AP36" s="24">
        <v>3101.666666666667</v>
      </c>
      <c r="AQ36" s="24">
        <v>3101.67</v>
      </c>
      <c r="AR36" s="25">
        <f t="shared" si="1"/>
        <v>0</v>
      </c>
      <c r="AS36" s="25">
        <f t="shared" si="2"/>
        <v>-3.333333333102928E-3</v>
      </c>
      <c r="AT36" s="4"/>
    </row>
    <row r="37" spans="1:46" ht="14.25" customHeight="1">
      <c r="A37" s="18">
        <v>33</v>
      </c>
      <c r="B37" s="19" t="s">
        <v>88</v>
      </c>
      <c r="C37" s="19" t="s">
        <v>51</v>
      </c>
      <c r="D37" s="20" t="s">
        <v>69</v>
      </c>
      <c r="E37" s="20">
        <v>1600</v>
      </c>
      <c r="F37" s="21">
        <v>866.66666666666663</v>
      </c>
      <c r="G37" s="21">
        <v>0</v>
      </c>
      <c r="H37" s="26">
        <v>1000</v>
      </c>
      <c r="I37" s="26">
        <v>312.49999999999994</v>
      </c>
      <c r="J37" s="26">
        <v>0</v>
      </c>
      <c r="K37" s="26">
        <v>0</v>
      </c>
      <c r="L37" s="26">
        <v>0</v>
      </c>
      <c r="M37" s="26">
        <v>0</v>
      </c>
      <c r="N37" s="26">
        <v>0</v>
      </c>
      <c r="O37" s="26">
        <v>0</v>
      </c>
      <c r="P37" s="26">
        <v>0</v>
      </c>
      <c r="Q37" s="27">
        <v>14.166666666666668</v>
      </c>
      <c r="R37" s="26">
        <v>0</v>
      </c>
      <c r="S37" s="26">
        <v>0</v>
      </c>
      <c r="T37" s="26">
        <v>0</v>
      </c>
      <c r="U37" s="26">
        <v>0</v>
      </c>
      <c r="V37" s="26">
        <v>0</v>
      </c>
      <c r="W37" s="26">
        <v>0</v>
      </c>
      <c r="X37" s="26">
        <v>0</v>
      </c>
      <c r="Y37" s="26">
        <v>0</v>
      </c>
      <c r="Z37" s="26">
        <v>0</v>
      </c>
      <c r="AA37" s="26">
        <v>0</v>
      </c>
      <c r="AB37" s="26">
        <v>0</v>
      </c>
      <c r="AC37" s="26">
        <v>0</v>
      </c>
      <c r="AD37" s="26">
        <v>0</v>
      </c>
      <c r="AE37" s="26">
        <v>448</v>
      </c>
      <c r="AF37" s="26">
        <v>0</v>
      </c>
      <c r="AG37" s="26">
        <v>0</v>
      </c>
      <c r="AH37" s="26">
        <v>0</v>
      </c>
      <c r="AI37" s="26">
        <v>0</v>
      </c>
      <c r="AJ37" s="26">
        <v>0</v>
      </c>
      <c r="AK37" s="26">
        <v>0</v>
      </c>
      <c r="AL37" s="26">
        <v>0</v>
      </c>
      <c r="AM37" s="26">
        <v>0</v>
      </c>
      <c r="AN37" s="26">
        <v>0</v>
      </c>
      <c r="AO37" s="23">
        <f t="shared" si="0"/>
        <v>2641.333333333333</v>
      </c>
      <c r="AP37" s="24">
        <v>2641.333333333333</v>
      </c>
      <c r="AQ37" s="24">
        <v>2641.33</v>
      </c>
      <c r="AR37" s="25">
        <f t="shared" si="1"/>
        <v>0</v>
      </c>
      <c r="AS37" s="25">
        <f t="shared" si="2"/>
        <v>3.333333333102928E-3</v>
      </c>
      <c r="AT37" s="4"/>
    </row>
    <row r="38" spans="1:46" ht="14.25" customHeight="1">
      <c r="A38" s="18">
        <v>34</v>
      </c>
      <c r="B38" s="19" t="s">
        <v>89</v>
      </c>
      <c r="C38" s="19" t="s">
        <v>51</v>
      </c>
      <c r="D38" s="20" t="s">
        <v>54</v>
      </c>
      <c r="E38" s="20">
        <v>1600</v>
      </c>
      <c r="F38" s="21">
        <v>0</v>
      </c>
      <c r="G38" s="21">
        <v>0</v>
      </c>
      <c r="H38" s="26">
        <v>0</v>
      </c>
      <c r="I38" s="26">
        <v>25</v>
      </c>
      <c r="J38" s="26">
        <v>0</v>
      </c>
      <c r="K38" s="26">
        <v>0</v>
      </c>
      <c r="L38" s="26">
        <v>0</v>
      </c>
      <c r="M38" s="26">
        <v>0</v>
      </c>
      <c r="N38" s="26">
        <v>0</v>
      </c>
      <c r="O38" s="26">
        <v>0</v>
      </c>
      <c r="P38" s="26">
        <v>0</v>
      </c>
      <c r="Q38" s="27">
        <v>45</v>
      </c>
      <c r="R38" s="26">
        <v>0</v>
      </c>
      <c r="S38" s="26">
        <v>0</v>
      </c>
      <c r="T38" s="26">
        <v>0</v>
      </c>
      <c r="U38" s="26">
        <v>0</v>
      </c>
      <c r="V38" s="26">
        <v>0</v>
      </c>
      <c r="W38" s="26">
        <v>0</v>
      </c>
      <c r="X38" s="26">
        <v>0</v>
      </c>
      <c r="Y38" s="26">
        <v>0</v>
      </c>
      <c r="Z38" s="26">
        <v>50</v>
      </c>
      <c r="AA38" s="26">
        <v>0</v>
      </c>
      <c r="AB38" s="26">
        <v>0</v>
      </c>
      <c r="AC38" s="26">
        <v>0</v>
      </c>
      <c r="AD38" s="26">
        <v>420</v>
      </c>
      <c r="AE38" s="26">
        <v>840</v>
      </c>
      <c r="AF38" s="26">
        <v>237</v>
      </c>
      <c r="AG38" s="26">
        <v>146.66666666666666</v>
      </c>
      <c r="AH38" s="26">
        <v>390</v>
      </c>
      <c r="AI38" s="26">
        <v>56</v>
      </c>
      <c r="AJ38" s="26">
        <v>308</v>
      </c>
      <c r="AK38" s="26">
        <v>0</v>
      </c>
      <c r="AL38" s="26">
        <v>0</v>
      </c>
      <c r="AM38" s="26">
        <v>0</v>
      </c>
      <c r="AN38" s="26">
        <v>230</v>
      </c>
      <c r="AO38" s="23">
        <f t="shared" si="0"/>
        <v>2747.666666666667</v>
      </c>
      <c r="AP38" s="24">
        <v>2747.666666666667</v>
      </c>
      <c r="AQ38" s="24">
        <v>2747.67</v>
      </c>
      <c r="AR38" s="25">
        <f t="shared" si="1"/>
        <v>0</v>
      </c>
      <c r="AS38" s="25">
        <f t="shared" si="2"/>
        <v>-3.333333333102928E-3</v>
      </c>
      <c r="AT38" s="4"/>
    </row>
    <row r="39" spans="1:46" ht="14.25" customHeight="1">
      <c r="A39" s="18">
        <v>35</v>
      </c>
      <c r="B39" s="19" t="s">
        <v>90</v>
      </c>
      <c r="C39" s="19" t="s">
        <v>51</v>
      </c>
      <c r="D39" s="20" t="s">
        <v>54</v>
      </c>
      <c r="E39" s="20">
        <v>1600</v>
      </c>
      <c r="F39" s="21">
        <v>0</v>
      </c>
      <c r="G39" s="21">
        <v>0</v>
      </c>
      <c r="H39" s="26">
        <v>0</v>
      </c>
      <c r="I39" s="26">
        <v>0</v>
      </c>
      <c r="J39" s="26">
        <v>0</v>
      </c>
      <c r="K39" s="26">
        <v>0</v>
      </c>
      <c r="L39" s="26">
        <v>0</v>
      </c>
      <c r="M39" s="26">
        <v>0</v>
      </c>
      <c r="N39" s="26">
        <v>300</v>
      </c>
      <c r="O39" s="26">
        <v>0</v>
      </c>
      <c r="P39" s="26">
        <v>0</v>
      </c>
      <c r="Q39" s="27">
        <v>0</v>
      </c>
      <c r="R39" s="26">
        <v>0</v>
      </c>
      <c r="S39" s="26">
        <v>192.5</v>
      </c>
      <c r="T39" s="26">
        <v>0</v>
      </c>
      <c r="U39" s="26">
        <v>0</v>
      </c>
      <c r="V39" s="26">
        <v>0</v>
      </c>
      <c r="W39" s="26">
        <v>0</v>
      </c>
      <c r="X39" s="26">
        <v>0</v>
      </c>
      <c r="Y39" s="26">
        <v>0</v>
      </c>
      <c r="Z39" s="26">
        <v>305</v>
      </c>
      <c r="AA39" s="26">
        <v>0</v>
      </c>
      <c r="AB39" s="26">
        <v>0</v>
      </c>
      <c r="AC39" s="26">
        <v>0</v>
      </c>
      <c r="AD39" s="26">
        <v>280</v>
      </c>
      <c r="AE39" s="26">
        <v>560</v>
      </c>
      <c r="AF39" s="26">
        <v>184.29000000000005</v>
      </c>
      <c r="AG39" s="26">
        <v>60</v>
      </c>
      <c r="AH39" s="26">
        <v>0</v>
      </c>
      <c r="AI39" s="26">
        <v>346</v>
      </c>
      <c r="AJ39" s="26">
        <v>86</v>
      </c>
      <c r="AK39" s="26">
        <v>0</v>
      </c>
      <c r="AL39" s="26">
        <v>0</v>
      </c>
      <c r="AM39" s="26">
        <v>0</v>
      </c>
      <c r="AN39" s="26">
        <v>0</v>
      </c>
      <c r="AO39" s="23">
        <f t="shared" si="0"/>
        <v>2313.79</v>
      </c>
      <c r="AP39" s="24">
        <v>2313.79</v>
      </c>
      <c r="AQ39" s="24">
        <v>2313.79</v>
      </c>
      <c r="AR39" s="25">
        <f t="shared" si="1"/>
        <v>0</v>
      </c>
      <c r="AS39" s="25">
        <f t="shared" si="2"/>
        <v>0</v>
      </c>
      <c r="AT39" s="4"/>
    </row>
    <row r="40" spans="1:46" ht="14.25" customHeight="1">
      <c r="A40" s="18">
        <v>36</v>
      </c>
      <c r="B40" s="19" t="s">
        <v>91</v>
      </c>
      <c r="C40" s="19" t="s">
        <v>51</v>
      </c>
      <c r="D40" s="20" t="s">
        <v>54</v>
      </c>
      <c r="E40" s="20">
        <v>1600</v>
      </c>
      <c r="F40" s="21">
        <v>0</v>
      </c>
      <c r="G40" s="21">
        <v>0</v>
      </c>
      <c r="H40" s="26">
        <v>0</v>
      </c>
      <c r="I40" s="26">
        <v>0</v>
      </c>
      <c r="J40" s="26">
        <v>0</v>
      </c>
      <c r="K40" s="26">
        <v>0</v>
      </c>
      <c r="L40" s="26">
        <v>0</v>
      </c>
      <c r="M40" s="26">
        <v>0</v>
      </c>
      <c r="N40" s="26">
        <v>0</v>
      </c>
      <c r="O40" s="26">
        <v>0</v>
      </c>
      <c r="P40" s="26">
        <v>0</v>
      </c>
      <c r="Q40" s="27">
        <v>0</v>
      </c>
      <c r="R40" s="26">
        <v>0</v>
      </c>
      <c r="S40" s="26">
        <v>0</v>
      </c>
      <c r="T40" s="26">
        <v>0</v>
      </c>
      <c r="U40" s="26">
        <v>0</v>
      </c>
      <c r="V40" s="26">
        <v>0</v>
      </c>
      <c r="W40" s="26">
        <v>0</v>
      </c>
      <c r="X40" s="26">
        <v>0</v>
      </c>
      <c r="Y40" s="26">
        <v>0</v>
      </c>
      <c r="Z40" s="26">
        <v>0</v>
      </c>
      <c r="AA40" s="26">
        <v>0</v>
      </c>
      <c r="AB40" s="26">
        <v>0</v>
      </c>
      <c r="AC40" s="26">
        <v>0</v>
      </c>
      <c r="AD40" s="26">
        <v>336</v>
      </c>
      <c r="AE40" s="26">
        <v>672</v>
      </c>
      <c r="AF40" s="26">
        <v>114.05999999999999</v>
      </c>
      <c r="AG40" s="26">
        <v>150</v>
      </c>
      <c r="AH40" s="26">
        <v>0</v>
      </c>
      <c r="AI40" s="26">
        <v>200</v>
      </c>
      <c r="AJ40" s="26">
        <v>8</v>
      </c>
      <c r="AK40" s="26">
        <v>0</v>
      </c>
      <c r="AL40" s="26">
        <v>0</v>
      </c>
      <c r="AM40" s="26">
        <v>0</v>
      </c>
      <c r="AN40" s="26">
        <v>146</v>
      </c>
      <c r="AO40" s="23">
        <f t="shared" si="0"/>
        <v>1626.06</v>
      </c>
      <c r="AP40" s="24">
        <v>1626.06</v>
      </c>
      <c r="AQ40" s="24">
        <v>1626.06</v>
      </c>
      <c r="AR40" s="25">
        <f t="shared" si="1"/>
        <v>0</v>
      </c>
      <c r="AS40" s="25">
        <f t="shared" si="2"/>
        <v>0</v>
      </c>
      <c r="AT40" s="4"/>
    </row>
    <row r="41" spans="1:46" ht="14.25" customHeight="1">
      <c r="A41" s="18">
        <v>37</v>
      </c>
      <c r="B41" s="19" t="s">
        <v>92</v>
      </c>
      <c r="C41" s="19" t="s">
        <v>51</v>
      </c>
      <c r="D41" s="20" t="s">
        <v>54</v>
      </c>
      <c r="E41" s="20">
        <v>1600</v>
      </c>
      <c r="F41" s="21">
        <v>0</v>
      </c>
      <c r="G41" s="21">
        <v>0</v>
      </c>
      <c r="H41" s="26">
        <v>0</v>
      </c>
      <c r="I41" s="26">
        <v>25</v>
      </c>
      <c r="J41" s="26">
        <v>0</v>
      </c>
      <c r="K41" s="26">
        <v>0</v>
      </c>
      <c r="L41" s="26">
        <v>0</v>
      </c>
      <c r="M41" s="26">
        <v>0</v>
      </c>
      <c r="N41" s="26">
        <v>50</v>
      </c>
      <c r="O41" s="26">
        <v>0</v>
      </c>
      <c r="P41" s="26">
        <v>0</v>
      </c>
      <c r="Q41" s="27">
        <v>0</v>
      </c>
      <c r="R41" s="26">
        <v>200</v>
      </c>
      <c r="S41" s="26">
        <v>70</v>
      </c>
      <c r="T41" s="26">
        <v>0</v>
      </c>
      <c r="U41" s="26">
        <v>0</v>
      </c>
      <c r="V41" s="26">
        <v>0</v>
      </c>
      <c r="W41" s="26">
        <v>0</v>
      </c>
      <c r="X41" s="26">
        <v>0</v>
      </c>
      <c r="Y41" s="26">
        <v>0</v>
      </c>
      <c r="Z41" s="26">
        <v>0</v>
      </c>
      <c r="AA41" s="26">
        <v>0</v>
      </c>
      <c r="AB41" s="26">
        <v>0</v>
      </c>
      <c r="AC41" s="26">
        <v>0</v>
      </c>
      <c r="AD41" s="26">
        <v>336</v>
      </c>
      <c r="AE41" s="26">
        <v>672</v>
      </c>
      <c r="AF41" s="26">
        <v>236.81833333333336</v>
      </c>
      <c r="AG41" s="26">
        <v>70</v>
      </c>
      <c r="AH41" s="26">
        <v>0</v>
      </c>
      <c r="AI41" s="26">
        <v>346</v>
      </c>
      <c r="AJ41" s="26">
        <v>80</v>
      </c>
      <c r="AK41" s="26">
        <v>0</v>
      </c>
      <c r="AL41" s="26">
        <v>0</v>
      </c>
      <c r="AM41" s="26">
        <v>0</v>
      </c>
      <c r="AN41" s="26">
        <v>0</v>
      </c>
      <c r="AO41" s="23">
        <f t="shared" si="0"/>
        <v>2085.8183333333336</v>
      </c>
      <c r="AP41" s="24">
        <v>2085.8183333333336</v>
      </c>
      <c r="AQ41" s="24">
        <v>2085.8200000000002</v>
      </c>
      <c r="AR41" s="25">
        <f t="shared" si="1"/>
        <v>0</v>
      </c>
      <c r="AS41" s="25">
        <f t="shared" si="2"/>
        <v>-1.666666666551464E-3</v>
      </c>
      <c r="AT41" s="4"/>
    </row>
    <row r="42" spans="1:46" ht="14.25" customHeight="1">
      <c r="A42" s="18">
        <v>38</v>
      </c>
      <c r="B42" s="19" t="s">
        <v>93</v>
      </c>
      <c r="C42" s="19" t="s">
        <v>51</v>
      </c>
      <c r="D42" s="20" t="s">
        <v>52</v>
      </c>
      <c r="E42" s="20">
        <v>1600</v>
      </c>
      <c r="F42" s="21">
        <v>0</v>
      </c>
      <c r="G42" s="21">
        <v>0</v>
      </c>
      <c r="H42" s="26">
        <v>0</v>
      </c>
      <c r="I42" s="26">
        <v>91.666666666666671</v>
      </c>
      <c r="J42" s="26">
        <v>0</v>
      </c>
      <c r="K42" s="26">
        <v>0</v>
      </c>
      <c r="L42" s="26">
        <v>0</v>
      </c>
      <c r="M42" s="26">
        <v>0</v>
      </c>
      <c r="N42" s="26">
        <v>0</v>
      </c>
      <c r="O42" s="26">
        <v>0</v>
      </c>
      <c r="P42" s="26">
        <v>33.333333333333336</v>
      </c>
      <c r="Q42" s="27">
        <v>67.999999999999986</v>
      </c>
      <c r="R42" s="26">
        <v>150</v>
      </c>
      <c r="S42" s="26">
        <v>0</v>
      </c>
      <c r="T42" s="26">
        <v>0</v>
      </c>
      <c r="U42" s="26">
        <v>0</v>
      </c>
      <c r="V42" s="26">
        <v>0</v>
      </c>
      <c r="W42" s="26">
        <v>0</v>
      </c>
      <c r="X42" s="26">
        <v>0</v>
      </c>
      <c r="Y42" s="26">
        <v>0</v>
      </c>
      <c r="Z42" s="26">
        <v>0</v>
      </c>
      <c r="AA42" s="26">
        <v>0</v>
      </c>
      <c r="AB42" s="26">
        <v>0</v>
      </c>
      <c r="AC42" s="26">
        <v>20</v>
      </c>
      <c r="AD42" s="26">
        <v>315</v>
      </c>
      <c r="AE42" s="26">
        <v>518</v>
      </c>
      <c r="AF42" s="26">
        <v>174</v>
      </c>
      <c r="AG42" s="26">
        <v>80</v>
      </c>
      <c r="AH42" s="26">
        <v>80</v>
      </c>
      <c r="AI42" s="26">
        <v>56</v>
      </c>
      <c r="AJ42" s="26">
        <v>0</v>
      </c>
      <c r="AK42" s="26">
        <v>90</v>
      </c>
      <c r="AL42" s="26">
        <v>0</v>
      </c>
      <c r="AM42" s="26">
        <v>0</v>
      </c>
      <c r="AN42" s="26">
        <v>100</v>
      </c>
      <c r="AO42" s="23">
        <f t="shared" si="0"/>
        <v>1776</v>
      </c>
      <c r="AP42" s="24">
        <v>1776</v>
      </c>
      <c r="AQ42" s="24">
        <v>1776</v>
      </c>
      <c r="AR42" s="25">
        <f t="shared" si="1"/>
        <v>0</v>
      </c>
      <c r="AS42" s="25">
        <f t="shared" si="2"/>
        <v>0</v>
      </c>
      <c r="AT42" s="4"/>
    </row>
    <row r="43" spans="1:46" ht="14.25" customHeight="1">
      <c r="A43" s="18">
        <v>39</v>
      </c>
      <c r="B43" s="19" t="s">
        <v>94</v>
      </c>
      <c r="C43" s="19" t="s">
        <v>51</v>
      </c>
      <c r="D43" s="20" t="s">
        <v>60</v>
      </c>
      <c r="E43" s="20">
        <v>1600</v>
      </c>
      <c r="F43" s="21">
        <v>750</v>
      </c>
      <c r="G43" s="21">
        <v>0</v>
      </c>
      <c r="H43" s="26">
        <v>0</v>
      </c>
      <c r="I43" s="26">
        <v>0</v>
      </c>
      <c r="J43" s="26">
        <v>0</v>
      </c>
      <c r="K43" s="26">
        <v>0</v>
      </c>
      <c r="L43" s="26">
        <v>0</v>
      </c>
      <c r="M43" s="26">
        <v>0</v>
      </c>
      <c r="N43" s="26">
        <v>0</v>
      </c>
      <c r="O43" s="26">
        <v>0</v>
      </c>
      <c r="P43" s="26">
        <v>0</v>
      </c>
      <c r="Q43" s="27">
        <v>0</v>
      </c>
      <c r="R43" s="26">
        <v>0</v>
      </c>
      <c r="S43" s="26">
        <v>0</v>
      </c>
      <c r="T43" s="26">
        <v>0</v>
      </c>
      <c r="U43" s="26">
        <v>0</v>
      </c>
      <c r="V43" s="26">
        <v>0</v>
      </c>
      <c r="W43" s="26">
        <v>0</v>
      </c>
      <c r="X43" s="26">
        <v>0</v>
      </c>
      <c r="Y43" s="26">
        <v>0</v>
      </c>
      <c r="Z43" s="26">
        <v>0</v>
      </c>
      <c r="AA43" s="26">
        <v>0</v>
      </c>
      <c r="AB43" s="26">
        <v>0</v>
      </c>
      <c r="AC43" s="26">
        <v>0</v>
      </c>
      <c r="AD43" s="26">
        <v>371</v>
      </c>
      <c r="AE43" s="26">
        <v>742</v>
      </c>
      <c r="AF43" s="26">
        <v>44</v>
      </c>
      <c r="AG43" s="26">
        <v>0</v>
      </c>
      <c r="AH43" s="26">
        <v>0</v>
      </c>
      <c r="AI43" s="26">
        <v>0</v>
      </c>
      <c r="AJ43" s="26">
        <v>0</v>
      </c>
      <c r="AK43" s="26">
        <v>0</v>
      </c>
      <c r="AL43" s="26">
        <v>0</v>
      </c>
      <c r="AM43" s="26">
        <v>0</v>
      </c>
      <c r="AN43" s="26">
        <v>30</v>
      </c>
      <c r="AO43" s="23">
        <f t="shared" si="0"/>
        <v>1937</v>
      </c>
      <c r="AP43" s="24">
        <v>1937</v>
      </c>
      <c r="AQ43" s="24">
        <v>1937</v>
      </c>
      <c r="AR43" s="25">
        <f t="shared" si="1"/>
        <v>0</v>
      </c>
      <c r="AS43" s="25">
        <f t="shared" si="2"/>
        <v>0</v>
      </c>
      <c r="AT43" s="4"/>
    </row>
    <row r="44" spans="1:46" ht="14.25" customHeight="1">
      <c r="A44" s="18">
        <v>40</v>
      </c>
      <c r="B44" s="19" t="s">
        <v>95</v>
      </c>
      <c r="C44" s="19" t="s">
        <v>51</v>
      </c>
      <c r="D44" s="20" t="s">
        <v>54</v>
      </c>
      <c r="E44" s="20">
        <v>1600</v>
      </c>
      <c r="F44" s="21">
        <v>0</v>
      </c>
      <c r="G44" s="21">
        <v>0</v>
      </c>
      <c r="H44" s="26">
        <v>0</v>
      </c>
      <c r="I44" s="26">
        <v>0</v>
      </c>
      <c r="J44" s="26">
        <v>0</v>
      </c>
      <c r="K44" s="26">
        <v>0</v>
      </c>
      <c r="L44" s="26">
        <v>0</v>
      </c>
      <c r="M44" s="26">
        <v>0</v>
      </c>
      <c r="N44" s="26">
        <v>0</v>
      </c>
      <c r="O44" s="26">
        <v>0</v>
      </c>
      <c r="P44" s="26">
        <v>0</v>
      </c>
      <c r="Q44" s="27">
        <v>0</v>
      </c>
      <c r="R44" s="26">
        <v>0</v>
      </c>
      <c r="S44" s="26">
        <v>0</v>
      </c>
      <c r="T44" s="26">
        <v>0</v>
      </c>
      <c r="U44" s="26">
        <v>0</v>
      </c>
      <c r="V44" s="26">
        <v>0</v>
      </c>
      <c r="W44" s="26">
        <v>0</v>
      </c>
      <c r="X44" s="26">
        <v>0</v>
      </c>
      <c r="Y44" s="26">
        <v>0</v>
      </c>
      <c r="Z44" s="26">
        <v>0</v>
      </c>
      <c r="AA44" s="26">
        <v>0</v>
      </c>
      <c r="AB44" s="26">
        <v>0</v>
      </c>
      <c r="AC44" s="26">
        <v>0</v>
      </c>
      <c r="AD44" s="26">
        <v>448</v>
      </c>
      <c r="AE44" s="26">
        <v>896</v>
      </c>
      <c r="AF44" s="26">
        <v>94.506666666666675</v>
      </c>
      <c r="AG44" s="26">
        <v>230</v>
      </c>
      <c r="AH44" s="26">
        <v>30</v>
      </c>
      <c r="AI44" s="26">
        <v>0</v>
      </c>
      <c r="AJ44" s="26">
        <v>70</v>
      </c>
      <c r="AK44" s="26">
        <v>0</v>
      </c>
      <c r="AL44" s="26">
        <v>150</v>
      </c>
      <c r="AM44" s="26">
        <v>0</v>
      </c>
      <c r="AN44" s="26">
        <v>0</v>
      </c>
      <c r="AO44" s="23">
        <f t="shared" si="0"/>
        <v>1918.5066666666667</v>
      </c>
      <c r="AP44" s="24">
        <v>1918.5066666666667</v>
      </c>
      <c r="AQ44" s="24">
        <v>1918.51</v>
      </c>
      <c r="AR44" s="25">
        <f t="shared" si="1"/>
        <v>0</v>
      </c>
      <c r="AS44" s="25">
        <f t="shared" si="2"/>
        <v>-3.3333333333303017E-3</v>
      </c>
      <c r="AT44" s="4"/>
    </row>
    <row r="45" spans="1:46" ht="14.25" customHeight="1">
      <c r="A45" s="18">
        <v>41</v>
      </c>
      <c r="B45" s="19" t="s">
        <v>96</v>
      </c>
      <c r="C45" s="19" t="s">
        <v>51</v>
      </c>
      <c r="D45" s="20" t="s">
        <v>54</v>
      </c>
      <c r="E45" s="20">
        <v>1600</v>
      </c>
      <c r="F45" s="21">
        <v>416.65999999999997</v>
      </c>
      <c r="G45" s="21">
        <v>0</v>
      </c>
      <c r="H45" s="26">
        <v>0</v>
      </c>
      <c r="I45" s="26">
        <v>24.990000000000002</v>
      </c>
      <c r="J45" s="26">
        <v>0</v>
      </c>
      <c r="K45" s="26">
        <v>0</v>
      </c>
      <c r="L45" s="26">
        <v>0</v>
      </c>
      <c r="M45" s="26">
        <v>0</v>
      </c>
      <c r="N45" s="26">
        <v>0</v>
      </c>
      <c r="O45" s="26">
        <v>0</v>
      </c>
      <c r="P45" s="26">
        <v>0</v>
      </c>
      <c r="Q45" s="27">
        <v>0</v>
      </c>
      <c r="R45" s="26">
        <v>0</v>
      </c>
      <c r="S45" s="26">
        <v>0</v>
      </c>
      <c r="T45" s="26">
        <v>0</v>
      </c>
      <c r="U45" s="26">
        <v>0</v>
      </c>
      <c r="V45" s="26">
        <v>0</v>
      </c>
      <c r="W45" s="26">
        <v>0</v>
      </c>
      <c r="X45" s="26">
        <v>0</v>
      </c>
      <c r="Y45" s="26">
        <v>0</v>
      </c>
      <c r="Z45" s="26">
        <v>0</v>
      </c>
      <c r="AA45" s="26">
        <v>0</v>
      </c>
      <c r="AB45" s="26">
        <v>0</v>
      </c>
      <c r="AC45" s="26">
        <v>0</v>
      </c>
      <c r="AD45" s="26">
        <v>336</v>
      </c>
      <c r="AE45" s="26">
        <v>672</v>
      </c>
      <c r="AF45" s="26">
        <v>25.33</v>
      </c>
      <c r="AG45" s="26">
        <v>40</v>
      </c>
      <c r="AH45" s="26">
        <v>0</v>
      </c>
      <c r="AI45" s="26">
        <v>290</v>
      </c>
      <c r="AJ45" s="26">
        <v>0</v>
      </c>
      <c r="AK45" s="26">
        <v>0</v>
      </c>
      <c r="AL45" s="26">
        <v>0</v>
      </c>
      <c r="AM45" s="26">
        <v>0</v>
      </c>
      <c r="AN45" s="26">
        <v>0</v>
      </c>
      <c r="AO45" s="23">
        <f t="shared" si="0"/>
        <v>1804.98</v>
      </c>
      <c r="AP45" s="24">
        <v>1804.98</v>
      </c>
      <c r="AQ45" s="24">
        <v>1804.98</v>
      </c>
      <c r="AR45" s="25">
        <f t="shared" si="1"/>
        <v>0</v>
      </c>
      <c r="AS45" s="25">
        <f t="shared" si="2"/>
        <v>0</v>
      </c>
      <c r="AT45" s="4"/>
    </row>
    <row r="46" spans="1:46" ht="14.25" customHeight="1">
      <c r="A46" s="18">
        <v>42</v>
      </c>
      <c r="B46" s="19" t="s">
        <v>97</v>
      </c>
      <c r="C46" s="19" t="s">
        <v>51</v>
      </c>
      <c r="D46" s="20" t="s">
        <v>69</v>
      </c>
      <c r="E46" s="20">
        <v>1600</v>
      </c>
      <c r="F46" s="21">
        <v>750</v>
      </c>
      <c r="G46" s="21">
        <v>0</v>
      </c>
      <c r="H46" s="26">
        <v>0</v>
      </c>
      <c r="I46" s="26">
        <v>115.47619047619048</v>
      </c>
      <c r="J46" s="26">
        <v>0</v>
      </c>
      <c r="K46" s="26">
        <v>0</v>
      </c>
      <c r="L46" s="26">
        <v>0</v>
      </c>
      <c r="M46" s="26">
        <v>0</v>
      </c>
      <c r="N46" s="26">
        <v>0</v>
      </c>
      <c r="O46" s="26">
        <v>0</v>
      </c>
      <c r="P46" s="26">
        <v>33.33</v>
      </c>
      <c r="Q46" s="27">
        <v>26.19047619047619</v>
      </c>
      <c r="R46" s="26">
        <v>50</v>
      </c>
      <c r="S46" s="26">
        <v>0</v>
      </c>
      <c r="T46" s="26">
        <v>0</v>
      </c>
      <c r="U46" s="26">
        <v>0</v>
      </c>
      <c r="V46" s="26">
        <v>0</v>
      </c>
      <c r="W46" s="26">
        <v>0</v>
      </c>
      <c r="X46" s="26">
        <v>0</v>
      </c>
      <c r="Y46" s="26">
        <v>100</v>
      </c>
      <c r="Z46" s="26">
        <v>0</v>
      </c>
      <c r="AA46" s="26">
        <v>0</v>
      </c>
      <c r="AB46" s="26">
        <v>0</v>
      </c>
      <c r="AC46" s="26">
        <v>0</v>
      </c>
      <c r="AD46" s="26">
        <v>224</v>
      </c>
      <c r="AE46" s="26">
        <v>448</v>
      </c>
      <c r="AF46" s="26">
        <v>272.76666666666665</v>
      </c>
      <c r="AG46" s="26">
        <v>120</v>
      </c>
      <c r="AH46" s="26">
        <v>0</v>
      </c>
      <c r="AI46" s="26">
        <v>456</v>
      </c>
      <c r="AJ46" s="26">
        <v>90</v>
      </c>
      <c r="AK46" s="26">
        <v>0</v>
      </c>
      <c r="AL46" s="26">
        <v>0</v>
      </c>
      <c r="AM46" s="26">
        <v>0</v>
      </c>
      <c r="AN46" s="26">
        <v>0</v>
      </c>
      <c r="AO46" s="23">
        <f t="shared" si="0"/>
        <v>2685.7633333333333</v>
      </c>
      <c r="AP46" s="24">
        <v>2685.7633333333333</v>
      </c>
      <c r="AQ46" s="24">
        <v>2685.76</v>
      </c>
      <c r="AR46" s="25">
        <f t="shared" si="1"/>
        <v>0</v>
      </c>
      <c r="AS46" s="25">
        <f t="shared" si="2"/>
        <v>3.333333333102928E-3</v>
      </c>
      <c r="AT46" s="4"/>
    </row>
    <row r="47" spans="1:46" ht="14.25" customHeight="1">
      <c r="A47" s="18">
        <v>43</v>
      </c>
      <c r="B47" s="19" t="s">
        <v>98</v>
      </c>
      <c r="C47" s="19" t="s">
        <v>51</v>
      </c>
      <c r="D47" s="20" t="s">
        <v>52</v>
      </c>
      <c r="E47" s="20">
        <v>1600</v>
      </c>
      <c r="F47" s="21">
        <v>309.52</v>
      </c>
      <c r="G47" s="21">
        <v>0</v>
      </c>
      <c r="H47" s="26">
        <v>0</v>
      </c>
      <c r="I47" s="26">
        <v>473.8</v>
      </c>
      <c r="J47" s="26">
        <v>0</v>
      </c>
      <c r="K47" s="26">
        <v>0</v>
      </c>
      <c r="L47" s="26">
        <v>0</v>
      </c>
      <c r="M47" s="26">
        <v>0</v>
      </c>
      <c r="N47" s="26">
        <v>0</v>
      </c>
      <c r="O47" s="26">
        <v>0</v>
      </c>
      <c r="P47" s="26">
        <v>0</v>
      </c>
      <c r="Q47" s="27">
        <v>20</v>
      </c>
      <c r="R47" s="26">
        <v>0</v>
      </c>
      <c r="S47" s="26">
        <v>0</v>
      </c>
      <c r="T47" s="26">
        <v>0</v>
      </c>
      <c r="U47" s="26">
        <v>0</v>
      </c>
      <c r="V47" s="26">
        <v>0</v>
      </c>
      <c r="W47" s="26">
        <v>0</v>
      </c>
      <c r="X47" s="26">
        <v>0</v>
      </c>
      <c r="Y47" s="26">
        <v>0</v>
      </c>
      <c r="Z47" s="26">
        <v>0</v>
      </c>
      <c r="AA47" s="26">
        <v>0</v>
      </c>
      <c r="AB47" s="26">
        <v>0</v>
      </c>
      <c r="AC47" s="26">
        <v>0</v>
      </c>
      <c r="AD47" s="26">
        <v>399</v>
      </c>
      <c r="AE47" s="26">
        <v>798</v>
      </c>
      <c r="AF47" s="26">
        <v>341.47999999999996</v>
      </c>
      <c r="AG47" s="26">
        <v>140</v>
      </c>
      <c r="AH47" s="26">
        <v>220</v>
      </c>
      <c r="AI47" s="26">
        <v>346</v>
      </c>
      <c r="AJ47" s="26">
        <v>0</v>
      </c>
      <c r="AK47" s="26">
        <v>0</v>
      </c>
      <c r="AL47" s="26">
        <v>0</v>
      </c>
      <c r="AM47" s="26">
        <v>0</v>
      </c>
      <c r="AN47" s="26">
        <v>0</v>
      </c>
      <c r="AO47" s="23">
        <f t="shared" si="0"/>
        <v>3047.7999999999997</v>
      </c>
      <c r="AP47" s="24">
        <v>3047.7999999999997</v>
      </c>
      <c r="AQ47" s="24">
        <v>3047.8</v>
      </c>
      <c r="AR47" s="25">
        <f t="shared" si="1"/>
        <v>0</v>
      </c>
      <c r="AS47" s="25">
        <f t="shared" si="2"/>
        <v>0</v>
      </c>
      <c r="AT47" s="4"/>
    </row>
    <row r="48" spans="1:46" ht="14.25" customHeight="1">
      <c r="A48" s="18">
        <v>44</v>
      </c>
      <c r="B48" s="32" t="s">
        <v>99</v>
      </c>
      <c r="C48" s="19" t="s">
        <v>51</v>
      </c>
      <c r="D48" s="20" t="s">
        <v>54</v>
      </c>
      <c r="E48" s="20">
        <v>1600</v>
      </c>
      <c r="F48" s="21">
        <v>0</v>
      </c>
      <c r="G48" s="21">
        <v>0</v>
      </c>
      <c r="H48" s="26">
        <v>0</v>
      </c>
      <c r="I48" s="26">
        <v>0</v>
      </c>
      <c r="J48" s="26">
        <v>0</v>
      </c>
      <c r="K48" s="26">
        <v>0</v>
      </c>
      <c r="L48" s="26">
        <v>0</v>
      </c>
      <c r="M48" s="26">
        <v>0</v>
      </c>
      <c r="N48" s="26">
        <v>0</v>
      </c>
      <c r="O48" s="26">
        <v>0</v>
      </c>
      <c r="P48" s="26">
        <v>0</v>
      </c>
      <c r="Q48" s="27">
        <v>0</v>
      </c>
      <c r="R48" s="26">
        <v>0</v>
      </c>
      <c r="S48" s="26">
        <v>0</v>
      </c>
      <c r="T48" s="26">
        <v>0</v>
      </c>
      <c r="U48" s="26">
        <v>0</v>
      </c>
      <c r="V48" s="26">
        <v>0</v>
      </c>
      <c r="W48" s="26">
        <v>0</v>
      </c>
      <c r="X48" s="26">
        <v>0</v>
      </c>
      <c r="Y48" s="26">
        <v>0</v>
      </c>
      <c r="Z48" s="26">
        <v>0</v>
      </c>
      <c r="AA48" s="26">
        <v>0</v>
      </c>
      <c r="AB48" s="26">
        <v>0</v>
      </c>
      <c r="AC48" s="26">
        <v>0</v>
      </c>
      <c r="AD48" s="26">
        <v>336</v>
      </c>
      <c r="AE48" s="26">
        <v>672</v>
      </c>
      <c r="AF48" s="26">
        <v>90.97999999999999</v>
      </c>
      <c r="AG48" s="26">
        <v>40</v>
      </c>
      <c r="AH48" s="26">
        <v>0</v>
      </c>
      <c r="AI48" s="26">
        <v>56</v>
      </c>
      <c r="AJ48" s="26">
        <v>32</v>
      </c>
      <c r="AK48" s="26">
        <v>0</v>
      </c>
      <c r="AL48" s="26">
        <v>50</v>
      </c>
      <c r="AM48" s="26">
        <v>0</v>
      </c>
      <c r="AN48" s="26">
        <v>324</v>
      </c>
      <c r="AO48" s="23">
        <f t="shared" si="0"/>
        <v>1600.98</v>
      </c>
      <c r="AP48" s="24">
        <v>1600.98</v>
      </c>
      <c r="AQ48" s="24">
        <v>1600.98</v>
      </c>
      <c r="AR48" s="25">
        <f t="shared" si="1"/>
        <v>0</v>
      </c>
      <c r="AS48" s="25">
        <f t="shared" si="2"/>
        <v>0</v>
      </c>
      <c r="AT48" s="4"/>
    </row>
    <row r="49" spans="1:46" ht="14.25" customHeight="1">
      <c r="A49" s="18">
        <v>45</v>
      </c>
      <c r="B49" s="19" t="s">
        <v>100</v>
      </c>
      <c r="C49" s="19" t="s">
        <v>51</v>
      </c>
      <c r="D49" s="20" t="s">
        <v>52</v>
      </c>
      <c r="E49" s="20">
        <v>1600</v>
      </c>
      <c r="F49" s="21">
        <v>75</v>
      </c>
      <c r="G49" s="21">
        <v>0</v>
      </c>
      <c r="H49" s="26">
        <v>0</v>
      </c>
      <c r="I49" s="26">
        <v>11.805555555555555</v>
      </c>
      <c r="J49" s="26">
        <v>0</v>
      </c>
      <c r="K49" s="26">
        <v>0</v>
      </c>
      <c r="L49" s="26">
        <v>0</v>
      </c>
      <c r="M49" s="26">
        <v>0</v>
      </c>
      <c r="N49" s="26">
        <v>0</v>
      </c>
      <c r="O49" s="26">
        <v>0</v>
      </c>
      <c r="P49" s="26">
        <v>0</v>
      </c>
      <c r="Q49" s="27">
        <v>1.1111111111111112</v>
      </c>
      <c r="R49" s="26">
        <v>50</v>
      </c>
      <c r="S49" s="26">
        <v>260</v>
      </c>
      <c r="T49" s="26">
        <v>0</v>
      </c>
      <c r="U49" s="26">
        <v>0</v>
      </c>
      <c r="V49" s="26">
        <v>50</v>
      </c>
      <c r="W49" s="26">
        <v>0</v>
      </c>
      <c r="X49" s="26">
        <v>0</v>
      </c>
      <c r="Y49" s="26">
        <v>0</v>
      </c>
      <c r="Z49" s="26">
        <v>0</v>
      </c>
      <c r="AA49" s="26">
        <v>0</v>
      </c>
      <c r="AB49" s="26">
        <v>0</v>
      </c>
      <c r="AC49" s="26">
        <v>20</v>
      </c>
      <c r="AD49" s="26">
        <v>252</v>
      </c>
      <c r="AE49" s="26">
        <v>504</v>
      </c>
      <c r="AF49" s="26">
        <v>109.33333333333333</v>
      </c>
      <c r="AG49" s="26">
        <v>20</v>
      </c>
      <c r="AH49" s="26">
        <v>20</v>
      </c>
      <c r="AI49" s="26">
        <v>112</v>
      </c>
      <c r="AJ49" s="26">
        <v>0</v>
      </c>
      <c r="AK49" s="26">
        <v>0</v>
      </c>
      <c r="AL49" s="26">
        <v>50</v>
      </c>
      <c r="AM49" s="26">
        <v>0</v>
      </c>
      <c r="AN49" s="26">
        <v>140</v>
      </c>
      <c r="AO49" s="23">
        <f t="shared" si="0"/>
        <v>1675.25</v>
      </c>
      <c r="AP49" s="24">
        <v>1675.25</v>
      </c>
      <c r="AQ49" s="24">
        <v>1675.25</v>
      </c>
      <c r="AR49" s="25">
        <f t="shared" si="1"/>
        <v>0</v>
      </c>
      <c r="AS49" s="25">
        <f t="shared" si="2"/>
        <v>0</v>
      </c>
      <c r="AT49" s="4"/>
    </row>
    <row r="50" spans="1:46" ht="14.25" customHeight="1">
      <c r="A50" s="18">
        <v>46</v>
      </c>
      <c r="B50" s="19" t="s">
        <v>101</v>
      </c>
      <c r="C50" s="19" t="s">
        <v>51</v>
      </c>
      <c r="D50" s="20" t="s">
        <v>62</v>
      </c>
      <c r="E50" s="20">
        <v>1600</v>
      </c>
      <c r="F50" s="21">
        <v>175</v>
      </c>
      <c r="G50" s="21">
        <v>0</v>
      </c>
      <c r="H50" s="26">
        <v>0</v>
      </c>
      <c r="I50" s="26">
        <v>25</v>
      </c>
      <c r="J50" s="26">
        <v>0</v>
      </c>
      <c r="K50" s="26">
        <v>0</v>
      </c>
      <c r="L50" s="26">
        <v>0</v>
      </c>
      <c r="M50" s="26">
        <v>0</v>
      </c>
      <c r="N50" s="26">
        <v>0</v>
      </c>
      <c r="O50" s="26">
        <v>0</v>
      </c>
      <c r="P50" s="26">
        <v>0</v>
      </c>
      <c r="Q50" s="27">
        <v>10</v>
      </c>
      <c r="R50" s="26">
        <v>0</v>
      </c>
      <c r="S50" s="26">
        <v>95</v>
      </c>
      <c r="T50" s="26">
        <v>0</v>
      </c>
      <c r="U50" s="26">
        <v>0</v>
      </c>
      <c r="V50" s="26">
        <v>0</v>
      </c>
      <c r="W50" s="26">
        <v>0</v>
      </c>
      <c r="X50" s="26">
        <v>0</v>
      </c>
      <c r="Y50" s="26">
        <v>0</v>
      </c>
      <c r="Z50" s="26">
        <v>0</v>
      </c>
      <c r="AA50" s="26">
        <v>0</v>
      </c>
      <c r="AB50" s="26">
        <v>0</v>
      </c>
      <c r="AC50" s="26">
        <v>0</v>
      </c>
      <c r="AD50" s="26">
        <v>336</v>
      </c>
      <c r="AE50" s="26">
        <v>672</v>
      </c>
      <c r="AF50" s="26">
        <v>160.89999999999998</v>
      </c>
      <c r="AG50" s="26">
        <v>0</v>
      </c>
      <c r="AH50" s="26">
        <v>20</v>
      </c>
      <c r="AI50" s="26">
        <v>56</v>
      </c>
      <c r="AJ50" s="26">
        <v>30</v>
      </c>
      <c r="AK50" s="26">
        <v>0</v>
      </c>
      <c r="AL50" s="26">
        <v>0</v>
      </c>
      <c r="AM50" s="26">
        <v>0</v>
      </c>
      <c r="AN50" s="26">
        <v>100</v>
      </c>
      <c r="AO50" s="23">
        <f t="shared" si="0"/>
        <v>1679.9</v>
      </c>
      <c r="AP50" s="24">
        <v>1679.9</v>
      </c>
      <c r="AQ50" s="24">
        <v>1679.9</v>
      </c>
      <c r="AR50" s="25">
        <f t="shared" si="1"/>
        <v>0</v>
      </c>
      <c r="AS50" s="25">
        <f t="shared" si="2"/>
        <v>0</v>
      </c>
      <c r="AT50" s="4"/>
    </row>
    <row r="51" spans="1:46" ht="14.25" customHeight="1">
      <c r="A51" s="18">
        <v>47</v>
      </c>
      <c r="B51" s="19" t="s">
        <v>102</v>
      </c>
      <c r="C51" s="19" t="s">
        <v>51</v>
      </c>
      <c r="D51" s="20" t="s">
        <v>52</v>
      </c>
      <c r="E51" s="20">
        <v>1600</v>
      </c>
      <c r="F51" s="21">
        <v>3341.6666666666665</v>
      </c>
      <c r="G51" s="21">
        <v>0</v>
      </c>
      <c r="H51" s="26">
        <v>0</v>
      </c>
      <c r="I51" s="26">
        <v>1183.8690476190484</v>
      </c>
      <c r="J51" s="26">
        <v>0</v>
      </c>
      <c r="K51" s="26">
        <v>1166.6666666666665</v>
      </c>
      <c r="L51" s="26">
        <v>0</v>
      </c>
      <c r="M51" s="26">
        <v>0</v>
      </c>
      <c r="N51" s="26">
        <v>316.66666666666669</v>
      </c>
      <c r="O51" s="26">
        <v>604</v>
      </c>
      <c r="P51" s="26">
        <v>0</v>
      </c>
      <c r="Q51" s="27">
        <v>389.44444444444446</v>
      </c>
      <c r="R51" s="26">
        <v>1800</v>
      </c>
      <c r="S51" s="26">
        <v>0</v>
      </c>
      <c r="T51" s="26">
        <v>0</v>
      </c>
      <c r="U51" s="26">
        <v>0</v>
      </c>
      <c r="V51" s="26">
        <v>0</v>
      </c>
      <c r="W51" s="26">
        <v>0</v>
      </c>
      <c r="X51" s="26">
        <v>0</v>
      </c>
      <c r="Y51" s="26">
        <v>0</v>
      </c>
      <c r="Z51" s="26">
        <v>1400</v>
      </c>
      <c r="AA51" s="26">
        <v>0</v>
      </c>
      <c r="AB51" s="26">
        <v>0</v>
      </c>
      <c r="AC51" s="26">
        <v>0</v>
      </c>
      <c r="AD51" s="26">
        <v>196</v>
      </c>
      <c r="AE51" s="26">
        <v>392</v>
      </c>
      <c r="AF51" s="26">
        <v>72.66</v>
      </c>
      <c r="AG51" s="26">
        <v>100</v>
      </c>
      <c r="AH51" s="26">
        <v>0</v>
      </c>
      <c r="AI51" s="26">
        <v>200</v>
      </c>
      <c r="AJ51" s="26">
        <v>100</v>
      </c>
      <c r="AK51" s="26">
        <v>0</v>
      </c>
      <c r="AL51" s="26">
        <v>0</v>
      </c>
      <c r="AM51" s="26">
        <v>0</v>
      </c>
      <c r="AN51" s="26">
        <v>100</v>
      </c>
      <c r="AO51" s="23">
        <f t="shared" si="0"/>
        <v>11362.973492063493</v>
      </c>
      <c r="AP51" s="24">
        <v>11362.973492063493</v>
      </c>
      <c r="AQ51" s="24">
        <v>11362.97</v>
      </c>
      <c r="AR51" s="25">
        <f t="shared" si="1"/>
        <v>0</v>
      </c>
      <c r="AS51" s="25">
        <f t="shared" si="2"/>
        <v>3.4920634934678674E-3</v>
      </c>
      <c r="AT51" s="4"/>
    </row>
    <row r="52" spans="1:46" ht="14.25" customHeight="1">
      <c r="A52" s="18">
        <v>48</v>
      </c>
      <c r="B52" s="19" t="s">
        <v>103</v>
      </c>
      <c r="C52" s="19" t="s">
        <v>51</v>
      </c>
      <c r="D52" s="20" t="s">
        <v>54</v>
      </c>
      <c r="E52" s="20">
        <v>1600</v>
      </c>
      <c r="F52" s="21">
        <v>0</v>
      </c>
      <c r="G52" s="21">
        <v>0</v>
      </c>
      <c r="H52" s="26">
        <v>0</v>
      </c>
      <c r="I52" s="26">
        <v>16.666666666666668</v>
      </c>
      <c r="J52" s="26">
        <v>0</v>
      </c>
      <c r="K52" s="26">
        <v>0</v>
      </c>
      <c r="L52" s="26">
        <v>0</v>
      </c>
      <c r="M52" s="26">
        <v>0</v>
      </c>
      <c r="N52" s="26">
        <v>200</v>
      </c>
      <c r="O52" s="26">
        <v>0</v>
      </c>
      <c r="P52" s="26">
        <v>0</v>
      </c>
      <c r="Q52" s="27">
        <v>0</v>
      </c>
      <c r="R52" s="26">
        <v>0</v>
      </c>
      <c r="S52" s="26">
        <v>267.5</v>
      </c>
      <c r="T52" s="26">
        <v>0</v>
      </c>
      <c r="U52" s="26">
        <v>0</v>
      </c>
      <c r="V52" s="26">
        <v>0</v>
      </c>
      <c r="W52" s="26">
        <v>0</v>
      </c>
      <c r="X52" s="26">
        <v>0</v>
      </c>
      <c r="Y52" s="26">
        <v>0</v>
      </c>
      <c r="Z52" s="26">
        <v>760</v>
      </c>
      <c r="AA52" s="26">
        <v>0</v>
      </c>
      <c r="AB52" s="26">
        <v>0</v>
      </c>
      <c r="AC52" s="26">
        <v>0</v>
      </c>
      <c r="AD52" s="26">
        <v>336</v>
      </c>
      <c r="AE52" s="26">
        <v>672</v>
      </c>
      <c r="AF52" s="26">
        <v>300</v>
      </c>
      <c r="AG52" s="26">
        <v>240</v>
      </c>
      <c r="AH52" s="26">
        <v>40</v>
      </c>
      <c r="AI52" s="26">
        <v>392</v>
      </c>
      <c r="AJ52" s="26">
        <v>106</v>
      </c>
      <c r="AK52" s="26">
        <v>0</v>
      </c>
      <c r="AL52" s="26">
        <v>0</v>
      </c>
      <c r="AM52" s="26">
        <v>0</v>
      </c>
      <c r="AN52" s="26">
        <v>62</v>
      </c>
      <c r="AO52" s="23">
        <f t="shared" si="0"/>
        <v>3392.1666666666665</v>
      </c>
      <c r="AP52" s="24">
        <v>3392.1666666666665</v>
      </c>
      <c r="AQ52" s="24">
        <v>3392.17</v>
      </c>
      <c r="AR52" s="25">
        <f t="shared" si="1"/>
        <v>0</v>
      </c>
      <c r="AS52" s="25">
        <f t="shared" si="2"/>
        <v>-3.3333333335576754E-3</v>
      </c>
      <c r="AT52" s="4"/>
    </row>
    <row r="53" spans="1:46" ht="14.25" customHeight="1">
      <c r="A53" s="18">
        <v>49</v>
      </c>
      <c r="B53" s="33" t="s">
        <v>104</v>
      </c>
      <c r="C53" s="33" t="s">
        <v>105</v>
      </c>
      <c r="D53" s="20" t="s">
        <v>106</v>
      </c>
      <c r="E53" s="20">
        <v>1600</v>
      </c>
      <c r="F53" s="21">
        <v>392.86</v>
      </c>
      <c r="G53" s="21">
        <v>0</v>
      </c>
      <c r="H53" s="21">
        <v>0</v>
      </c>
      <c r="I53" s="21">
        <v>457.12000000000012</v>
      </c>
      <c r="J53" s="21">
        <v>0</v>
      </c>
      <c r="K53" s="21">
        <v>100</v>
      </c>
      <c r="L53" s="21">
        <v>0</v>
      </c>
      <c r="M53" s="21">
        <v>0</v>
      </c>
      <c r="N53" s="21">
        <v>0</v>
      </c>
      <c r="O53" s="21">
        <v>0</v>
      </c>
      <c r="P53" s="21">
        <v>0</v>
      </c>
      <c r="Q53" s="22">
        <v>114.71428571428574</v>
      </c>
      <c r="R53" s="21">
        <v>1500</v>
      </c>
      <c r="S53" s="21">
        <v>215</v>
      </c>
      <c r="T53" s="21">
        <v>0</v>
      </c>
      <c r="U53" s="21">
        <v>0</v>
      </c>
      <c r="V53" s="21">
        <v>0</v>
      </c>
      <c r="W53" s="21">
        <v>0</v>
      </c>
      <c r="X53" s="21">
        <v>0</v>
      </c>
      <c r="Y53" s="21">
        <v>0</v>
      </c>
      <c r="Z53" s="21">
        <v>0</v>
      </c>
      <c r="AA53" s="21">
        <v>0</v>
      </c>
      <c r="AB53" s="21">
        <v>0</v>
      </c>
      <c r="AC53" s="21">
        <v>0</v>
      </c>
      <c r="AD53" s="21">
        <v>196</v>
      </c>
      <c r="AE53" s="21">
        <v>392</v>
      </c>
      <c r="AF53" s="21">
        <v>112.31333333333333</v>
      </c>
      <c r="AG53" s="21">
        <v>280</v>
      </c>
      <c r="AH53" s="21">
        <v>610</v>
      </c>
      <c r="AI53" s="21">
        <v>56</v>
      </c>
      <c r="AJ53" s="21">
        <v>30</v>
      </c>
      <c r="AK53" s="21">
        <v>0</v>
      </c>
      <c r="AL53" s="21">
        <v>0</v>
      </c>
      <c r="AM53" s="21">
        <v>0</v>
      </c>
      <c r="AN53" s="21">
        <v>610</v>
      </c>
      <c r="AO53" s="23">
        <f t="shared" si="0"/>
        <v>5066.0076190476193</v>
      </c>
      <c r="AP53" s="24">
        <v>5066.0076190476193</v>
      </c>
      <c r="AQ53" s="24">
        <v>5066.01</v>
      </c>
      <c r="AR53" s="25">
        <f t="shared" si="1"/>
        <v>0</v>
      </c>
      <c r="AS53" s="25">
        <f t="shared" si="2"/>
        <v>-2.3809523809177335E-3</v>
      </c>
      <c r="AT53" s="4"/>
    </row>
    <row r="54" spans="1:46" ht="14.25" customHeight="1">
      <c r="A54" s="18">
        <v>50</v>
      </c>
      <c r="B54" s="33" t="s">
        <v>107</v>
      </c>
      <c r="C54" s="33" t="s">
        <v>105</v>
      </c>
      <c r="D54" s="20" t="s">
        <v>108</v>
      </c>
      <c r="E54" s="20">
        <v>1600</v>
      </c>
      <c r="F54" s="21">
        <v>0</v>
      </c>
      <c r="G54" s="21">
        <v>0</v>
      </c>
      <c r="H54" s="26">
        <v>0</v>
      </c>
      <c r="I54" s="26">
        <v>0</v>
      </c>
      <c r="J54" s="26">
        <v>0</v>
      </c>
      <c r="K54" s="26">
        <v>0</v>
      </c>
      <c r="L54" s="26">
        <v>0</v>
      </c>
      <c r="M54" s="26">
        <v>0</v>
      </c>
      <c r="N54" s="26">
        <v>0</v>
      </c>
      <c r="O54" s="26">
        <v>0</v>
      </c>
      <c r="P54" s="26">
        <v>0</v>
      </c>
      <c r="Q54" s="27">
        <v>0</v>
      </c>
      <c r="R54" s="26">
        <v>0</v>
      </c>
      <c r="S54" s="26">
        <v>0</v>
      </c>
      <c r="T54" s="26">
        <v>0</v>
      </c>
      <c r="U54" s="26">
        <v>0</v>
      </c>
      <c r="V54" s="26">
        <v>0</v>
      </c>
      <c r="W54" s="26">
        <v>0</v>
      </c>
      <c r="X54" s="26">
        <v>0</v>
      </c>
      <c r="Y54" s="26">
        <v>0</v>
      </c>
      <c r="Z54" s="26">
        <v>0</v>
      </c>
      <c r="AA54" s="26">
        <v>0</v>
      </c>
      <c r="AB54" s="26">
        <v>0</v>
      </c>
      <c r="AC54" s="26">
        <v>0</v>
      </c>
      <c r="AD54" s="26">
        <v>448</v>
      </c>
      <c r="AE54" s="26">
        <v>896</v>
      </c>
      <c r="AF54" s="26">
        <v>145</v>
      </c>
      <c r="AG54" s="26">
        <v>0</v>
      </c>
      <c r="AH54" s="26">
        <v>0</v>
      </c>
      <c r="AI54" s="26">
        <v>56</v>
      </c>
      <c r="AJ54" s="26">
        <v>0</v>
      </c>
      <c r="AK54" s="26">
        <v>0</v>
      </c>
      <c r="AL54" s="26">
        <v>0</v>
      </c>
      <c r="AM54" s="26">
        <v>0</v>
      </c>
      <c r="AN54" s="26">
        <v>55</v>
      </c>
      <c r="AO54" s="23">
        <f t="shared" si="0"/>
        <v>1600</v>
      </c>
      <c r="AP54" s="24">
        <v>1600</v>
      </c>
      <c r="AQ54" s="24">
        <v>1600</v>
      </c>
      <c r="AR54" s="25">
        <f t="shared" si="1"/>
        <v>0</v>
      </c>
      <c r="AS54" s="25">
        <f t="shared" si="2"/>
        <v>0</v>
      </c>
      <c r="AT54" s="4"/>
    </row>
    <row r="55" spans="1:46" ht="14.25" customHeight="1">
      <c r="A55" s="18">
        <v>51</v>
      </c>
      <c r="B55" s="33" t="s">
        <v>109</v>
      </c>
      <c r="C55" s="33" t="s">
        <v>105</v>
      </c>
      <c r="D55" s="20" t="s">
        <v>108</v>
      </c>
      <c r="E55" s="20">
        <v>1600</v>
      </c>
      <c r="F55" s="21">
        <v>0</v>
      </c>
      <c r="G55" s="21">
        <v>0</v>
      </c>
      <c r="H55" s="26">
        <v>0</v>
      </c>
      <c r="I55" s="26">
        <v>0</v>
      </c>
      <c r="J55" s="26">
        <v>0</v>
      </c>
      <c r="K55" s="26">
        <v>0</v>
      </c>
      <c r="L55" s="26">
        <v>0</v>
      </c>
      <c r="M55" s="26">
        <v>0</v>
      </c>
      <c r="N55" s="26">
        <v>0</v>
      </c>
      <c r="O55" s="26">
        <v>0</v>
      </c>
      <c r="P55" s="26">
        <v>0</v>
      </c>
      <c r="Q55" s="27">
        <v>0</v>
      </c>
      <c r="R55" s="26">
        <v>0</v>
      </c>
      <c r="S55" s="26">
        <v>0</v>
      </c>
      <c r="T55" s="26">
        <v>0</v>
      </c>
      <c r="U55" s="26">
        <v>0</v>
      </c>
      <c r="V55" s="26">
        <v>0</v>
      </c>
      <c r="W55" s="26">
        <v>0</v>
      </c>
      <c r="X55" s="26">
        <v>0</v>
      </c>
      <c r="Y55" s="26">
        <v>0</v>
      </c>
      <c r="Z55" s="26">
        <v>0</v>
      </c>
      <c r="AA55" s="26">
        <v>0</v>
      </c>
      <c r="AB55" s="26">
        <v>0</v>
      </c>
      <c r="AC55" s="26">
        <v>0</v>
      </c>
      <c r="AD55" s="26">
        <v>448</v>
      </c>
      <c r="AE55" s="26">
        <v>896</v>
      </c>
      <c r="AF55" s="26">
        <v>135</v>
      </c>
      <c r="AG55" s="26">
        <v>0</v>
      </c>
      <c r="AH55" s="26">
        <v>0</v>
      </c>
      <c r="AI55" s="26">
        <v>56</v>
      </c>
      <c r="AJ55" s="26">
        <v>0</v>
      </c>
      <c r="AK55" s="26">
        <v>0</v>
      </c>
      <c r="AL55" s="26">
        <v>0</v>
      </c>
      <c r="AM55" s="26">
        <v>0</v>
      </c>
      <c r="AN55" s="26">
        <v>65</v>
      </c>
      <c r="AO55" s="23">
        <f t="shared" si="0"/>
        <v>1600</v>
      </c>
      <c r="AP55" s="24">
        <v>1600</v>
      </c>
      <c r="AQ55" s="24">
        <v>1600</v>
      </c>
      <c r="AR55" s="25">
        <f t="shared" si="1"/>
        <v>0</v>
      </c>
      <c r="AS55" s="25">
        <f t="shared" si="2"/>
        <v>0</v>
      </c>
      <c r="AT55" s="4"/>
    </row>
    <row r="56" spans="1:46" ht="14.25" customHeight="1">
      <c r="A56" s="18">
        <v>52</v>
      </c>
      <c r="B56" s="33" t="s">
        <v>110</v>
      </c>
      <c r="C56" s="33" t="s">
        <v>105</v>
      </c>
      <c r="D56" s="20" t="s">
        <v>108</v>
      </c>
      <c r="E56" s="20">
        <v>1600</v>
      </c>
      <c r="F56" s="21">
        <v>0</v>
      </c>
      <c r="G56" s="21">
        <v>0</v>
      </c>
      <c r="H56" s="26">
        <v>0</v>
      </c>
      <c r="I56" s="26">
        <v>0</v>
      </c>
      <c r="J56" s="26">
        <v>0</v>
      </c>
      <c r="K56" s="26">
        <v>0</v>
      </c>
      <c r="L56" s="26">
        <v>0</v>
      </c>
      <c r="M56" s="26">
        <v>0</v>
      </c>
      <c r="N56" s="26">
        <v>0</v>
      </c>
      <c r="O56" s="26">
        <v>0</v>
      </c>
      <c r="P56" s="26">
        <v>0</v>
      </c>
      <c r="Q56" s="27">
        <v>0</v>
      </c>
      <c r="R56" s="26">
        <v>0</v>
      </c>
      <c r="S56" s="26">
        <v>0</v>
      </c>
      <c r="T56" s="26">
        <v>0</v>
      </c>
      <c r="U56" s="26">
        <v>0</v>
      </c>
      <c r="V56" s="26">
        <v>0</v>
      </c>
      <c r="W56" s="26">
        <v>0</v>
      </c>
      <c r="X56" s="26">
        <v>0</v>
      </c>
      <c r="Y56" s="26">
        <v>0</v>
      </c>
      <c r="Z56" s="26">
        <v>0</v>
      </c>
      <c r="AA56" s="26">
        <v>0</v>
      </c>
      <c r="AB56" s="26">
        <v>0</v>
      </c>
      <c r="AC56" s="26">
        <v>0</v>
      </c>
      <c r="AD56" s="26">
        <v>280</v>
      </c>
      <c r="AE56" s="26">
        <v>560</v>
      </c>
      <c r="AF56" s="26">
        <v>109.76</v>
      </c>
      <c r="AG56" s="26">
        <v>30</v>
      </c>
      <c r="AH56" s="26">
        <v>30</v>
      </c>
      <c r="AI56" s="26">
        <v>224</v>
      </c>
      <c r="AJ56" s="26">
        <v>170</v>
      </c>
      <c r="AK56" s="26">
        <v>0</v>
      </c>
      <c r="AL56" s="26">
        <v>0</v>
      </c>
      <c r="AM56" s="26">
        <v>0</v>
      </c>
      <c r="AN56" s="26">
        <v>198</v>
      </c>
      <c r="AO56" s="23">
        <f t="shared" si="0"/>
        <v>1601.76</v>
      </c>
      <c r="AP56" s="4">
        <v>1601.76</v>
      </c>
      <c r="AQ56" s="24">
        <v>1601.76</v>
      </c>
      <c r="AR56" s="25">
        <f t="shared" si="1"/>
        <v>0</v>
      </c>
      <c r="AS56" s="25">
        <f t="shared" si="2"/>
        <v>0</v>
      </c>
      <c r="AT56" s="4"/>
    </row>
    <row r="57" spans="1:46" ht="14.25" customHeight="1">
      <c r="A57" s="18">
        <v>53</v>
      </c>
      <c r="B57" s="33" t="s">
        <v>111</v>
      </c>
      <c r="C57" s="33" t="s">
        <v>105</v>
      </c>
      <c r="D57" s="20" t="s">
        <v>106</v>
      </c>
      <c r="E57" s="20">
        <v>1600</v>
      </c>
      <c r="F57" s="21">
        <v>1392.8571428571429</v>
      </c>
      <c r="G57" s="21">
        <v>0</v>
      </c>
      <c r="H57" s="26">
        <v>0</v>
      </c>
      <c r="I57" s="26">
        <v>3836.8452380952372</v>
      </c>
      <c r="J57" s="26">
        <v>0</v>
      </c>
      <c r="K57" s="26">
        <v>100</v>
      </c>
      <c r="L57" s="26">
        <v>0</v>
      </c>
      <c r="M57" s="26">
        <v>0</v>
      </c>
      <c r="N57" s="26">
        <v>0</v>
      </c>
      <c r="O57" s="26">
        <v>0</v>
      </c>
      <c r="P57" s="26">
        <v>0</v>
      </c>
      <c r="Q57" s="27">
        <v>275.49999999999994</v>
      </c>
      <c r="R57" s="26">
        <v>1250</v>
      </c>
      <c r="S57" s="26">
        <v>20</v>
      </c>
      <c r="T57" s="26">
        <v>0</v>
      </c>
      <c r="U57" s="26">
        <v>0</v>
      </c>
      <c r="V57" s="26">
        <v>0</v>
      </c>
      <c r="W57" s="26">
        <v>0</v>
      </c>
      <c r="X57" s="26">
        <v>0</v>
      </c>
      <c r="Y57" s="26">
        <v>0</v>
      </c>
      <c r="Z57" s="26">
        <v>0</v>
      </c>
      <c r="AA57" s="26">
        <v>0</v>
      </c>
      <c r="AB57" s="26">
        <v>0</v>
      </c>
      <c r="AC57" s="26">
        <v>0</v>
      </c>
      <c r="AD57" s="26">
        <v>196</v>
      </c>
      <c r="AE57" s="26">
        <v>392</v>
      </c>
      <c r="AF57" s="26">
        <v>228</v>
      </c>
      <c r="AG57" s="26">
        <v>390</v>
      </c>
      <c r="AH57" s="26">
        <v>460</v>
      </c>
      <c r="AI57" s="26">
        <v>256</v>
      </c>
      <c r="AJ57" s="26">
        <v>90</v>
      </c>
      <c r="AK57" s="26">
        <v>0</v>
      </c>
      <c r="AL57" s="26">
        <v>0</v>
      </c>
      <c r="AM57" s="26">
        <v>0</v>
      </c>
      <c r="AN57" s="26">
        <v>100</v>
      </c>
      <c r="AO57" s="23">
        <f t="shared" si="0"/>
        <v>8987.2023809523798</v>
      </c>
      <c r="AP57" s="24">
        <v>8987.2023809523798</v>
      </c>
      <c r="AQ57" s="24">
        <v>8987.2000000000007</v>
      </c>
      <c r="AR57" s="25">
        <f t="shared" si="1"/>
        <v>0</v>
      </c>
      <c r="AS57" s="25">
        <f t="shared" si="2"/>
        <v>2.3809523790987441E-3</v>
      </c>
      <c r="AT57" s="4"/>
    </row>
    <row r="58" spans="1:46" ht="14.25" customHeight="1">
      <c r="A58" s="18">
        <v>54</v>
      </c>
      <c r="B58" s="33" t="s">
        <v>112</v>
      </c>
      <c r="C58" s="33" t="s">
        <v>105</v>
      </c>
      <c r="D58" s="20" t="s">
        <v>106</v>
      </c>
      <c r="E58" s="20">
        <v>1600</v>
      </c>
      <c r="F58" s="21">
        <v>100</v>
      </c>
      <c r="G58" s="21">
        <v>0</v>
      </c>
      <c r="H58" s="26">
        <v>0</v>
      </c>
      <c r="I58" s="26">
        <v>187.5</v>
      </c>
      <c r="J58" s="26">
        <v>0</v>
      </c>
      <c r="K58" s="26">
        <v>100</v>
      </c>
      <c r="L58" s="26">
        <v>0</v>
      </c>
      <c r="M58" s="26">
        <v>0</v>
      </c>
      <c r="N58" s="26">
        <v>0</v>
      </c>
      <c r="O58" s="26">
        <v>0</v>
      </c>
      <c r="P58" s="26">
        <v>0</v>
      </c>
      <c r="Q58" s="27">
        <v>18.666666666666668</v>
      </c>
      <c r="R58" s="26">
        <v>50</v>
      </c>
      <c r="S58" s="26">
        <v>215</v>
      </c>
      <c r="T58" s="26">
        <v>0</v>
      </c>
      <c r="U58" s="26">
        <v>0</v>
      </c>
      <c r="V58" s="26">
        <v>0</v>
      </c>
      <c r="W58" s="26">
        <v>0</v>
      </c>
      <c r="X58" s="26">
        <v>0</v>
      </c>
      <c r="Y58" s="26">
        <v>150</v>
      </c>
      <c r="Z58" s="26">
        <v>0</v>
      </c>
      <c r="AA58" s="26">
        <v>0</v>
      </c>
      <c r="AB58" s="26">
        <v>0</v>
      </c>
      <c r="AC58" s="26">
        <v>0</v>
      </c>
      <c r="AD58" s="26">
        <v>203</v>
      </c>
      <c r="AE58" s="26">
        <v>406</v>
      </c>
      <c r="AF58" s="26">
        <v>104.64999999999999</v>
      </c>
      <c r="AG58" s="26">
        <v>80</v>
      </c>
      <c r="AH58" s="26">
        <v>500</v>
      </c>
      <c r="AI58" s="26">
        <v>56</v>
      </c>
      <c r="AJ58" s="26">
        <v>0</v>
      </c>
      <c r="AK58" s="26">
        <v>0</v>
      </c>
      <c r="AL58" s="26">
        <v>0</v>
      </c>
      <c r="AM58" s="26">
        <v>0</v>
      </c>
      <c r="AN58" s="26">
        <v>100</v>
      </c>
      <c r="AO58" s="23">
        <f t="shared" si="0"/>
        <v>2270.8166666666666</v>
      </c>
      <c r="AP58" s="24">
        <v>2270.8166666666698</v>
      </c>
      <c r="AQ58" s="24">
        <v>2270.8200000000002</v>
      </c>
      <c r="AR58" s="25">
        <f t="shared" si="1"/>
        <v>0</v>
      </c>
      <c r="AS58" s="25">
        <f t="shared" si="2"/>
        <v>-3.3333333335576754E-3</v>
      </c>
      <c r="AT58" s="4"/>
    </row>
    <row r="59" spans="1:46" ht="14.25" customHeight="1">
      <c r="A59" s="18">
        <v>55</v>
      </c>
      <c r="B59" s="33" t="s">
        <v>113</v>
      </c>
      <c r="C59" s="33" t="s">
        <v>105</v>
      </c>
      <c r="D59" s="20" t="s">
        <v>106</v>
      </c>
      <c r="E59" s="20">
        <v>1600</v>
      </c>
      <c r="F59" s="21">
        <v>626.19047619047626</v>
      </c>
      <c r="G59" s="21">
        <v>0</v>
      </c>
      <c r="H59" s="26">
        <v>0</v>
      </c>
      <c r="I59" s="26">
        <v>787.14285714285734</v>
      </c>
      <c r="J59" s="26">
        <v>0</v>
      </c>
      <c r="K59" s="26">
        <v>100</v>
      </c>
      <c r="L59" s="26">
        <v>0</v>
      </c>
      <c r="M59" s="26">
        <v>0</v>
      </c>
      <c r="N59" s="26">
        <v>95</v>
      </c>
      <c r="O59" s="26">
        <v>0</v>
      </c>
      <c r="P59" s="26">
        <v>0</v>
      </c>
      <c r="Q59" s="27">
        <v>118.88095238095238</v>
      </c>
      <c r="R59" s="26">
        <v>1350</v>
      </c>
      <c r="S59" s="26">
        <v>445</v>
      </c>
      <c r="T59" s="26">
        <v>0</v>
      </c>
      <c r="U59" s="26">
        <v>0</v>
      </c>
      <c r="V59" s="26">
        <v>0</v>
      </c>
      <c r="W59" s="26">
        <v>0</v>
      </c>
      <c r="X59" s="26">
        <v>0</v>
      </c>
      <c r="Y59" s="26">
        <v>450</v>
      </c>
      <c r="Z59" s="26">
        <v>0</v>
      </c>
      <c r="AA59" s="26">
        <v>0</v>
      </c>
      <c r="AB59" s="26">
        <v>100</v>
      </c>
      <c r="AC59" s="26">
        <v>0</v>
      </c>
      <c r="AD59" s="26">
        <v>196</v>
      </c>
      <c r="AE59" s="26">
        <v>392</v>
      </c>
      <c r="AF59" s="26">
        <v>245.58333333333334</v>
      </c>
      <c r="AG59" s="26">
        <v>320</v>
      </c>
      <c r="AH59" s="26">
        <v>1350</v>
      </c>
      <c r="AI59" s="26">
        <v>56</v>
      </c>
      <c r="AJ59" s="26">
        <v>120</v>
      </c>
      <c r="AK59" s="26">
        <v>0</v>
      </c>
      <c r="AL59" s="26">
        <v>0</v>
      </c>
      <c r="AM59" s="26">
        <v>0</v>
      </c>
      <c r="AN59" s="26">
        <v>290</v>
      </c>
      <c r="AO59" s="23">
        <f t="shared" si="0"/>
        <v>7041.7976190476193</v>
      </c>
      <c r="AP59" s="24">
        <v>7041.7976190476193</v>
      </c>
      <c r="AQ59" s="24">
        <v>7041.8</v>
      </c>
      <c r="AR59" s="25">
        <f t="shared" si="1"/>
        <v>0</v>
      </c>
      <c r="AS59" s="25">
        <f t="shared" si="2"/>
        <v>-2.3809523809177335E-3</v>
      </c>
      <c r="AT59" s="4"/>
    </row>
    <row r="60" spans="1:46" ht="14.25" customHeight="1">
      <c r="A60" s="18">
        <v>56</v>
      </c>
      <c r="B60" s="33" t="s">
        <v>114</v>
      </c>
      <c r="C60" s="33" t="s">
        <v>105</v>
      </c>
      <c r="D60" s="20" t="s">
        <v>115</v>
      </c>
      <c r="E60" s="20">
        <v>1600</v>
      </c>
      <c r="F60" s="21">
        <v>0</v>
      </c>
      <c r="G60" s="21">
        <v>0</v>
      </c>
      <c r="H60" s="26">
        <v>0</v>
      </c>
      <c r="I60" s="26">
        <v>154.16666666666669</v>
      </c>
      <c r="J60" s="26">
        <v>0</v>
      </c>
      <c r="K60" s="26">
        <v>0</v>
      </c>
      <c r="L60" s="26">
        <v>0</v>
      </c>
      <c r="M60" s="26">
        <v>0</v>
      </c>
      <c r="N60" s="26">
        <v>0</v>
      </c>
      <c r="O60" s="26">
        <v>0</v>
      </c>
      <c r="P60" s="26">
        <v>0</v>
      </c>
      <c r="Q60" s="27">
        <v>11</v>
      </c>
      <c r="R60" s="26">
        <v>0</v>
      </c>
      <c r="S60" s="26">
        <v>20</v>
      </c>
      <c r="T60" s="26">
        <v>0</v>
      </c>
      <c r="U60" s="26">
        <v>0</v>
      </c>
      <c r="V60" s="26">
        <v>0</v>
      </c>
      <c r="W60" s="26">
        <v>0</v>
      </c>
      <c r="X60" s="26">
        <v>0</v>
      </c>
      <c r="Y60" s="26">
        <v>0</v>
      </c>
      <c r="Z60" s="26">
        <v>0</v>
      </c>
      <c r="AA60" s="26">
        <v>0</v>
      </c>
      <c r="AB60" s="26">
        <v>0</v>
      </c>
      <c r="AC60" s="26">
        <v>0</v>
      </c>
      <c r="AD60" s="26">
        <v>280</v>
      </c>
      <c r="AE60" s="26">
        <v>560</v>
      </c>
      <c r="AF60" s="26">
        <v>127.56666666666666</v>
      </c>
      <c r="AG60" s="26">
        <v>30</v>
      </c>
      <c r="AH60" s="26">
        <v>260</v>
      </c>
      <c r="AI60" s="26">
        <v>636</v>
      </c>
      <c r="AJ60" s="26">
        <v>150</v>
      </c>
      <c r="AK60" s="26">
        <v>0</v>
      </c>
      <c r="AL60" s="26">
        <v>0</v>
      </c>
      <c r="AM60" s="26">
        <v>0</v>
      </c>
      <c r="AN60" s="26">
        <v>150</v>
      </c>
      <c r="AO60" s="23">
        <f t="shared" si="0"/>
        <v>2378.7333333333336</v>
      </c>
      <c r="AP60" s="24">
        <v>2378.7333333333336</v>
      </c>
      <c r="AQ60" s="24">
        <v>2378.73</v>
      </c>
      <c r="AR60" s="25">
        <f t="shared" si="1"/>
        <v>0</v>
      </c>
      <c r="AS60" s="25">
        <f>AO60-AQ60</f>
        <v>3.3333333335576754E-3</v>
      </c>
      <c r="AT60" s="4"/>
    </row>
    <row r="61" spans="1:46" ht="14.25" customHeight="1">
      <c r="A61" s="18">
        <v>57</v>
      </c>
      <c r="B61" s="33" t="s">
        <v>116</v>
      </c>
      <c r="C61" s="33" t="s">
        <v>105</v>
      </c>
      <c r="D61" s="20" t="s">
        <v>117</v>
      </c>
      <c r="E61" s="20">
        <v>1600</v>
      </c>
      <c r="F61" s="21">
        <v>500</v>
      </c>
      <c r="G61" s="21">
        <v>0</v>
      </c>
      <c r="H61" s="26">
        <v>0</v>
      </c>
      <c r="I61" s="26">
        <v>66.071428571428584</v>
      </c>
      <c r="J61" s="26">
        <v>0</v>
      </c>
      <c r="K61" s="26">
        <v>100</v>
      </c>
      <c r="L61" s="26">
        <v>0</v>
      </c>
      <c r="M61" s="26">
        <v>0</v>
      </c>
      <c r="N61" s="26">
        <v>190</v>
      </c>
      <c r="O61" s="26">
        <v>0</v>
      </c>
      <c r="P61" s="26">
        <v>0</v>
      </c>
      <c r="Q61" s="27">
        <v>47.142857142857146</v>
      </c>
      <c r="R61" s="26">
        <v>0</v>
      </c>
      <c r="S61" s="26">
        <v>20</v>
      </c>
      <c r="T61" s="26">
        <v>0</v>
      </c>
      <c r="U61" s="26">
        <v>0</v>
      </c>
      <c r="V61" s="26">
        <v>0</v>
      </c>
      <c r="W61" s="26">
        <v>0</v>
      </c>
      <c r="X61" s="26">
        <v>0</v>
      </c>
      <c r="Y61" s="26">
        <v>0</v>
      </c>
      <c r="Z61" s="26">
        <v>0</v>
      </c>
      <c r="AA61" s="26">
        <v>0</v>
      </c>
      <c r="AB61" s="26">
        <v>0</v>
      </c>
      <c r="AC61" s="26">
        <v>0</v>
      </c>
      <c r="AD61" s="26">
        <v>224</v>
      </c>
      <c r="AE61" s="26">
        <v>448</v>
      </c>
      <c r="AF61" s="26">
        <v>158.28</v>
      </c>
      <c r="AG61" s="26">
        <v>0</v>
      </c>
      <c r="AH61" s="26">
        <v>130</v>
      </c>
      <c r="AI61" s="26">
        <v>256</v>
      </c>
      <c r="AJ61" s="26">
        <v>60</v>
      </c>
      <c r="AK61" s="26">
        <v>0</v>
      </c>
      <c r="AL61" s="26">
        <v>0</v>
      </c>
      <c r="AM61" s="26">
        <v>0</v>
      </c>
      <c r="AN61" s="26">
        <v>0</v>
      </c>
      <c r="AO61" s="23">
        <f t="shared" si="0"/>
        <v>2199.494285714286</v>
      </c>
      <c r="AP61" s="24">
        <v>2199.494285714286</v>
      </c>
      <c r="AQ61" s="24">
        <v>2199.4899999999998</v>
      </c>
      <c r="AR61" s="25">
        <f t="shared" si="1"/>
        <v>0</v>
      </c>
      <c r="AS61" s="25">
        <f>AO61-AQ61</f>
        <v>4.2857142861976172E-3</v>
      </c>
      <c r="AT61" s="4"/>
    </row>
    <row r="62" spans="1:46" ht="14.25" customHeight="1">
      <c r="A62" s="18">
        <v>58</v>
      </c>
      <c r="B62" s="33" t="s">
        <v>118</v>
      </c>
      <c r="C62" s="33" t="s">
        <v>105</v>
      </c>
      <c r="D62" s="20" t="s">
        <v>117</v>
      </c>
      <c r="E62" s="20">
        <v>1600</v>
      </c>
      <c r="F62" s="21">
        <v>950</v>
      </c>
      <c r="G62" s="21">
        <v>0</v>
      </c>
      <c r="H62" s="26">
        <v>0</v>
      </c>
      <c r="I62" s="26">
        <v>357.63000000000005</v>
      </c>
      <c r="J62" s="26">
        <v>0</v>
      </c>
      <c r="K62" s="26">
        <v>0</v>
      </c>
      <c r="L62" s="26">
        <v>0</v>
      </c>
      <c r="M62" s="26">
        <v>0</v>
      </c>
      <c r="N62" s="26">
        <v>0</v>
      </c>
      <c r="O62" s="26">
        <v>0</v>
      </c>
      <c r="P62" s="26">
        <v>0</v>
      </c>
      <c r="Q62" s="27">
        <v>32.49</v>
      </c>
      <c r="R62" s="26">
        <v>225</v>
      </c>
      <c r="S62" s="26">
        <v>20</v>
      </c>
      <c r="T62" s="26">
        <v>0</v>
      </c>
      <c r="U62" s="26">
        <v>0</v>
      </c>
      <c r="V62" s="26">
        <v>0</v>
      </c>
      <c r="W62" s="26">
        <v>0</v>
      </c>
      <c r="X62" s="26">
        <v>0</v>
      </c>
      <c r="Y62" s="26">
        <v>0</v>
      </c>
      <c r="Z62" s="26">
        <v>0</v>
      </c>
      <c r="AA62" s="26">
        <v>0</v>
      </c>
      <c r="AB62" s="26">
        <v>0</v>
      </c>
      <c r="AC62" s="26">
        <v>0</v>
      </c>
      <c r="AD62" s="26">
        <v>280</v>
      </c>
      <c r="AE62" s="26">
        <v>560</v>
      </c>
      <c r="AF62" s="26">
        <v>92.789999999999978</v>
      </c>
      <c r="AG62" s="26">
        <v>130</v>
      </c>
      <c r="AH62" s="26">
        <v>120</v>
      </c>
      <c r="AI62" s="26">
        <v>346</v>
      </c>
      <c r="AJ62" s="26">
        <v>84</v>
      </c>
      <c r="AK62" s="26">
        <v>0</v>
      </c>
      <c r="AL62" s="26">
        <v>0</v>
      </c>
      <c r="AM62" s="26">
        <v>0</v>
      </c>
      <c r="AN62" s="26">
        <v>8</v>
      </c>
      <c r="AO62" s="23">
        <f t="shared" si="0"/>
        <v>3205.91</v>
      </c>
      <c r="AP62" s="24">
        <v>3205.91</v>
      </c>
      <c r="AQ62" s="24">
        <v>3205.91</v>
      </c>
      <c r="AR62" s="25">
        <f t="shared" si="1"/>
        <v>0</v>
      </c>
      <c r="AS62" s="25">
        <f t="shared" si="2"/>
        <v>0</v>
      </c>
      <c r="AT62" s="4"/>
    </row>
    <row r="63" spans="1:46" ht="14.25" customHeight="1">
      <c r="A63" s="18">
        <v>59</v>
      </c>
      <c r="B63" s="33" t="s">
        <v>119</v>
      </c>
      <c r="C63" s="33" t="s">
        <v>105</v>
      </c>
      <c r="D63" s="20" t="s">
        <v>117</v>
      </c>
      <c r="E63" s="20">
        <v>1600</v>
      </c>
      <c r="F63" s="21">
        <v>267.85714285714289</v>
      </c>
      <c r="G63" s="21">
        <v>0</v>
      </c>
      <c r="H63" s="26">
        <v>0</v>
      </c>
      <c r="I63" s="26">
        <v>177.38095238095238</v>
      </c>
      <c r="J63" s="26">
        <v>0</v>
      </c>
      <c r="K63" s="26">
        <v>100</v>
      </c>
      <c r="L63" s="26">
        <v>0</v>
      </c>
      <c r="M63" s="26">
        <v>0</v>
      </c>
      <c r="N63" s="26">
        <v>32.5</v>
      </c>
      <c r="O63" s="26">
        <v>0</v>
      </c>
      <c r="P63" s="26">
        <v>0</v>
      </c>
      <c r="Q63" s="27">
        <v>16.38095238095238</v>
      </c>
      <c r="R63" s="26">
        <v>700</v>
      </c>
      <c r="S63" s="26">
        <v>20</v>
      </c>
      <c r="T63" s="26">
        <v>0</v>
      </c>
      <c r="U63" s="26">
        <v>0</v>
      </c>
      <c r="V63" s="26">
        <v>0</v>
      </c>
      <c r="W63" s="26">
        <v>0</v>
      </c>
      <c r="X63" s="26">
        <v>0</v>
      </c>
      <c r="Y63" s="26">
        <v>700</v>
      </c>
      <c r="Z63" s="26">
        <v>0</v>
      </c>
      <c r="AA63" s="26">
        <v>0</v>
      </c>
      <c r="AB63" s="26">
        <v>0</v>
      </c>
      <c r="AC63" s="26">
        <v>0</v>
      </c>
      <c r="AD63" s="26">
        <v>224</v>
      </c>
      <c r="AE63" s="26">
        <v>448</v>
      </c>
      <c r="AF63" s="26">
        <v>207.33333333333334</v>
      </c>
      <c r="AG63" s="26">
        <v>530</v>
      </c>
      <c r="AH63" s="26">
        <v>470</v>
      </c>
      <c r="AI63" s="26">
        <v>764</v>
      </c>
      <c r="AJ63" s="26">
        <v>65</v>
      </c>
      <c r="AK63" s="26">
        <v>0</v>
      </c>
      <c r="AL63" s="26">
        <v>0</v>
      </c>
      <c r="AM63" s="26">
        <v>0</v>
      </c>
      <c r="AN63" s="26">
        <v>180</v>
      </c>
      <c r="AO63" s="23">
        <f t="shared" si="0"/>
        <v>4902.4523809523816</v>
      </c>
      <c r="AP63" s="24">
        <v>4902.4523809523816</v>
      </c>
      <c r="AQ63" s="24">
        <v>4902.45</v>
      </c>
      <c r="AR63" s="25">
        <f t="shared" si="1"/>
        <v>0</v>
      </c>
      <c r="AS63" s="25">
        <f t="shared" si="2"/>
        <v>2.3809523818272282E-3</v>
      </c>
      <c r="AT63" s="4"/>
    </row>
    <row r="64" spans="1:46" ht="14.25" customHeight="1">
      <c r="A64" s="18">
        <v>60</v>
      </c>
      <c r="B64" s="33" t="s">
        <v>120</v>
      </c>
      <c r="C64" s="33" t="s">
        <v>105</v>
      </c>
      <c r="D64" s="20" t="s">
        <v>117</v>
      </c>
      <c r="E64" s="20">
        <v>1600</v>
      </c>
      <c r="F64" s="21">
        <v>60</v>
      </c>
      <c r="G64" s="21">
        <v>0</v>
      </c>
      <c r="H64" s="26">
        <v>0</v>
      </c>
      <c r="I64" s="26">
        <v>0</v>
      </c>
      <c r="J64" s="26">
        <v>0</v>
      </c>
      <c r="K64" s="26">
        <v>0</v>
      </c>
      <c r="L64" s="26">
        <v>0</v>
      </c>
      <c r="M64" s="26">
        <v>0</v>
      </c>
      <c r="N64" s="26">
        <v>50</v>
      </c>
      <c r="O64" s="26">
        <v>0</v>
      </c>
      <c r="P64" s="26">
        <v>0</v>
      </c>
      <c r="Q64" s="27">
        <v>0</v>
      </c>
      <c r="R64" s="26">
        <v>0</v>
      </c>
      <c r="S64" s="26">
        <v>20</v>
      </c>
      <c r="T64" s="26">
        <v>0</v>
      </c>
      <c r="U64" s="26">
        <v>0</v>
      </c>
      <c r="V64" s="26">
        <v>0</v>
      </c>
      <c r="W64" s="26">
        <v>0</v>
      </c>
      <c r="X64" s="26">
        <v>0</v>
      </c>
      <c r="Y64" s="26">
        <v>0</v>
      </c>
      <c r="Z64" s="26">
        <v>0</v>
      </c>
      <c r="AA64" s="26">
        <v>0</v>
      </c>
      <c r="AB64" s="26">
        <v>0</v>
      </c>
      <c r="AC64" s="26">
        <v>0</v>
      </c>
      <c r="AD64" s="26">
        <v>392</v>
      </c>
      <c r="AE64" s="26">
        <v>784</v>
      </c>
      <c r="AF64" s="26">
        <v>150.10000000000002</v>
      </c>
      <c r="AG64" s="26">
        <v>260</v>
      </c>
      <c r="AH64" s="26">
        <v>120</v>
      </c>
      <c r="AI64" s="26">
        <v>714</v>
      </c>
      <c r="AJ64" s="26">
        <v>30</v>
      </c>
      <c r="AK64" s="26">
        <v>0</v>
      </c>
      <c r="AL64" s="26">
        <v>0</v>
      </c>
      <c r="AM64" s="26">
        <v>0</v>
      </c>
      <c r="AN64" s="26">
        <v>0</v>
      </c>
      <c r="AO64" s="23">
        <f t="shared" si="0"/>
        <v>2580.1</v>
      </c>
      <c r="AP64" s="24">
        <v>2580.1</v>
      </c>
      <c r="AQ64" s="24">
        <v>2580.1</v>
      </c>
      <c r="AR64" s="25">
        <f t="shared" si="1"/>
        <v>0</v>
      </c>
      <c r="AS64" s="25">
        <f>AO64-AQ64</f>
        <v>0</v>
      </c>
      <c r="AT64" s="4"/>
    </row>
    <row r="65" spans="1:46" ht="14.25" customHeight="1">
      <c r="A65" s="18">
        <v>61</v>
      </c>
      <c r="B65" s="33" t="s">
        <v>121</v>
      </c>
      <c r="C65" s="33" t="s">
        <v>105</v>
      </c>
      <c r="D65" s="20" t="s">
        <v>122</v>
      </c>
      <c r="E65" s="20">
        <v>1600</v>
      </c>
      <c r="F65" s="21">
        <v>267.85714285714289</v>
      </c>
      <c r="G65" s="21">
        <v>0</v>
      </c>
      <c r="H65" s="26">
        <v>0</v>
      </c>
      <c r="I65" s="26">
        <v>171.90476190476187</v>
      </c>
      <c r="J65" s="26">
        <v>0</v>
      </c>
      <c r="K65" s="26">
        <v>100</v>
      </c>
      <c r="L65" s="26">
        <v>0</v>
      </c>
      <c r="M65" s="26">
        <v>0</v>
      </c>
      <c r="N65" s="26">
        <v>20</v>
      </c>
      <c r="O65" s="26">
        <v>0</v>
      </c>
      <c r="P65" s="26">
        <v>0</v>
      </c>
      <c r="Q65" s="27">
        <v>29.603174603174601</v>
      </c>
      <c r="R65" s="26">
        <v>370</v>
      </c>
      <c r="S65" s="26">
        <v>20</v>
      </c>
      <c r="T65" s="26">
        <v>0</v>
      </c>
      <c r="U65" s="26">
        <v>0</v>
      </c>
      <c r="V65" s="26">
        <v>0</v>
      </c>
      <c r="W65" s="26">
        <v>0</v>
      </c>
      <c r="X65" s="26">
        <v>0</v>
      </c>
      <c r="Y65" s="26">
        <v>400</v>
      </c>
      <c r="Z65" s="26">
        <v>0</v>
      </c>
      <c r="AA65" s="26">
        <v>0</v>
      </c>
      <c r="AB65" s="26">
        <v>0</v>
      </c>
      <c r="AC65" s="26">
        <v>0</v>
      </c>
      <c r="AD65" s="26">
        <v>294</v>
      </c>
      <c r="AE65" s="26">
        <v>588</v>
      </c>
      <c r="AF65" s="26">
        <v>164.2</v>
      </c>
      <c r="AG65" s="26">
        <v>400</v>
      </c>
      <c r="AH65" s="26">
        <v>320</v>
      </c>
      <c r="AI65" s="26">
        <v>656</v>
      </c>
      <c r="AJ65" s="26">
        <v>140</v>
      </c>
      <c r="AK65" s="26">
        <v>0</v>
      </c>
      <c r="AL65" s="26">
        <v>0</v>
      </c>
      <c r="AM65" s="26">
        <v>0</v>
      </c>
      <c r="AN65" s="26">
        <v>180</v>
      </c>
      <c r="AO65" s="23">
        <f t="shared" si="0"/>
        <v>4121.5650793650793</v>
      </c>
      <c r="AP65" s="24">
        <v>4121.5650793650793</v>
      </c>
      <c r="AQ65" s="24">
        <v>4121.57</v>
      </c>
      <c r="AR65" s="25">
        <f t="shared" si="1"/>
        <v>0</v>
      </c>
      <c r="AS65" s="25">
        <f t="shared" si="2"/>
        <v>-4.920634920381417E-3</v>
      </c>
      <c r="AT65" s="4"/>
    </row>
    <row r="66" spans="1:46" ht="14.25" customHeight="1">
      <c r="A66" s="18">
        <v>62</v>
      </c>
      <c r="B66" s="33" t="s">
        <v>123</v>
      </c>
      <c r="C66" s="33" t="s">
        <v>105</v>
      </c>
      <c r="D66" s="20" t="s">
        <v>122</v>
      </c>
      <c r="E66" s="20">
        <v>1600</v>
      </c>
      <c r="F66" s="21">
        <v>0</v>
      </c>
      <c r="G66" s="21">
        <v>0</v>
      </c>
      <c r="H66" s="26">
        <v>0</v>
      </c>
      <c r="I66" s="26">
        <v>183.33333333333334</v>
      </c>
      <c r="J66" s="26">
        <v>0</v>
      </c>
      <c r="K66" s="26">
        <v>0</v>
      </c>
      <c r="L66" s="26">
        <v>0</v>
      </c>
      <c r="M66" s="26">
        <v>0</v>
      </c>
      <c r="N66" s="26">
        <v>100</v>
      </c>
      <c r="O66" s="26">
        <v>0</v>
      </c>
      <c r="P66" s="26">
        <v>0</v>
      </c>
      <c r="Q66" s="27">
        <v>50</v>
      </c>
      <c r="R66" s="26">
        <v>550</v>
      </c>
      <c r="S66" s="26">
        <v>75</v>
      </c>
      <c r="T66" s="26">
        <v>0</v>
      </c>
      <c r="U66" s="26">
        <v>0</v>
      </c>
      <c r="V66" s="26">
        <v>0</v>
      </c>
      <c r="W66" s="26">
        <v>0</v>
      </c>
      <c r="X66" s="26">
        <v>0</v>
      </c>
      <c r="Y66" s="26">
        <v>0</v>
      </c>
      <c r="Z66" s="26">
        <v>0</v>
      </c>
      <c r="AA66" s="26">
        <v>0</v>
      </c>
      <c r="AB66" s="26">
        <v>0</v>
      </c>
      <c r="AC66" s="26">
        <v>0</v>
      </c>
      <c r="AD66" s="26">
        <v>392</v>
      </c>
      <c r="AE66" s="26">
        <v>784</v>
      </c>
      <c r="AF66" s="26">
        <v>106.99999999999999</v>
      </c>
      <c r="AG66" s="26">
        <v>100</v>
      </c>
      <c r="AH66" s="26">
        <v>0</v>
      </c>
      <c r="AI66" s="26">
        <v>256</v>
      </c>
      <c r="AJ66" s="26">
        <v>0</v>
      </c>
      <c r="AK66" s="26">
        <v>0</v>
      </c>
      <c r="AL66" s="26">
        <v>0</v>
      </c>
      <c r="AM66" s="26">
        <v>0</v>
      </c>
      <c r="AN66" s="26">
        <v>18</v>
      </c>
      <c r="AO66" s="23">
        <f t="shared" si="0"/>
        <v>2615.3333333333335</v>
      </c>
      <c r="AP66" s="24">
        <v>2615.3333333333335</v>
      </c>
      <c r="AQ66" s="24">
        <v>2615.33</v>
      </c>
      <c r="AR66" s="25">
        <f t="shared" si="1"/>
        <v>0</v>
      </c>
      <c r="AS66" s="25">
        <f>AO66-AQ66</f>
        <v>3.3333333335576754E-3</v>
      </c>
      <c r="AT66" s="4"/>
    </row>
    <row r="67" spans="1:46" ht="14.25" customHeight="1">
      <c r="A67" s="18">
        <v>63</v>
      </c>
      <c r="B67" s="33" t="s">
        <v>124</v>
      </c>
      <c r="C67" s="33" t="s">
        <v>105</v>
      </c>
      <c r="D67" s="20" t="s">
        <v>122</v>
      </c>
      <c r="E67" s="20">
        <v>1600</v>
      </c>
      <c r="F67" s="21">
        <v>0</v>
      </c>
      <c r="G67" s="21">
        <v>0</v>
      </c>
      <c r="H67" s="26">
        <v>0</v>
      </c>
      <c r="I67" s="26">
        <v>33.333333333333336</v>
      </c>
      <c r="J67" s="26">
        <v>0</v>
      </c>
      <c r="K67" s="26">
        <v>0</v>
      </c>
      <c r="L67" s="26">
        <v>0</v>
      </c>
      <c r="M67" s="26">
        <v>0</v>
      </c>
      <c r="N67" s="26">
        <v>0</v>
      </c>
      <c r="O67" s="26">
        <v>0</v>
      </c>
      <c r="P67" s="26">
        <v>0</v>
      </c>
      <c r="Q67" s="27">
        <v>10</v>
      </c>
      <c r="R67" s="26">
        <v>0</v>
      </c>
      <c r="S67" s="26">
        <v>0</v>
      </c>
      <c r="T67" s="26">
        <v>0</v>
      </c>
      <c r="U67" s="26">
        <v>0</v>
      </c>
      <c r="V67" s="26">
        <v>0</v>
      </c>
      <c r="W67" s="26">
        <v>0</v>
      </c>
      <c r="X67" s="26">
        <v>0</v>
      </c>
      <c r="Y67" s="26">
        <v>0</v>
      </c>
      <c r="Z67" s="26">
        <v>0</v>
      </c>
      <c r="AA67" s="26">
        <v>0</v>
      </c>
      <c r="AB67" s="26">
        <v>0</v>
      </c>
      <c r="AC67" s="26">
        <v>0</v>
      </c>
      <c r="AD67" s="26">
        <v>448</v>
      </c>
      <c r="AE67" s="26">
        <v>896</v>
      </c>
      <c r="AF67" s="26">
        <v>273.08333333333314</v>
      </c>
      <c r="AG67" s="26">
        <v>20</v>
      </c>
      <c r="AH67" s="26">
        <v>30</v>
      </c>
      <c r="AI67" s="26">
        <v>346</v>
      </c>
      <c r="AJ67" s="26">
        <v>100</v>
      </c>
      <c r="AK67" s="26">
        <v>0</v>
      </c>
      <c r="AL67" s="26">
        <v>0</v>
      </c>
      <c r="AM67" s="26">
        <v>0</v>
      </c>
      <c r="AN67" s="26">
        <v>80</v>
      </c>
      <c r="AO67" s="23">
        <f t="shared" si="0"/>
        <v>2236.4166666666665</v>
      </c>
      <c r="AP67" s="24">
        <v>2236.4166666666665</v>
      </c>
      <c r="AQ67" s="24">
        <v>2236.42</v>
      </c>
      <c r="AR67" s="25">
        <f t="shared" si="1"/>
        <v>0</v>
      </c>
      <c r="AS67" s="25">
        <f>AO67-AQ67</f>
        <v>-3.3333333335576754E-3</v>
      </c>
      <c r="AT67" s="4"/>
    </row>
    <row r="68" spans="1:46" ht="14.25" customHeight="1">
      <c r="A68" s="18">
        <v>64</v>
      </c>
      <c r="B68" s="33" t="s">
        <v>125</v>
      </c>
      <c r="C68" s="33" t="s">
        <v>105</v>
      </c>
      <c r="D68" s="20" t="s">
        <v>122</v>
      </c>
      <c r="E68" s="20">
        <v>1600</v>
      </c>
      <c r="F68" s="21">
        <v>0</v>
      </c>
      <c r="G68" s="21">
        <v>0</v>
      </c>
      <c r="H68" s="26">
        <v>0</v>
      </c>
      <c r="I68" s="26">
        <v>25</v>
      </c>
      <c r="J68" s="26">
        <v>0</v>
      </c>
      <c r="K68" s="26">
        <v>0</v>
      </c>
      <c r="L68" s="26">
        <v>0</v>
      </c>
      <c r="M68" s="26">
        <v>0</v>
      </c>
      <c r="N68" s="26">
        <v>0</v>
      </c>
      <c r="O68" s="26">
        <v>0</v>
      </c>
      <c r="P68" s="26">
        <v>0</v>
      </c>
      <c r="Q68" s="27">
        <v>15</v>
      </c>
      <c r="R68" s="26">
        <v>0</v>
      </c>
      <c r="S68" s="26">
        <v>20</v>
      </c>
      <c r="T68" s="26">
        <v>0</v>
      </c>
      <c r="U68" s="26">
        <v>0</v>
      </c>
      <c r="V68" s="26">
        <v>0</v>
      </c>
      <c r="W68" s="26">
        <v>0</v>
      </c>
      <c r="X68" s="26">
        <v>0</v>
      </c>
      <c r="Y68" s="26">
        <v>0</v>
      </c>
      <c r="Z68" s="26">
        <v>0</v>
      </c>
      <c r="AA68" s="26">
        <v>0</v>
      </c>
      <c r="AB68" s="26">
        <v>0</v>
      </c>
      <c r="AC68" s="26">
        <v>0</v>
      </c>
      <c r="AD68" s="26">
        <v>420</v>
      </c>
      <c r="AE68" s="26">
        <v>840</v>
      </c>
      <c r="AF68" s="26">
        <v>121.39999999999996</v>
      </c>
      <c r="AG68" s="26">
        <v>30</v>
      </c>
      <c r="AH68" s="26">
        <v>30</v>
      </c>
      <c r="AI68" s="26">
        <v>346</v>
      </c>
      <c r="AJ68" s="26">
        <v>92</v>
      </c>
      <c r="AK68" s="26">
        <v>0</v>
      </c>
      <c r="AL68" s="26">
        <v>0</v>
      </c>
      <c r="AM68" s="26">
        <v>0</v>
      </c>
      <c r="AN68" s="26">
        <v>0</v>
      </c>
      <c r="AO68" s="23">
        <f t="shared" si="0"/>
        <v>1939.3999999999999</v>
      </c>
      <c r="AP68" s="24">
        <v>1939.3999999999999</v>
      </c>
      <c r="AQ68" s="24">
        <v>1939.4</v>
      </c>
      <c r="AR68" s="25">
        <f t="shared" si="1"/>
        <v>0</v>
      </c>
      <c r="AS68" s="25">
        <f t="shared" si="2"/>
        <v>0</v>
      </c>
      <c r="AT68" s="4"/>
    </row>
    <row r="69" spans="1:46" ht="14.25" customHeight="1">
      <c r="A69" s="18">
        <v>65</v>
      </c>
      <c r="B69" s="33" t="s">
        <v>126</v>
      </c>
      <c r="C69" s="33" t="s">
        <v>105</v>
      </c>
      <c r="D69" s="20" t="s">
        <v>122</v>
      </c>
      <c r="E69" s="20">
        <v>1600</v>
      </c>
      <c r="F69" s="21">
        <v>392.85714285714289</v>
      </c>
      <c r="G69" s="21">
        <v>0</v>
      </c>
      <c r="H69" s="26">
        <v>0</v>
      </c>
      <c r="I69" s="26">
        <v>125</v>
      </c>
      <c r="J69" s="26">
        <v>0</v>
      </c>
      <c r="K69" s="26">
        <v>100</v>
      </c>
      <c r="L69" s="26">
        <v>0</v>
      </c>
      <c r="M69" s="26">
        <v>0</v>
      </c>
      <c r="N69" s="26">
        <v>25</v>
      </c>
      <c r="O69" s="26">
        <v>0</v>
      </c>
      <c r="P69" s="26">
        <v>0</v>
      </c>
      <c r="Q69" s="27">
        <v>51.166666666666664</v>
      </c>
      <c r="R69" s="26">
        <v>700</v>
      </c>
      <c r="S69" s="26">
        <v>20</v>
      </c>
      <c r="T69" s="26">
        <v>0</v>
      </c>
      <c r="U69" s="26">
        <v>0</v>
      </c>
      <c r="V69" s="26">
        <v>0</v>
      </c>
      <c r="W69" s="26">
        <v>0</v>
      </c>
      <c r="X69" s="26">
        <v>0</v>
      </c>
      <c r="Y69" s="26">
        <v>200</v>
      </c>
      <c r="Z69" s="26">
        <v>0</v>
      </c>
      <c r="AA69" s="26">
        <v>0</v>
      </c>
      <c r="AB69" s="26">
        <v>0</v>
      </c>
      <c r="AC69" s="26">
        <v>0</v>
      </c>
      <c r="AD69" s="26">
        <v>280</v>
      </c>
      <c r="AE69" s="26">
        <v>560</v>
      </c>
      <c r="AF69" s="26">
        <v>187.05</v>
      </c>
      <c r="AG69" s="26">
        <v>320</v>
      </c>
      <c r="AH69" s="26">
        <v>200</v>
      </c>
      <c r="AI69" s="26">
        <v>636</v>
      </c>
      <c r="AJ69" s="26">
        <v>110</v>
      </c>
      <c r="AK69" s="26">
        <v>0</v>
      </c>
      <c r="AL69" s="26">
        <v>0</v>
      </c>
      <c r="AM69" s="26">
        <v>0</v>
      </c>
      <c r="AN69" s="26">
        <v>124</v>
      </c>
      <c r="AO69" s="23">
        <f t="shared" si="0"/>
        <v>4031.0738095238098</v>
      </c>
      <c r="AP69" s="24">
        <v>4031.0738095238098</v>
      </c>
      <c r="AQ69" s="24">
        <v>4031.07</v>
      </c>
      <c r="AR69" s="25">
        <f t="shared" si="1"/>
        <v>0</v>
      </c>
      <c r="AS69" s="25">
        <f t="shared" si="2"/>
        <v>3.8095238096502726E-3</v>
      </c>
      <c r="AT69" s="4"/>
    </row>
    <row r="70" spans="1:46" ht="14.25" customHeight="1">
      <c r="A70" s="18">
        <v>66</v>
      </c>
      <c r="B70" s="33" t="s">
        <v>127</v>
      </c>
      <c r="C70" s="33" t="s">
        <v>105</v>
      </c>
      <c r="D70" s="20" t="s">
        <v>122</v>
      </c>
      <c r="E70" s="20">
        <v>1600</v>
      </c>
      <c r="F70" s="21">
        <v>0</v>
      </c>
      <c r="G70" s="21">
        <v>0</v>
      </c>
      <c r="H70" s="26">
        <v>0</v>
      </c>
      <c r="I70" s="26">
        <v>541.54000000000008</v>
      </c>
      <c r="J70" s="26">
        <v>0</v>
      </c>
      <c r="K70" s="26">
        <v>0</v>
      </c>
      <c r="L70" s="26">
        <v>0</v>
      </c>
      <c r="M70" s="26">
        <v>0</v>
      </c>
      <c r="N70" s="26">
        <v>200</v>
      </c>
      <c r="O70" s="26">
        <v>0</v>
      </c>
      <c r="P70" s="26">
        <v>200</v>
      </c>
      <c r="Q70" s="27">
        <v>8.33</v>
      </c>
      <c r="R70" s="26">
        <v>0</v>
      </c>
      <c r="S70" s="26">
        <v>0</v>
      </c>
      <c r="T70" s="26">
        <v>0</v>
      </c>
      <c r="U70" s="26">
        <v>0</v>
      </c>
      <c r="V70" s="26">
        <v>0</v>
      </c>
      <c r="W70" s="26">
        <v>0</v>
      </c>
      <c r="X70" s="26">
        <v>0</v>
      </c>
      <c r="Y70" s="26">
        <v>0</v>
      </c>
      <c r="Z70" s="26">
        <v>0</v>
      </c>
      <c r="AA70" s="26">
        <v>0</v>
      </c>
      <c r="AB70" s="26">
        <v>0</v>
      </c>
      <c r="AC70" s="26">
        <v>0</v>
      </c>
      <c r="AD70" s="26">
        <v>336</v>
      </c>
      <c r="AE70" s="26">
        <v>672</v>
      </c>
      <c r="AF70" s="26">
        <v>154.07499999999996</v>
      </c>
      <c r="AG70" s="26">
        <v>20</v>
      </c>
      <c r="AH70" s="26">
        <v>0</v>
      </c>
      <c r="AI70" s="26">
        <v>56</v>
      </c>
      <c r="AJ70" s="26">
        <v>100</v>
      </c>
      <c r="AK70" s="26">
        <v>0</v>
      </c>
      <c r="AL70" s="26">
        <v>0</v>
      </c>
      <c r="AM70" s="26">
        <v>0</v>
      </c>
      <c r="AN70" s="26">
        <v>124</v>
      </c>
      <c r="AO70" s="23">
        <f t="shared" si="0"/>
        <v>2411.9450000000002</v>
      </c>
      <c r="AP70" s="24">
        <v>2411.9450000000002</v>
      </c>
      <c r="AQ70" s="24">
        <v>2411.9499999999998</v>
      </c>
      <c r="AR70" s="25">
        <f t="shared" si="1"/>
        <v>0</v>
      </c>
      <c r="AS70" s="25">
        <f t="shared" si="2"/>
        <v>-4.999999999654392E-3</v>
      </c>
      <c r="AT70" s="4"/>
    </row>
    <row r="71" spans="1:46" ht="14.25" customHeight="1">
      <c r="A71" s="18">
        <v>67</v>
      </c>
      <c r="B71" s="33" t="s">
        <v>128</v>
      </c>
      <c r="C71" s="33" t="s">
        <v>105</v>
      </c>
      <c r="D71" s="20" t="s">
        <v>122</v>
      </c>
      <c r="E71" s="20">
        <v>1600</v>
      </c>
      <c r="F71" s="21">
        <v>0</v>
      </c>
      <c r="G71" s="21">
        <v>0</v>
      </c>
      <c r="H71" s="26">
        <v>0</v>
      </c>
      <c r="I71" s="26">
        <v>0</v>
      </c>
      <c r="J71" s="26">
        <v>0</v>
      </c>
      <c r="K71" s="26">
        <v>0</v>
      </c>
      <c r="L71" s="26">
        <v>0</v>
      </c>
      <c r="M71" s="26">
        <v>0</v>
      </c>
      <c r="N71" s="26">
        <v>0</v>
      </c>
      <c r="O71" s="26">
        <v>0</v>
      </c>
      <c r="P71" s="26">
        <v>0</v>
      </c>
      <c r="Q71" s="27">
        <v>0</v>
      </c>
      <c r="R71" s="26">
        <v>0</v>
      </c>
      <c r="S71" s="26">
        <v>0</v>
      </c>
      <c r="T71" s="26">
        <v>0</v>
      </c>
      <c r="U71" s="26">
        <v>0</v>
      </c>
      <c r="V71" s="26">
        <v>0</v>
      </c>
      <c r="W71" s="26">
        <v>0</v>
      </c>
      <c r="X71" s="26">
        <v>0</v>
      </c>
      <c r="Y71" s="26">
        <v>0</v>
      </c>
      <c r="Z71" s="26">
        <v>0</v>
      </c>
      <c r="AA71" s="26">
        <v>0</v>
      </c>
      <c r="AB71" s="26">
        <v>0</v>
      </c>
      <c r="AC71" s="26">
        <v>0</v>
      </c>
      <c r="AD71" s="26">
        <v>448</v>
      </c>
      <c r="AE71" s="26">
        <v>896</v>
      </c>
      <c r="AF71" s="26">
        <v>94.58</v>
      </c>
      <c r="AG71" s="26">
        <v>0</v>
      </c>
      <c r="AH71" s="26">
        <v>30</v>
      </c>
      <c r="AI71" s="26">
        <v>56</v>
      </c>
      <c r="AJ71" s="26">
        <v>0</v>
      </c>
      <c r="AK71" s="26">
        <v>0</v>
      </c>
      <c r="AL71" s="26">
        <v>0</v>
      </c>
      <c r="AM71" s="26">
        <v>0</v>
      </c>
      <c r="AN71" s="26">
        <v>150</v>
      </c>
      <c r="AO71" s="23">
        <f t="shared" si="0"/>
        <v>1674.58</v>
      </c>
      <c r="AP71" s="24">
        <v>1674.58</v>
      </c>
      <c r="AQ71" s="24">
        <v>1674.58</v>
      </c>
      <c r="AR71" s="25">
        <f t="shared" si="1"/>
        <v>0</v>
      </c>
      <c r="AS71" s="25">
        <f t="shared" si="2"/>
        <v>0</v>
      </c>
      <c r="AT71" s="4"/>
    </row>
    <row r="72" spans="1:46" ht="14.25" customHeight="1">
      <c r="A72" s="18">
        <v>68</v>
      </c>
      <c r="B72" s="33" t="s">
        <v>129</v>
      </c>
      <c r="C72" s="33" t="s">
        <v>105</v>
      </c>
      <c r="D72" s="20" t="s">
        <v>122</v>
      </c>
      <c r="E72" s="20">
        <v>1600</v>
      </c>
      <c r="F72" s="21">
        <v>0</v>
      </c>
      <c r="G72" s="21">
        <v>0</v>
      </c>
      <c r="H72" s="26">
        <v>0</v>
      </c>
      <c r="I72" s="26">
        <v>0</v>
      </c>
      <c r="J72" s="26">
        <v>0</v>
      </c>
      <c r="K72" s="26">
        <v>0</v>
      </c>
      <c r="L72" s="26">
        <v>0</v>
      </c>
      <c r="M72" s="26">
        <v>0</v>
      </c>
      <c r="N72" s="26">
        <v>0</v>
      </c>
      <c r="O72" s="26">
        <v>0</v>
      </c>
      <c r="P72" s="26">
        <v>0</v>
      </c>
      <c r="Q72" s="27">
        <v>0</v>
      </c>
      <c r="R72" s="26">
        <v>0</v>
      </c>
      <c r="S72" s="26">
        <v>0</v>
      </c>
      <c r="T72" s="26">
        <v>0</v>
      </c>
      <c r="U72" s="26">
        <v>0</v>
      </c>
      <c r="V72" s="26">
        <v>0</v>
      </c>
      <c r="W72" s="26">
        <v>0</v>
      </c>
      <c r="X72" s="26">
        <v>0</v>
      </c>
      <c r="Y72" s="26">
        <v>100</v>
      </c>
      <c r="Z72" s="26">
        <v>0</v>
      </c>
      <c r="AA72" s="26">
        <v>0</v>
      </c>
      <c r="AB72" s="26">
        <v>0</v>
      </c>
      <c r="AC72" s="26">
        <v>0</v>
      </c>
      <c r="AD72" s="26">
        <v>448</v>
      </c>
      <c r="AE72" s="26">
        <v>896</v>
      </c>
      <c r="AF72" s="26">
        <v>112.14000000000001</v>
      </c>
      <c r="AG72" s="26">
        <v>170</v>
      </c>
      <c r="AH72" s="26">
        <v>330</v>
      </c>
      <c r="AI72" s="26">
        <v>346</v>
      </c>
      <c r="AJ72" s="26">
        <v>16</v>
      </c>
      <c r="AK72" s="26">
        <v>0</v>
      </c>
      <c r="AL72" s="26">
        <v>0</v>
      </c>
      <c r="AM72" s="26">
        <v>0</v>
      </c>
      <c r="AN72" s="26">
        <v>196</v>
      </c>
      <c r="AO72" s="23">
        <f t="shared" si="0"/>
        <v>2614.1400000000003</v>
      </c>
      <c r="AP72" s="24">
        <v>2614.1400000000003</v>
      </c>
      <c r="AQ72" s="24">
        <v>2614.14</v>
      </c>
      <c r="AR72" s="25">
        <f t="shared" si="1"/>
        <v>0</v>
      </c>
      <c r="AS72" s="25">
        <f t="shared" si="2"/>
        <v>0</v>
      </c>
      <c r="AT72" s="4"/>
    </row>
    <row r="73" spans="1:46" ht="14.25" customHeight="1">
      <c r="A73" s="18">
        <v>69</v>
      </c>
      <c r="B73" s="33" t="s">
        <v>130</v>
      </c>
      <c r="C73" s="33" t="s">
        <v>105</v>
      </c>
      <c r="D73" s="20" t="s">
        <v>122</v>
      </c>
      <c r="E73" s="20">
        <v>1600</v>
      </c>
      <c r="F73" s="21">
        <v>0</v>
      </c>
      <c r="G73" s="21">
        <v>0</v>
      </c>
      <c r="H73" s="26">
        <v>0</v>
      </c>
      <c r="I73" s="26">
        <v>0</v>
      </c>
      <c r="J73" s="26">
        <v>0</v>
      </c>
      <c r="K73" s="26">
        <v>0</v>
      </c>
      <c r="L73" s="26">
        <v>0</v>
      </c>
      <c r="M73" s="26">
        <v>0</v>
      </c>
      <c r="N73" s="26">
        <v>25</v>
      </c>
      <c r="O73" s="26">
        <v>56.67</v>
      </c>
      <c r="P73" s="26">
        <v>0</v>
      </c>
      <c r="Q73" s="27">
        <v>0</v>
      </c>
      <c r="R73" s="26">
        <v>0</v>
      </c>
      <c r="S73" s="26">
        <v>0</v>
      </c>
      <c r="T73" s="26">
        <v>0</v>
      </c>
      <c r="U73" s="26">
        <v>0</v>
      </c>
      <c r="V73" s="26">
        <v>0</v>
      </c>
      <c r="W73" s="26">
        <v>0</v>
      </c>
      <c r="X73" s="26">
        <v>0</v>
      </c>
      <c r="Y73" s="26">
        <v>100</v>
      </c>
      <c r="Z73" s="26">
        <v>0</v>
      </c>
      <c r="AA73" s="26">
        <v>0</v>
      </c>
      <c r="AB73" s="26">
        <v>0</v>
      </c>
      <c r="AC73" s="26">
        <v>0</v>
      </c>
      <c r="AD73" s="26">
        <v>364</v>
      </c>
      <c r="AE73" s="26">
        <v>728</v>
      </c>
      <c r="AF73" s="26">
        <v>127.83</v>
      </c>
      <c r="AG73" s="26">
        <v>0</v>
      </c>
      <c r="AH73" s="26">
        <v>60</v>
      </c>
      <c r="AI73" s="26">
        <v>256</v>
      </c>
      <c r="AJ73" s="26">
        <v>40</v>
      </c>
      <c r="AK73" s="26">
        <v>0</v>
      </c>
      <c r="AL73" s="26">
        <v>0</v>
      </c>
      <c r="AM73" s="26">
        <v>0</v>
      </c>
      <c r="AN73" s="26">
        <v>108</v>
      </c>
      <c r="AO73" s="23">
        <f t="shared" si="0"/>
        <v>1865.5</v>
      </c>
      <c r="AP73" s="24">
        <v>1865.5</v>
      </c>
      <c r="AQ73" s="24">
        <v>1865.5</v>
      </c>
      <c r="AR73" s="25">
        <f t="shared" si="1"/>
        <v>0</v>
      </c>
      <c r="AS73" s="25">
        <f t="shared" si="2"/>
        <v>0</v>
      </c>
      <c r="AT73" s="4"/>
    </row>
    <row r="74" spans="1:46" ht="14.25" customHeight="1">
      <c r="A74" s="18">
        <v>70</v>
      </c>
      <c r="B74" s="33" t="s">
        <v>131</v>
      </c>
      <c r="C74" s="33" t="s">
        <v>105</v>
      </c>
      <c r="D74" s="20" t="s">
        <v>122</v>
      </c>
      <c r="E74" s="20">
        <v>1600</v>
      </c>
      <c r="F74" s="21">
        <v>0</v>
      </c>
      <c r="G74" s="21">
        <v>0</v>
      </c>
      <c r="H74" s="26">
        <v>0</v>
      </c>
      <c r="I74" s="26">
        <v>0</v>
      </c>
      <c r="J74" s="26">
        <v>0</v>
      </c>
      <c r="K74" s="26">
        <v>0</v>
      </c>
      <c r="L74" s="26">
        <v>0</v>
      </c>
      <c r="M74" s="26">
        <v>0</v>
      </c>
      <c r="N74" s="26">
        <v>0</v>
      </c>
      <c r="O74" s="26">
        <v>0</v>
      </c>
      <c r="P74" s="26">
        <v>0</v>
      </c>
      <c r="Q74" s="27">
        <v>0</v>
      </c>
      <c r="R74" s="26">
        <v>0</v>
      </c>
      <c r="S74" s="26">
        <v>0</v>
      </c>
      <c r="T74" s="26">
        <v>0</v>
      </c>
      <c r="U74" s="26">
        <v>0</v>
      </c>
      <c r="V74" s="26">
        <v>0</v>
      </c>
      <c r="W74" s="26">
        <v>0</v>
      </c>
      <c r="X74" s="26">
        <v>0</v>
      </c>
      <c r="Y74" s="26">
        <v>0</v>
      </c>
      <c r="Z74" s="26">
        <v>0</v>
      </c>
      <c r="AA74" s="26">
        <v>0</v>
      </c>
      <c r="AB74" s="26">
        <v>0</v>
      </c>
      <c r="AC74" s="26">
        <v>0</v>
      </c>
      <c r="AD74" s="26">
        <v>280</v>
      </c>
      <c r="AE74" s="26">
        <v>560</v>
      </c>
      <c r="AF74" s="26">
        <v>69.325000000000003</v>
      </c>
      <c r="AG74" s="26">
        <v>0</v>
      </c>
      <c r="AH74" s="26">
        <v>30</v>
      </c>
      <c r="AI74" s="26">
        <v>0</v>
      </c>
      <c r="AJ74" s="26">
        <v>0</v>
      </c>
      <c r="AK74" s="26">
        <v>0</v>
      </c>
      <c r="AL74" s="26">
        <v>0</v>
      </c>
      <c r="AM74" s="26">
        <v>0</v>
      </c>
      <c r="AN74" s="26">
        <v>0</v>
      </c>
      <c r="AO74" s="23">
        <f t="shared" si="0"/>
        <v>939.32500000000005</v>
      </c>
      <c r="AP74" s="24">
        <v>939.32500000000005</v>
      </c>
      <c r="AQ74" s="24">
        <v>939.33</v>
      </c>
      <c r="AR74" s="25">
        <f t="shared" si="1"/>
        <v>0</v>
      </c>
      <c r="AS74" s="25">
        <f t="shared" si="2"/>
        <v>-4.9999999999954525E-3</v>
      </c>
      <c r="AT74" s="4"/>
    </row>
    <row r="75" spans="1:46" ht="14.25" customHeight="1">
      <c r="A75" s="18">
        <v>71</v>
      </c>
      <c r="B75" s="33" t="s">
        <v>132</v>
      </c>
      <c r="C75" s="33" t="s">
        <v>105</v>
      </c>
      <c r="D75" s="20" t="s">
        <v>122</v>
      </c>
      <c r="E75" s="20">
        <v>1600</v>
      </c>
      <c r="F75" s="21">
        <v>267.86</v>
      </c>
      <c r="G75" s="21">
        <v>0</v>
      </c>
      <c r="H75" s="26">
        <v>0</v>
      </c>
      <c r="I75" s="26">
        <v>128.93</v>
      </c>
      <c r="J75" s="26">
        <v>0</v>
      </c>
      <c r="K75" s="26">
        <v>100</v>
      </c>
      <c r="L75" s="26">
        <v>0</v>
      </c>
      <c r="M75" s="26">
        <v>0</v>
      </c>
      <c r="N75" s="26">
        <v>0</v>
      </c>
      <c r="O75" s="26">
        <v>0</v>
      </c>
      <c r="P75" s="26">
        <v>0</v>
      </c>
      <c r="Q75" s="27">
        <v>9.76</v>
      </c>
      <c r="R75" s="26">
        <v>300</v>
      </c>
      <c r="S75" s="26">
        <v>20</v>
      </c>
      <c r="T75" s="26">
        <v>0</v>
      </c>
      <c r="U75" s="26">
        <v>0</v>
      </c>
      <c r="V75" s="26">
        <v>0</v>
      </c>
      <c r="W75" s="26">
        <v>0</v>
      </c>
      <c r="X75" s="26">
        <v>0</v>
      </c>
      <c r="Y75" s="26">
        <v>0</v>
      </c>
      <c r="Z75" s="26">
        <v>0</v>
      </c>
      <c r="AA75" s="26">
        <v>0</v>
      </c>
      <c r="AB75" s="26">
        <v>0</v>
      </c>
      <c r="AC75" s="26">
        <v>0</v>
      </c>
      <c r="AD75" s="26">
        <v>336</v>
      </c>
      <c r="AE75" s="26">
        <v>672</v>
      </c>
      <c r="AF75" s="26">
        <v>114.16</v>
      </c>
      <c r="AG75" s="26">
        <v>80</v>
      </c>
      <c r="AH75" s="26">
        <v>30</v>
      </c>
      <c r="AI75" s="26">
        <v>256</v>
      </c>
      <c r="AJ75" s="26">
        <v>50</v>
      </c>
      <c r="AK75" s="26">
        <v>0</v>
      </c>
      <c r="AL75" s="26">
        <v>0</v>
      </c>
      <c r="AM75" s="26">
        <v>0</v>
      </c>
      <c r="AN75" s="26">
        <v>20</v>
      </c>
      <c r="AO75" s="23">
        <f t="shared" si="0"/>
        <v>2384.71</v>
      </c>
      <c r="AP75" s="24">
        <v>2384.71</v>
      </c>
      <c r="AQ75" s="24">
        <v>2384.71</v>
      </c>
      <c r="AR75" s="25">
        <f t="shared" si="1"/>
        <v>0</v>
      </c>
      <c r="AS75" s="25">
        <f t="shared" si="2"/>
        <v>0</v>
      </c>
      <c r="AT75" s="4"/>
    </row>
    <row r="76" spans="1:46" ht="14.25" customHeight="1">
      <c r="A76" s="18">
        <v>72</v>
      </c>
      <c r="B76" s="33" t="s">
        <v>133</v>
      </c>
      <c r="C76" s="33" t="s">
        <v>105</v>
      </c>
      <c r="D76" s="20" t="s">
        <v>122</v>
      </c>
      <c r="E76" s="20">
        <v>1600</v>
      </c>
      <c r="F76" s="21">
        <v>0</v>
      </c>
      <c r="G76" s="21">
        <v>0</v>
      </c>
      <c r="H76" s="26">
        <v>0</v>
      </c>
      <c r="I76" s="26">
        <v>175</v>
      </c>
      <c r="J76" s="26">
        <v>0</v>
      </c>
      <c r="K76" s="26">
        <v>0</v>
      </c>
      <c r="L76" s="26">
        <v>0</v>
      </c>
      <c r="M76" s="26">
        <v>0</v>
      </c>
      <c r="N76" s="26">
        <v>0</v>
      </c>
      <c r="O76" s="26">
        <v>0</v>
      </c>
      <c r="P76" s="26">
        <v>0</v>
      </c>
      <c r="Q76" s="27">
        <v>20</v>
      </c>
      <c r="R76" s="26">
        <v>0</v>
      </c>
      <c r="S76" s="26">
        <v>40</v>
      </c>
      <c r="T76" s="26">
        <v>0</v>
      </c>
      <c r="U76" s="26">
        <v>0</v>
      </c>
      <c r="V76" s="26">
        <v>0</v>
      </c>
      <c r="W76" s="26">
        <v>0</v>
      </c>
      <c r="X76" s="26">
        <v>0</v>
      </c>
      <c r="Y76" s="26">
        <v>0</v>
      </c>
      <c r="Z76" s="26">
        <v>0</v>
      </c>
      <c r="AA76" s="26">
        <v>0</v>
      </c>
      <c r="AB76" s="26">
        <v>0</v>
      </c>
      <c r="AC76" s="26">
        <v>20</v>
      </c>
      <c r="AD76" s="26">
        <v>392</v>
      </c>
      <c r="AE76" s="26">
        <v>784</v>
      </c>
      <c r="AF76" s="26">
        <v>122.05</v>
      </c>
      <c r="AG76" s="26">
        <v>46.66</v>
      </c>
      <c r="AH76" s="26">
        <v>230</v>
      </c>
      <c r="AI76" s="26">
        <v>346</v>
      </c>
      <c r="AJ76" s="26">
        <v>150</v>
      </c>
      <c r="AK76" s="26">
        <v>0</v>
      </c>
      <c r="AL76" s="26">
        <v>50</v>
      </c>
      <c r="AM76" s="26">
        <v>0</v>
      </c>
      <c r="AN76" s="26">
        <v>128</v>
      </c>
      <c r="AO76" s="23">
        <f t="shared" si="0"/>
        <v>2503.71</v>
      </c>
      <c r="AP76" s="24">
        <v>2503.71</v>
      </c>
      <c r="AQ76" s="24">
        <v>2503.71</v>
      </c>
      <c r="AR76" s="25">
        <f t="shared" si="1"/>
        <v>0</v>
      </c>
      <c r="AS76" s="25">
        <f t="shared" si="2"/>
        <v>0</v>
      </c>
      <c r="AT76" s="4"/>
    </row>
    <row r="77" spans="1:46" ht="14.25" customHeight="1">
      <c r="A77" s="18">
        <v>73</v>
      </c>
      <c r="B77" s="33" t="s">
        <v>134</v>
      </c>
      <c r="C77" s="33" t="s">
        <v>105</v>
      </c>
      <c r="D77" s="20" t="s">
        <v>122</v>
      </c>
      <c r="E77" s="20">
        <v>1600</v>
      </c>
      <c r="F77" s="21">
        <v>13150</v>
      </c>
      <c r="G77" s="21">
        <v>0</v>
      </c>
      <c r="H77" s="26">
        <v>800</v>
      </c>
      <c r="I77" s="26">
        <v>1437.98</v>
      </c>
      <c r="J77" s="26">
        <v>0</v>
      </c>
      <c r="K77" s="26">
        <v>0</v>
      </c>
      <c r="L77" s="26">
        <v>0</v>
      </c>
      <c r="M77" s="26">
        <v>0</v>
      </c>
      <c r="N77" s="26">
        <v>0</v>
      </c>
      <c r="O77" s="26">
        <v>0</v>
      </c>
      <c r="P77" s="26">
        <v>0</v>
      </c>
      <c r="Q77" s="27">
        <v>0</v>
      </c>
      <c r="R77" s="26">
        <v>1250</v>
      </c>
      <c r="S77" s="26">
        <v>50</v>
      </c>
      <c r="T77" s="26">
        <v>0</v>
      </c>
      <c r="U77" s="26">
        <v>0</v>
      </c>
      <c r="V77" s="26">
        <v>0</v>
      </c>
      <c r="W77" s="26">
        <v>0</v>
      </c>
      <c r="X77" s="26">
        <v>0</v>
      </c>
      <c r="Y77" s="26">
        <v>0</v>
      </c>
      <c r="Z77" s="26">
        <v>0</v>
      </c>
      <c r="AA77" s="26">
        <v>0</v>
      </c>
      <c r="AB77" s="26">
        <v>0</v>
      </c>
      <c r="AC77" s="26">
        <v>0</v>
      </c>
      <c r="AD77" s="26">
        <v>280</v>
      </c>
      <c r="AE77" s="26">
        <v>560</v>
      </c>
      <c r="AF77" s="26">
        <v>44.5</v>
      </c>
      <c r="AG77" s="26">
        <v>20</v>
      </c>
      <c r="AH77" s="26">
        <v>0</v>
      </c>
      <c r="AI77" s="26">
        <v>256</v>
      </c>
      <c r="AJ77" s="26">
        <v>8</v>
      </c>
      <c r="AK77" s="26">
        <v>0</v>
      </c>
      <c r="AL77" s="26">
        <v>0</v>
      </c>
      <c r="AM77" s="26">
        <v>0</v>
      </c>
      <c r="AN77" s="26">
        <v>0</v>
      </c>
      <c r="AO77" s="23">
        <f t="shared" si="0"/>
        <v>17856.48</v>
      </c>
      <c r="AP77" s="24">
        <v>17856.48</v>
      </c>
      <c r="AQ77" s="24">
        <v>17856.48</v>
      </c>
      <c r="AR77" s="25">
        <f t="shared" si="1"/>
        <v>0</v>
      </c>
      <c r="AS77" s="25">
        <f t="shared" si="2"/>
        <v>0</v>
      </c>
      <c r="AT77" s="4"/>
    </row>
    <row r="78" spans="1:46" ht="14.25" customHeight="1">
      <c r="A78" s="18">
        <v>74</v>
      </c>
      <c r="B78" s="33" t="s">
        <v>135</v>
      </c>
      <c r="C78" s="33" t="s">
        <v>105</v>
      </c>
      <c r="D78" s="20" t="s">
        <v>136</v>
      </c>
      <c r="E78" s="20">
        <v>1600</v>
      </c>
      <c r="F78" s="21">
        <v>392.85714285714289</v>
      </c>
      <c r="G78" s="21">
        <v>0</v>
      </c>
      <c r="H78" s="26">
        <v>0</v>
      </c>
      <c r="I78" s="26">
        <v>212.5</v>
      </c>
      <c r="J78" s="26">
        <v>0</v>
      </c>
      <c r="K78" s="26">
        <v>0</v>
      </c>
      <c r="L78" s="26">
        <v>0</v>
      </c>
      <c r="M78" s="26">
        <v>0</v>
      </c>
      <c r="N78" s="26">
        <v>25</v>
      </c>
      <c r="O78" s="26">
        <v>0</v>
      </c>
      <c r="P78" s="26">
        <v>0</v>
      </c>
      <c r="Q78" s="27">
        <v>60</v>
      </c>
      <c r="R78" s="26">
        <v>810</v>
      </c>
      <c r="S78" s="26">
        <v>125</v>
      </c>
      <c r="T78" s="26">
        <v>0</v>
      </c>
      <c r="U78" s="26">
        <v>0</v>
      </c>
      <c r="V78" s="26">
        <v>0</v>
      </c>
      <c r="W78" s="26">
        <v>0</v>
      </c>
      <c r="X78" s="26">
        <v>0</v>
      </c>
      <c r="Y78" s="26">
        <v>0</v>
      </c>
      <c r="Z78" s="26">
        <v>0</v>
      </c>
      <c r="AA78" s="26">
        <v>0</v>
      </c>
      <c r="AB78" s="26">
        <v>0</v>
      </c>
      <c r="AC78" s="26">
        <v>0</v>
      </c>
      <c r="AD78" s="26">
        <v>364</v>
      </c>
      <c r="AE78" s="26">
        <v>728</v>
      </c>
      <c r="AF78" s="26">
        <v>144.99999999999997</v>
      </c>
      <c r="AG78" s="26">
        <v>0</v>
      </c>
      <c r="AH78" s="26">
        <v>30</v>
      </c>
      <c r="AI78" s="26">
        <v>346</v>
      </c>
      <c r="AJ78" s="26">
        <v>145</v>
      </c>
      <c r="AK78" s="26">
        <v>0</v>
      </c>
      <c r="AL78" s="26">
        <v>0</v>
      </c>
      <c r="AM78" s="26">
        <v>0</v>
      </c>
      <c r="AN78" s="26">
        <v>200</v>
      </c>
      <c r="AO78" s="23">
        <f t="shared" si="0"/>
        <v>3583.3571428571431</v>
      </c>
      <c r="AP78" s="24">
        <v>3583.3571428571431</v>
      </c>
      <c r="AQ78" s="24">
        <v>3583.36</v>
      </c>
      <c r="AR78" s="25">
        <f t="shared" si="1"/>
        <v>0</v>
      </c>
      <c r="AS78" s="25">
        <f t="shared" si="2"/>
        <v>-2.8571428570103308E-3</v>
      </c>
      <c r="AT78" s="4"/>
    </row>
    <row r="79" spans="1:46" ht="14.25" customHeight="1">
      <c r="A79" s="18">
        <v>75</v>
      </c>
      <c r="B79" s="33" t="s">
        <v>137</v>
      </c>
      <c r="C79" s="33" t="s">
        <v>105</v>
      </c>
      <c r="D79" s="20" t="s">
        <v>136</v>
      </c>
      <c r="E79" s="20">
        <v>1600</v>
      </c>
      <c r="F79" s="21">
        <v>125</v>
      </c>
      <c r="G79" s="21">
        <v>0</v>
      </c>
      <c r="H79" s="26">
        <v>0</v>
      </c>
      <c r="I79" s="26">
        <v>45.833333333333336</v>
      </c>
      <c r="J79" s="26">
        <v>0</v>
      </c>
      <c r="K79" s="26">
        <v>0</v>
      </c>
      <c r="L79" s="26">
        <v>0</v>
      </c>
      <c r="M79" s="26">
        <v>0</v>
      </c>
      <c r="N79" s="26">
        <v>20</v>
      </c>
      <c r="O79" s="26">
        <v>0</v>
      </c>
      <c r="P79" s="26">
        <v>0</v>
      </c>
      <c r="Q79" s="27">
        <v>25</v>
      </c>
      <c r="R79" s="26">
        <v>0</v>
      </c>
      <c r="S79" s="26">
        <v>65</v>
      </c>
      <c r="T79" s="26">
        <v>0</v>
      </c>
      <c r="U79" s="26">
        <v>0</v>
      </c>
      <c r="V79" s="26">
        <v>0</v>
      </c>
      <c r="W79" s="26">
        <v>0</v>
      </c>
      <c r="X79" s="26">
        <v>0</v>
      </c>
      <c r="Y79" s="26">
        <v>0</v>
      </c>
      <c r="Z79" s="26">
        <v>0</v>
      </c>
      <c r="AA79" s="26">
        <v>0</v>
      </c>
      <c r="AB79" s="26">
        <v>0</v>
      </c>
      <c r="AC79" s="26">
        <v>0</v>
      </c>
      <c r="AD79" s="26">
        <v>364</v>
      </c>
      <c r="AE79" s="26">
        <v>728</v>
      </c>
      <c r="AF79" s="26">
        <v>161.83333333333331</v>
      </c>
      <c r="AG79" s="26">
        <v>0</v>
      </c>
      <c r="AH79" s="26">
        <v>30</v>
      </c>
      <c r="AI79" s="26">
        <v>546</v>
      </c>
      <c r="AJ79" s="26">
        <v>90</v>
      </c>
      <c r="AK79" s="26">
        <v>0</v>
      </c>
      <c r="AL79" s="26">
        <v>0</v>
      </c>
      <c r="AM79" s="26">
        <v>0</v>
      </c>
      <c r="AN79" s="26">
        <v>156</v>
      </c>
      <c r="AO79" s="23">
        <f t="shared" si="0"/>
        <v>2356.666666666667</v>
      </c>
      <c r="AP79" s="24">
        <v>2356.666666666667</v>
      </c>
      <c r="AQ79" s="24">
        <v>2356.67</v>
      </c>
      <c r="AR79" s="25">
        <f t="shared" si="1"/>
        <v>0</v>
      </c>
      <c r="AS79" s="25">
        <f t="shared" si="2"/>
        <v>-3.333333333102928E-3</v>
      </c>
      <c r="AT79" s="4"/>
    </row>
    <row r="80" spans="1:46" ht="14.25" customHeight="1">
      <c r="A80" s="18">
        <v>76</v>
      </c>
      <c r="B80" s="33" t="s">
        <v>138</v>
      </c>
      <c r="C80" s="33" t="s">
        <v>105</v>
      </c>
      <c r="D80" s="20" t="s">
        <v>136</v>
      </c>
      <c r="E80" s="20">
        <v>1600</v>
      </c>
      <c r="F80" s="21">
        <v>0</v>
      </c>
      <c r="G80" s="21">
        <v>0</v>
      </c>
      <c r="H80" s="26">
        <v>0</v>
      </c>
      <c r="I80" s="26">
        <v>0</v>
      </c>
      <c r="J80" s="26">
        <v>0</v>
      </c>
      <c r="K80" s="26">
        <v>0</v>
      </c>
      <c r="L80" s="26">
        <v>0</v>
      </c>
      <c r="M80" s="26">
        <v>0</v>
      </c>
      <c r="N80" s="26">
        <v>70</v>
      </c>
      <c r="O80" s="26">
        <v>0</v>
      </c>
      <c r="P80" s="26">
        <v>0</v>
      </c>
      <c r="Q80" s="27">
        <v>0</v>
      </c>
      <c r="R80" s="26">
        <v>0</v>
      </c>
      <c r="S80" s="26">
        <v>75</v>
      </c>
      <c r="T80" s="26">
        <v>0</v>
      </c>
      <c r="U80" s="26">
        <v>0</v>
      </c>
      <c r="V80" s="26">
        <v>0</v>
      </c>
      <c r="W80" s="26">
        <v>0</v>
      </c>
      <c r="X80" s="26">
        <v>0</v>
      </c>
      <c r="Y80" s="26">
        <v>0</v>
      </c>
      <c r="Z80" s="26">
        <v>0</v>
      </c>
      <c r="AA80" s="26">
        <v>0</v>
      </c>
      <c r="AB80" s="26">
        <v>0</v>
      </c>
      <c r="AC80" s="26">
        <v>0</v>
      </c>
      <c r="AD80" s="26">
        <v>364</v>
      </c>
      <c r="AE80" s="26">
        <v>728</v>
      </c>
      <c r="AF80" s="26">
        <v>121.875</v>
      </c>
      <c r="AG80" s="26">
        <v>0</v>
      </c>
      <c r="AH80" s="26">
        <v>30</v>
      </c>
      <c r="AI80" s="26">
        <v>456</v>
      </c>
      <c r="AJ80" s="26">
        <v>60</v>
      </c>
      <c r="AK80" s="26">
        <v>0</v>
      </c>
      <c r="AL80" s="26">
        <v>0</v>
      </c>
      <c r="AM80" s="26">
        <v>0</v>
      </c>
      <c r="AN80" s="26">
        <v>124</v>
      </c>
      <c r="AO80" s="23">
        <f t="shared" si="0"/>
        <v>2028.875</v>
      </c>
      <c r="AP80" s="24">
        <v>2028.875</v>
      </c>
      <c r="AQ80" s="24">
        <v>2028.88</v>
      </c>
      <c r="AR80" s="25">
        <f t="shared" si="1"/>
        <v>0</v>
      </c>
      <c r="AS80" s="25">
        <f t="shared" si="2"/>
        <v>-5.0000000001091394E-3</v>
      </c>
      <c r="AT80" s="4"/>
    </row>
    <row r="81" spans="1:46" ht="14.25" customHeight="1">
      <c r="A81" s="18">
        <v>77</v>
      </c>
      <c r="B81" s="33" t="s">
        <v>139</v>
      </c>
      <c r="C81" s="33" t="s">
        <v>105</v>
      </c>
      <c r="D81" s="20" t="s">
        <v>136</v>
      </c>
      <c r="E81" s="20">
        <v>1600</v>
      </c>
      <c r="F81" s="21">
        <v>200</v>
      </c>
      <c r="G81" s="21">
        <v>0</v>
      </c>
      <c r="H81" s="26">
        <v>0</v>
      </c>
      <c r="I81" s="26">
        <v>0</v>
      </c>
      <c r="J81" s="26">
        <v>0</v>
      </c>
      <c r="K81" s="26">
        <v>0</v>
      </c>
      <c r="L81" s="26">
        <v>0</v>
      </c>
      <c r="M81" s="26">
        <v>0</v>
      </c>
      <c r="N81" s="26">
        <v>0</v>
      </c>
      <c r="O81" s="26">
        <v>0</v>
      </c>
      <c r="P81" s="26">
        <v>0</v>
      </c>
      <c r="Q81" s="27">
        <v>0</v>
      </c>
      <c r="R81" s="26">
        <v>0</v>
      </c>
      <c r="S81" s="26">
        <v>80</v>
      </c>
      <c r="T81" s="26">
        <v>0</v>
      </c>
      <c r="U81" s="26">
        <v>0</v>
      </c>
      <c r="V81" s="26">
        <v>0</v>
      </c>
      <c r="W81" s="26">
        <v>0</v>
      </c>
      <c r="X81" s="26">
        <v>0</v>
      </c>
      <c r="Y81" s="26">
        <v>0</v>
      </c>
      <c r="Z81" s="26">
        <v>0</v>
      </c>
      <c r="AA81" s="26">
        <v>0</v>
      </c>
      <c r="AB81" s="26">
        <v>0</v>
      </c>
      <c r="AC81" s="26">
        <v>0</v>
      </c>
      <c r="AD81" s="26">
        <v>364</v>
      </c>
      <c r="AE81" s="26">
        <v>728</v>
      </c>
      <c r="AF81" s="26">
        <v>106.17</v>
      </c>
      <c r="AG81" s="26">
        <v>0</v>
      </c>
      <c r="AH81" s="26">
        <v>30</v>
      </c>
      <c r="AI81" s="26">
        <v>56</v>
      </c>
      <c r="AJ81" s="26">
        <v>60</v>
      </c>
      <c r="AK81" s="26">
        <v>0</v>
      </c>
      <c r="AL81" s="26">
        <v>0</v>
      </c>
      <c r="AM81" s="26">
        <v>0</v>
      </c>
      <c r="AN81" s="26">
        <v>170</v>
      </c>
      <c r="AO81" s="23">
        <f t="shared" si="0"/>
        <v>1794.17</v>
      </c>
      <c r="AP81" s="24">
        <v>1794.17</v>
      </c>
      <c r="AQ81" s="24">
        <v>1794.17</v>
      </c>
      <c r="AR81" s="25">
        <f t="shared" si="1"/>
        <v>0</v>
      </c>
      <c r="AS81" s="25">
        <f t="shared" si="2"/>
        <v>0</v>
      </c>
      <c r="AT81" s="4"/>
    </row>
    <row r="82" spans="1:46" ht="14.25" customHeight="1">
      <c r="A82" s="18">
        <v>78</v>
      </c>
      <c r="B82" s="33" t="s">
        <v>140</v>
      </c>
      <c r="C82" s="33" t="s">
        <v>141</v>
      </c>
      <c r="D82" s="20" t="s">
        <v>69</v>
      </c>
      <c r="E82" s="20">
        <v>1600</v>
      </c>
      <c r="F82" s="34">
        <v>0</v>
      </c>
      <c r="G82" s="34">
        <v>0</v>
      </c>
      <c r="H82" s="34">
        <v>0</v>
      </c>
      <c r="I82" s="34">
        <v>0</v>
      </c>
      <c r="J82" s="34">
        <v>0</v>
      </c>
      <c r="K82" s="34">
        <v>0</v>
      </c>
      <c r="L82" s="34">
        <v>0</v>
      </c>
      <c r="M82" s="34">
        <v>0</v>
      </c>
      <c r="N82" s="34">
        <v>0</v>
      </c>
      <c r="O82" s="34">
        <v>0</v>
      </c>
      <c r="P82" s="34">
        <v>0</v>
      </c>
      <c r="Q82" s="27">
        <v>0</v>
      </c>
      <c r="R82" s="34">
        <v>0</v>
      </c>
      <c r="S82" s="34">
        <v>0</v>
      </c>
      <c r="T82" s="34">
        <v>0</v>
      </c>
      <c r="U82" s="34">
        <v>0</v>
      </c>
      <c r="V82" s="34">
        <v>0</v>
      </c>
      <c r="W82" s="34">
        <v>0</v>
      </c>
      <c r="X82" s="34">
        <v>0</v>
      </c>
      <c r="Y82" s="34">
        <v>100</v>
      </c>
      <c r="Z82" s="34">
        <v>0</v>
      </c>
      <c r="AA82" s="34">
        <v>0</v>
      </c>
      <c r="AB82" s="34">
        <v>0</v>
      </c>
      <c r="AC82" s="34">
        <v>0</v>
      </c>
      <c r="AD82" s="34">
        <v>448</v>
      </c>
      <c r="AE82" s="34">
        <v>896</v>
      </c>
      <c r="AF82" s="34">
        <v>224.33</v>
      </c>
      <c r="AG82" s="34">
        <v>170</v>
      </c>
      <c r="AH82" s="34">
        <v>70</v>
      </c>
      <c r="AI82" s="34">
        <v>514</v>
      </c>
      <c r="AJ82" s="34">
        <v>60</v>
      </c>
      <c r="AK82" s="34">
        <v>0</v>
      </c>
      <c r="AL82" s="34">
        <v>0</v>
      </c>
      <c r="AM82" s="34">
        <v>0</v>
      </c>
      <c r="AN82" s="34">
        <v>100</v>
      </c>
      <c r="AO82" s="23">
        <f t="shared" si="0"/>
        <v>2582.33</v>
      </c>
      <c r="AP82" s="24">
        <v>2582.33</v>
      </c>
      <c r="AQ82" s="24">
        <v>2582.33</v>
      </c>
      <c r="AR82" s="25">
        <f t="shared" si="1"/>
        <v>0</v>
      </c>
      <c r="AS82" s="25">
        <f t="shared" si="2"/>
        <v>0</v>
      </c>
      <c r="AT82" s="4"/>
    </row>
    <row r="83" spans="1:46" ht="14.25" customHeight="1">
      <c r="A83" s="18">
        <v>79</v>
      </c>
      <c r="B83" s="33" t="s">
        <v>142</v>
      </c>
      <c r="C83" s="33" t="s">
        <v>141</v>
      </c>
      <c r="D83" s="20" t="s">
        <v>69</v>
      </c>
      <c r="E83" s="20">
        <v>1600</v>
      </c>
      <c r="F83" s="35">
        <v>300</v>
      </c>
      <c r="G83" s="35">
        <v>0</v>
      </c>
      <c r="H83" s="35">
        <v>0</v>
      </c>
      <c r="I83" s="35">
        <v>650</v>
      </c>
      <c r="J83" s="35">
        <v>0</v>
      </c>
      <c r="K83" s="35">
        <v>0</v>
      </c>
      <c r="L83" s="35">
        <v>0</v>
      </c>
      <c r="M83" s="35">
        <v>0</v>
      </c>
      <c r="N83" s="35">
        <v>100</v>
      </c>
      <c r="O83" s="35">
        <v>0</v>
      </c>
      <c r="P83" s="35">
        <v>0</v>
      </c>
      <c r="Q83" s="36">
        <v>190</v>
      </c>
      <c r="R83" s="35">
        <v>0</v>
      </c>
      <c r="S83" s="35">
        <v>0</v>
      </c>
      <c r="T83" s="35">
        <v>0</v>
      </c>
      <c r="U83" s="35">
        <v>0</v>
      </c>
      <c r="V83" s="37">
        <v>0</v>
      </c>
      <c r="W83" s="34">
        <v>0</v>
      </c>
      <c r="X83" s="34">
        <v>0</v>
      </c>
      <c r="Y83" s="34">
        <v>100</v>
      </c>
      <c r="Z83" s="34">
        <v>0</v>
      </c>
      <c r="AA83" s="34">
        <v>0</v>
      </c>
      <c r="AB83" s="34">
        <v>0</v>
      </c>
      <c r="AC83" s="34">
        <v>0</v>
      </c>
      <c r="AD83" s="34">
        <v>224</v>
      </c>
      <c r="AE83" s="34">
        <v>448</v>
      </c>
      <c r="AF83" s="34">
        <v>182.2</v>
      </c>
      <c r="AG83" s="34">
        <v>240</v>
      </c>
      <c r="AH83" s="34">
        <v>160</v>
      </c>
      <c r="AI83" s="34">
        <v>514</v>
      </c>
      <c r="AJ83" s="34">
        <v>30</v>
      </c>
      <c r="AK83" s="34">
        <v>0</v>
      </c>
      <c r="AL83" s="34">
        <v>0</v>
      </c>
      <c r="AM83" s="34">
        <v>0</v>
      </c>
      <c r="AN83" s="34">
        <v>100</v>
      </c>
      <c r="AO83" s="23">
        <f t="shared" si="0"/>
        <v>3238.2</v>
      </c>
      <c r="AP83" s="24">
        <v>3238.2</v>
      </c>
      <c r="AQ83" s="24">
        <v>3238.2</v>
      </c>
      <c r="AR83" s="25">
        <f t="shared" si="1"/>
        <v>0</v>
      </c>
      <c r="AS83" s="25">
        <f t="shared" si="2"/>
        <v>0</v>
      </c>
      <c r="AT83" s="4"/>
    </row>
    <row r="84" spans="1:46" ht="14.25" customHeight="1">
      <c r="A84" s="18">
        <v>80</v>
      </c>
      <c r="B84" s="33" t="s">
        <v>143</v>
      </c>
      <c r="C84" s="33" t="s">
        <v>141</v>
      </c>
      <c r="D84" s="20" t="s">
        <v>144</v>
      </c>
      <c r="E84" s="20">
        <v>1600</v>
      </c>
      <c r="F84" s="35">
        <v>0</v>
      </c>
      <c r="G84" s="35">
        <v>0</v>
      </c>
      <c r="H84" s="35">
        <v>0</v>
      </c>
      <c r="I84" s="35">
        <v>86.67</v>
      </c>
      <c r="J84" s="35">
        <v>0</v>
      </c>
      <c r="K84" s="35">
        <v>0</v>
      </c>
      <c r="L84" s="35">
        <v>0</v>
      </c>
      <c r="M84" s="35">
        <v>0</v>
      </c>
      <c r="N84" s="35">
        <v>0</v>
      </c>
      <c r="O84" s="35">
        <v>0</v>
      </c>
      <c r="P84" s="35">
        <v>0</v>
      </c>
      <c r="Q84" s="36">
        <v>27.33</v>
      </c>
      <c r="R84" s="35">
        <v>0</v>
      </c>
      <c r="S84" s="35">
        <v>0</v>
      </c>
      <c r="T84" s="35">
        <v>0</v>
      </c>
      <c r="U84" s="35">
        <v>0</v>
      </c>
      <c r="V84" s="37">
        <v>0</v>
      </c>
      <c r="W84" s="34">
        <v>0</v>
      </c>
      <c r="X84" s="34">
        <v>0</v>
      </c>
      <c r="Y84" s="34">
        <v>0</v>
      </c>
      <c r="Z84" s="34">
        <v>0</v>
      </c>
      <c r="AA84" s="34">
        <v>0</v>
      </c>
      <c r="AB84" s="34">
        <v>0</v>
      </c>
      <c r="AC84" s="34">
        <v>0</v>
      </c>
      <c r="AD84" s="34">
        <v>392</v>
      </c>
      <c r="AE84" s="34">
        <v>784</v>
      </c>
      <c r="AF84" s="34">
        <v>115.43</v>
      </c>
      <c r="AG84" s="34">
        <v>80</v>
      </c>
      <c r="AH84" s="34">
        <v>0</v>
      </c>
      <c r="AI84" s="34">
        <v>56</v>
      </c>
      <c r="AJ84" s="34">
        <v>80</v>
      </c>
      <c r="AK84" s="34">
        <v>0</v>
      </c>
      <c r="AL84" s="34">
        <v>0</v>
      </c>
      <c r="AM84" s="34">
        <v>0</v>
      </c>
      <c r="AN84" s="34">
        <v>100</v>
      </c>
      <c r="AO84" s="23">
        <f t="shared" si="0"/>
        <v>1721.43</v>
      </c>
      <c r="AP84" s="24">
        <v>1721.43</v>
      </c>
      <c r="AQ84" s="24">
        <v>1721.43</v>
      </c>
      <c r="AR84" s="25">
        <f t="shared" si="1"/>
        <v>0</v>
      </c>
      <c r="AS84" s="25">
        <f t="shared" si="2"/>
        <v>0</v>
      </c>
      <c r="AT84" s="4"/>
    </row>
    <row r="85" spans="1:46" ht="14.25" customHeight="1">
      <c r="A85" s="18">
        <v>81</v>
      </c>
      <c r="B85" s="33" t="s">
        <v>145</v>
      </c>
      <c r="C85" s="33" t="s">
        <v>141</v>
      </c>
      <c r="D85" s="20" t="s">
        <v>52</v>
      </c>
      <c r="E85" s="20">
        <v>1600</v>
      </c>
      <c r="F85" s="37">
        <v>300</v>
      </c>
      <c r="G85" s="38">
        <v>0</v>
      </c>
      <c r="H85" s="34">
        <v>400</v>
      </c>
      <c r="I85" s="34">
        <v>929.17</v>
      </c>
      <c r="J85" s="34">
        <v>0</v>
      </c>
      <c r="K85" s="34">
        <v>0</v>
      </c>
      <c r="L85" s="34">
        <v>0</v>
      </c>
      <c r="M85" s="34">
        <v>0</v>
      </c>
      <c r="N85" s="34">
        <v>0</v>
      </c>
      <c r="O85" s="34">
        <v>0</v>
      </c>
      <c r="P85" s="34">
        <v>100</v>
      </c>
      <c r="Q85" s="27">
        <v>88.33</v>
      </c>
      <c r="R85" s="34">
        <v>550</v>
      </c>
      <c r="S85" s="34">
        <v>365</v>
      </c>
      <c r="T85" s="34">
        <v>0</v>
      </c>
      <c r="U85" s="34">
        <v>0</v>
      </c>
      <c r="V85" s="34">
        <v>0</v>
      </c>
      <c r="W85" s="34">
        <v>0</v>
      </c>
      <c r="X85" s="34">
        <v>0</v>
      </c>
      <c r="Y85" s="34">
        <v>0</v>
      </c>
      <c r="Z85" s="34">
        <v>0</v>
      </c>
      <c r="AA85" s="34">
        <v>0</v>
      </c>
      <c r="AB85" s="34">
        <v>0</v>
      </c>
      <c r="AC85" s="34">
        <v>0</v>
      </c>
      <c r="AD85" s="34">
        <v>196</v>
      </c>
      <c r="AE85" s="34">
        <v>392</v>
      </c>
      <c r="AF85" s="34">
        <v>286.95999999999998</v>
      </c>
      <c r="AG85" s="34">
        <v>280</v>
      </c>
      <c r="AH85" s="34">
        <v>120</v>
      </c>
      <c r="AI85" s="34">
        <v>626</v>
      </c>
      <c r="AJ85" s="34">
        <v>30</v>
      </c>
      <c r="AK85" s="34">
        <v>0</v>
      </c>
      <c r="AL85" s="34">
        <v>50</v>
      </c>
      <c r="AM85" s="34">
        <v>0</v>
      </c>
      <c r="AN85" s="34">
        <v>150</v>
      </c>
      <c r="AO85" s="23">
        <f t="shared" si="0"/>
        <v>4863.46</v>
      </c>
      <c r="AP85" s="24">
        <v>4863.46</v>
      </c>
      <c r="AQ85" s="24">
        <v>4863.46</v>
      </c>
      <c r="AR85" s="25">
        <f t="shared" si="1"/>
        <v>0</v>
      </c>
      <c r="AS85" s="25">
        <f t="shared" si="2"/>
        <v>0</v>
      </c>
      <c r="AT85" s="4"/>
    </row>
    <row r="86" spans="1:46" ht="14.25" customHeight="1">
      <c r="A86" s="18">
        <v>82</v>
      </c>
      <c r="B86" s="33" t="s">
        <v>146</v>
      </c>
      <c r="C86" s="33" t="s">
        <v>141</v>
      </c>
      <c r="D86" s="20" t="s">
        <v>69</v>
      </c>
      <c r="E86" s="20">
        <v>1600</v>
      </c>
      <c r="F86" s="39">
        <v>0</v>
      </c>
      <c r="G86" s="40">
        <v>0</v>
      </c>
      <c r="H86" s="41">
        <v>0</v>
      </c>
      <c r="I86" s="41">
        <v>154.19</v>
      </c>
      <c r="J86" s="41">
        <v>0</v>
      </c>
      <c r="K86" s="41">
        <v>0</v>
      </c>
      <c r="L86" s="41">
        <v>0</v>
      </c>
      <c r="M86" s="41">
        <v>0</v>
      </c>
      <c r="N86" s="41">
        <v>20</v>
      </c>
      <c r="O86" s="41">
        <v>0</v>
      </c>
      <c r="P86" s="41">
        <v>100</v>
      </c>
      <c r="Q86" s="42">
        <v>9.17</v>
      </c>
      <c r="R86" s="41">
        <v>50</v>
      </c>
      <c r="S86" s="41">
        <v>0</v>
      </c>
      <c r="T86" s="41">
        <v>0</v>
      </c>
      <c r="U86" s="41">
        <v>0</v>
      </c>
      <c r="V86" s="41">
        <v>0</v>
      </c>
      <c r="W86" s="41">
        <v>0</v>
      </c>
      <c r="X86" s="41">
        <v>0</v>
      </c>
      <c r="Y86" s="41">
        <v>0</v>
      </c>
      <c r="Z86" s="41">
        <v>0</v>
      </c>
      <c r="AA86" s="41">
        <v>0</v>
      </c>
      <c r="AB86" s="41">
        <v>0</v>
      </c>
      <c r="AC86" s="41">
        <v>0</v>
      </c>
      <c r="AD86" s="41">
        <v>308</v>
      </c>
      <c r="AE86" s="41">
        <v>616</v>
      </c>
      <c r="AF86" s="41">
        <v>244.95</v>
      </c>
      <c r="AG86" s="41">
        <v>20</v>
      </c>
      <c r="AH86" s="41">
        <v>270</v>
      </c>
      <c r="AI86" s="41">
        <v>424</v>
      </c>
      <c r="AJ86" s="41">
        <v>30</v>
      </c>
      <c r="AK86" s="41">
        <v>0</v>
      </c>
      <c r="AL86" s="41">
        <v>0</v>
      </c>
      <c r="AM86" s="41">
        <v>0</v>
      </c>
      <c r="AN86" s="41">
        <v>100</v>
      </c>
      <c r="AO86" s="23">
        <f t="shared" si="0"/>
        <v>2346.3100000000004</v>
      </c>
      <c r="AP86" s="24">
        <v>2346.31</v>
      </c>
      <c r="AQ86" s="24">
        <v>2346.31</v>
      </c>
      <c r="AR86" s="25">
        <f t="shared" si="1"/>
        <v>0</v>
      </c>
      <c r="AS86" s="25">
        <f t="shared" si="2"/>
        <v>0</v>
      </c>
      <c r="AT86" s="4"/>
    </row>
    <row r="87" spans="1:46" ht="14.25" customHeight="1">
      <c r="A87" s="18">
        <v>83</v>
      </c>
      <c r="B87" s="33" t="s">
        <v>147</v>
      </c>
      <c r="C87" s="33" t="s">
        <v>141</v>
      </c>
      <c r="D87" s="20" t="s">
        <v>69</v>
      </c>
      <c r="E87" s="20">
        <v>1600</v>
      </c>
      <c r="F87" s="34">
        <v>0</v>
      </c>
      <c r="G87" s="34">
        <v>0</v>
      </c>
      <c r="H87" s="34">
        <v>0</v>
      </c>
      <c r="I87" s="34">
        <v>162.08000000000001</v>
      </c>
      <c r="J87" s="34">
        <v>0</v>
      </c>
      <c r="K87" s="34">
        <v>0</v>
      </c>
      <c r="L87" s="34">
        <v>0</v>
      </c>
      <c r="M87" s="34">
        <v>0</v>
      </c>
      <c r="N87" s="34">
        <v>0</v>
      </c>
      <c r="O87" s="34">
        <v>0</v>
      </c>
      <c r="P87" s="34">
        <v>0</v>
      </c>
      <c r="Q87" s="27">
        <v>33.31</v>
      </c>
      <c r="R87" s="34">
        <v>500</v>
      </c>
      <c r="S87" s="34">
        <v>50</v>
      </c>
      <c r="T87" s="34">
        <v>0</v>
      </c>
      <c r="U87" s="34">
        <v>0</v>
      </c>
      <c r="V87" s="34">
        <v>0</v>
      </c>
      <c r="W87" s="34">
        <v>0</v>
      </c>
      <c r="X87" s="34">
        <v>0</v>
      </c>
      <c r="Y87" s="34">
        <v>100</v>
      </c>
      <c r="Z87" s="34">
        <v>0</v>
      </c>
      <c r="AA87" s="34">
        <v>0</v>
      </c>
      <c r="AB87" s="34">
        <v>0</v>
      </c>
      <c r="AC87" s="34">
        <v>0</v>
      </c>
      <c r="AD87" s="34">
        <v>280</v>
      </c>
      <c r="AE87" s="34">
        <v>560</v>
      </c>
      <c r="AF87" s="34">
        <v>124.81</v>
      </c>
      <c r="AG87" s="34">
        <v>120</v>
      </c>
      <c r="AH87" s="34">
        <v>0</v>
      </c>
      <c r="AI87" s="34">
        <v>346</v>
      </c>
      <c r="AJ87" s="34">
        <v>30</v>
      </c>
      <c r="AK87" s="34">
        <v>0</v>
      </c>
      <c r="AL87" s="34">
        <v>0</v>
      </c>
      <c r="AM87" s="34">
        <v>0</v>
      </c>
      <c r="AN87" s="34">
        <v>170</v>
      </c>
      <c r="AO87" s="23">
        <f t="shared" si="0"/>
        <v>2476.1999999999998</v>
      </c>
      <c r="AP87" s="24">
        <v>2476.1999999999998</v>
      </c>
      <c r="AQ87" s="24">
        <v>2476.1999999999998</v>
      </c>
      <c r="AR87" s="25">
        <f t="shared" si="1"/>
        <v>0</v>
      </c>
      <c r="AS87" s="25">
        <f t="shared" si="2"/>
        <v>0</v>
      </c>
      <c r="AT87" s="4"/>
    </row>
    <row r="88" spans="1:46" ht="14.25" customHeight="1">
      <c r="A88" s="18">
        <v>84</v>
      </c>
      <c r="B88" s="33" t="s">
        <v>148</v>
      </c>
      <c r="C88" s="33" t="s">
        <v>141</v>
      </c>
      <c r="D88" s="20" t="s">
        <v>149</v>
      </c>
      <c r="E88" s="20">
        <v>1600</v>
      </c>
      <c r="F88" s="43">
        <v>500</v>
      </c>
      <c r="G88" s="44">
        <v>0</v>
      </c>
      <c r="H88" s="45">
        <v>0</v>
      </c>
      <c r="I88" s="45">
        <v>100</v>
      </c>
      <c r="J88" s="45">
        <v>0</v>
      </c>
      <c r="K88" s="45">
        <v>0</v>
      </c>
      <c r="L88" s="45">
        <v>0</v>
      </c>
      <c r="M88" s="45">
        <v>0</v>
      </c>
      <c r="N88" s="45">
        <v>0</v>
      </c>
      <c r="O88" s="45">
        <v>0</v>
      </c>
      <c r="P88" s="45">
        <v>0</v>
      </c>
      <c r="Q88" s="46">
        <v>6.67</v>
      </c>
      <c r="R88" s="45">
        <v>0</v>
      </c>
      <c r="S88" s="45">
        <v>0</v>
      </c>
      <c r="T88" s="45">
        <v>0</v>
      </c>
      <c r="U88" s="45">
        <v>0</v>
      </c>
      <c r="V88" s="45">
        <v>0</v>
      </c>
      <c r="W88" s="45">
        <v>0</v>
      </c>
      <c r="X88" s="45">
        <v>0</v>
      </c>
      <c r="Y88" s="45">
        <v>0</v>
      </c>
      <c r="Z88" s="45">
        <v>0</v>
      </c>
      <c r="AA88" s="45">
        <v>0</v>
      </c>
      <c r="AB88" s="45">
        <v>0</v>
      </c>
      <c r="AC88" s="45">
        <v>0</v>
      </c>
      <c r="AD88" s="45">
        <v>448</v>
      </c>
      <c r="AE88" s="45">
        <v>896</v>
      </c>
      <c r="AF88" s="45">
        <v>0</v>
      </c>
      <c r="AG88" s="45">
        <v>110</v>
      </c>
      <c r="AH88" s="45">
        <v>0</v>
      </c>
      <c r="AI88" s="45">
        <v>56</v>
      </c>
      <c r="AJ88" s="45">
        <v>30</v>
      </c>
      <c r="AK88" s="45">
        <v>0</v>
      </c>
      <c r="AL88" s="45">
        <v>0</v>
      </c>
      <c r="AM88" s="45">
        <v>0</v>
      </c>
      <c r="AN88" s="45">
        <v>100</v>
      </c>
      <c r="AO88" s="23">
        <f t="shared" si="0"/>
        <v>2246.67</v>
      </c>
      <c r="AP88" s="24">
        <v>2246.67</v>
      </c>
      <c r="AQ88" s="24">
        <v>2246.67</v>
      </c>
      <c r="AR88" s="25">
        <f t="shared" si="1"/>
        <v>0</v>
      </c>
      <c r="AS88" s="25">
        <f t="shared" si="2"/>
        <v>0</v>
      </c>
      <c r="AT88" s="4"/>
    </row>
    <row r="89" spans="1:46" ht="14.25" customHeight="1">
      <c r="A89" s="18">
        <v>85</v>
      </c>
      <c r="B89" s="33" t="s">
        <v>150</v>
      </c>
      <c r="C89" s="33" t="s">
        <v>141</v>
      </c>
      <c r="D89" s="20" t="s">
        <v>144</v>
      </c>
      <c r="E89" s="20">
        <v>1600</v>
      </c>
      <c r="F89" s="37">
        <v>0</v>
      </c>
      <c r="G89" s="38">
        <v>0</v>
      </c>
      <c r="H89" s="34">
        <v>0</v>
      </c>
      <c r="I89" s="34">
        <v>0</v>
      </c>
      <c r="J89" s="34">
        <v>0</v>
      </c>
      <c r="K89" s="34">
        <v>0</v>
      </c>
      <c r="L89" s="34">
        <v>0</v>
      </c>
      <c r="M89" s="34">
        <v>0</v>
      </c>
      <c r="N89" s="34">
        <v>25</v>
      </c>
      <c r="O89" s="34">
        <v>0</v>
      </c>
      <c r="P89" s="34">
        <v>0</v>
      </c>
      <c r="Q89" s="27">
        <v>0</v>
      </c>
      <c r="R89" s="34">
        <v>0</v>
      </c>
      <c r="S89" s="34">
        <v>175</v>
      </c>
      <c r="T89" s="34">
        <v>0</v>
      </c>
      <c r="U89" s="34">
        <v>0</v>
      </c>
      <c r="V89" s="34">
        <v>0</v>
      </c>
      <c r="W89" s="34">
        <v>0</v>
      </c>
      <c r="X89" s="34">
        <v>0</v>
      </c>
      <c r="Y89" s="34">
        <v>0</v>
      </c>
      <c r="Z89" s="34">
        <v>0</v>
      </c>
      <c r="AA89" s="34">
        <v>0</v>
      </c>
      <c r="AB89" s="34">
        <v>0</v>
      </c>
      <c r="AC89" s="34">
        <v>0</v>
      </c>
      <c r="AD89" s="34">
        <v>336</v>
      </c>
      <c r="AE89" s="34">
        <v>672</v>
      </c>
      <c r="AF89" s="34">
        <v>140</v>
      </c>
      <c r="AG89" s="34">
        <v>0</v>
      </c>
      <c r="AH89" s="34">
        <v>30</v>
      </c>
      <c r="AI89" s="34">
        <v>146</v>
      </c>
      <c r="AJ89" s="34">
        <v>30</v>
      </c>
      <c r="AK89" s="34">
        <v>0</v>
      </c>
      <c r="AL89" s="34">
        <v>0</v>
      </c>
      <c r="AM89" s="34">
        <v>0</v>
      </c>
      <c r="AN89" s="34">
        <v>100</v>
      </c>
      <c r="AO89" s="23">
        <f t="shared" si="0"/>
        <v>1654</v>
      </c>
      <c r="AP89" s="24">
        <v>1654</v>
      </c>
      <c r="AQ89" s="24">
        <v>1654</v>
      </c>
      <c r="AR89" s="25">
        <f t="shared" si="1"/>
        <v>0</v>
      </c>
      <c r="AS89" s="25">
        <f t="shared" si="2"/>
        <v>0</v>
      </c>
      <c r="AT89" s="4"/>
    </row>
    <row r="90" spans="1:46" ht="14.25" customHeight="1">
      <c r="A90" s="18">
        <v>86</v>
      </c>
      <c r="B90" s="33" t="s">
        <v>151</v>
      </c>
      <c r="C90" s="33" t="s">
        <v>141</v>
      </c>
      <c r="D90" s="20" t="s">
        <v>144</v>
      </c>
      <c r="E90" s="20">
        <v>1600</v>
      </c>
      <c r="F90" s="37">
        <v>385.72</v>
      </c>
      <c r="G90" s="38">
        <v>0</v>
      </c>
      <c r="H90" s="34">
        <v>0</v>
      </c>
      <c r="I90" s="34">
        <v>30</v>
      </c>
      <c r="J90" s="34">
        <v>0</v>
      </c>
      <c r="K90" s="34">
        <v>0</v>
      </c>
      <c r="L90" s="34">
        <v>0</v>
      </c>
      <c r="M90" s="34">
        <v>0</v>
      </c>
      <c r="N90" s="34">
        <v>0</v>
      </c>
      <c r="O90" s="34">
        <v>0</v>
      </c>
      <c r="P90" s="34">
        <v>0</v>
      </c>
      <c r="Q90" s="27">
        <v>0</v>
      </c>
      <c r="R90" s="34">
        <v>100</v>
      </c>
      <c r="S90" s="34">
        <v>0</v>
      </c>
      <c r="T90" s="34">
        <v>0</v>
      </c>
      <c r="U90" s="34">
        <v>0</v>
      </c>
      <c r="V90" s="34">
        <v>0</v>
      </c>
      <c r="W90" s="34">
        <v>0</v>
      </c>
      <c r="X90" s="34">
        <v>0</v>
      </c>
      <c r="Y90" s="34">
        <v>0</v>
      </c>
      <c r="Z90" s="34">
        <v>0</v>
      </c>
      <c r="AA90" s="34">
        <v>0</v>
      </c>
      <c r="AB90" s="34">
        <v>0</v>
      </c>
      <c r="AC90" s="34">
        <v>0</v>
      </c>
      <c r="AD90" s="34">
        <v>280</v>
      </c>
      <c r="AE90" s="34">
        <v>560</v>
      </c>
      <c r="AF90" s="34">
        <v>91.83</v>
      </c>
      <c r="AG90" s="34">
        <v>380</v>
      </c>
      <c r="AH90" s="34">
        <v>80</v>
      </c>
      <c r="AI90" s="34">
        <v>346</v>
      </c>
      <c r="AJ90" s="34">
        <v>40</v>
      </c>
      <c r="AK90" s="34">
        <v>0</v>
      </c>
      <c r="AL90" s="34">
        <v>150</v>
      </c>
      <c r="AM90" s="34">
        <v>0</v>
      </c>
      <c r="AN90" s="34">
        <v>100</v>
      </c>
      <c r="AO90" s="23">
        <f t="shared" si="0"/>
        <v>2543.5500000000002</v>
      </c>
      <c r="AP90" s="24">
        <v>2543.5500000000002</v>
      </c>
      <c r="AQ90" s="24">
        <v>2543.5500000000002</v>
      </c>
      <c r="AR90" s="25">
        <f t="shared" si="1"/>
        <v>0</v>
      </c>
      <c r="AS90" s="25">
        <f t="shared" si="2"/>
        <v>0</v>
      </c>
      <c r="AT90" s="4"/>
    </row>
    <row r="91" spans="1:46" ht="14.25" customHeight="1">
      <c r="A91" s="18">
        <v>87</v>
      </c>
      <c r="B91" s="33" t="s">
        <v>152</v>
      </c>
      <c r="C91" s="33" t="s">
        <v>141</v>
      </c>
      <c r="D91" s="20" t="s">
        <v>144</v>
      </c>
      <c r="E91" s="20">
        <v>1600</v>
      </c>
      <c r="F91" s="38">
        <v>300</v>
      </c>
      <c r="G91" s="38">
        <v>0</v>
      </c>
      <c r="H91" s="34">
        <v>0</v>
      </c>
      <c r="I91" s="34">
        <v>0</v>
      </c>
      <c r="J91" s="34">
        <v>0</v>
      </c>
      <c r="K91" s="34">
        <v>0</v>
      </c>
      <c r="L91" s="34">
        <v>0</v>
      </c>
      <c r="M91" s="34">
        <v>0</v>
      </c>
      <c r="N91" s="34">
        <v>100</v>
      </c>
      <c r="O91" s="34">
        <v>0</v>
      </c>
      <c r="P91" s="34">
        <v>0</v>
      </c>
      <c r="Q91" s="27">
        <v>0</v>
      </c>
      <c r="R91" s="34">
        <v>0</v>
      </c>
      <c r="S91" s="34">
        <v>0</v>
      </c>
      <c r="T91" s="34">
        <v>0</v>
      </c>
      <c r="U91" s="34">
        <v>0</v>
      </c>
      <c r="V91" s="34">
        <v>0</v>
      </c>
      <c r="W91" s="34">
        <v>0</v>
      </c>
      <c r="X91" s="34">
        <v>0</v>
      </c>
      <c r="Y91" s="34">
        <v>0</v>
      </c>
      <c r="Z91" s="34">
        <v>0</v>
      </c>
      <c r="AA91" s="34">
        <v>0</v>
      </c>
      <c r="AB91" s="34">
        <v>0</v>
      </c>
      <c r="AC91" s="34">
        <v>0</v>
      </c>
      <c r="AD91" s="34">
        <v>448</v>
      </c>
      <c r="AE91" s="34">
        <v>896</v>
      </c>
      <c r="AF91" s="34">
        <v>129.72</v>
      </c>
      <c r="AG91" s="34">
        <v>20</v>
      </c>
      <c r="AH91" s="34">
        <v>30</v>
      </c>
      <c r="AI91" s="34">
        <v>256</v>
      </c>
      <c r="AJ91" s="34">
        <v>20</v>
      </c>
      <c r="AK91" s="34">
        <v>0</v>
      </c>
      <c r="AL91" s="34">
        <v>0</v>
      </c>
      <c r="AM91" s="34">
        <v>0</v>
      </c>
      <c r="AN91" s="34">
        <v>100</v>
      </c>
      <c r="AO91" s="23">
        <f t="shared" si="0"/>
        <v>2299.7200000000003</v>
      </c>
      <c r="AP91" s="24">
        <v>2299.7199999999998</v>
      </c>
      <c r="AQ91" s="24">
        <v>2299.7199999999998</v>
      </c>
      <c r="AR91" s="25">
        <f t="shared" si="1"/>
        <v>0</v>
      </c>
      <c r="AS91" s="25">
        <f t="shared" si="2"/>
        <v>0</v>
      </c>
      <c r="AT91" s="4"/>
    </row>
    <row r="92" spans="1:46" ht="14.25" customHeight="1">
      <c r="A92" s="18">
        <v>88</v>
      </c>
      <c r="B92" s="33" t="s">
        <v>153</v>
      </c>
      <c r="C92" s="33" t="s">
        <v>141</v>
      </c>
      <c r="D92" s="20" t="s">
        <v>149</v>
      </c>
      <c r="E92" s="20">
        <v>1600</v>
      </c>
      <c r="F92" s="38">
        <v>566</v>
      </c>
      <c r="G92" s="38">
        <v>115</v>
      </c>
      <c r="H92" s="34">
        <v>0</v>
      </c>
      <c r="I92" s="34">
        <v>0</v>
      </c>
      <c r="J92" s="34">
        <v>0</v>
      </c>
      <c r="K92" s="34">
        <v>0</v>
      </c>
      <c r="L92" s="34">
        <v>0</v>
      </c>
      <c r="M92" s="34">
        <v>0</v>
      </c>
      <c r="N92" s="34">
        <v>0</v>
      </c>
      <c r="O92" s="34">
        <v>0</v>
      </c>
      <c r="P92" s="34">
        <v>0</v>
      </c>
      <c r="Q92" s="27">
        <v>0</v>
      </c>
      <c r="R92" s="34">
        <v>0</v>
      </c>
      <c r="S92" s="34">
        <v>0</v>
      </c>
      <c r="T92" s="34">
        <v>0</v>
      </c>
      <c r="U92" s="34">
        <v>0</v>
      </c>
      <c r="V92" s="34">
        <v>0</v>
      </c>
      <c r="W92" s="34">
        <v>0</v>
      </c>
      <c r="X92" s="34">
        <v>0</v>
      </c>
      <c r="Y92" s="34">
        <v>0</v>
      </c>
      <c r="Z92" s="34">
        <v>0</v>
      </c>
      <c r="AA92" s="34">
        <v>0</v>
      </c>
      <c r="AB92" s="34">
        <v>0</v>
      </c>
      <c r="AC92" s="34">
        <v>0</v>
      </c>
      <c r="AD92" s="34">
        <v>364</v>
      </c>
      <c r="AE92" s="34">
        <v>728</v>
      </c>
      <c r="AF92" s="34">
        <v>99</v>
      </c>
      <c r="AG92" s="34">
        <v>40</v>
      </c>
      <c r="AH92" s="34">
        <v>30</v>
      </c>
      <c r="AI92" s="34">
        <v>346</v>
      </c>
      <c r="AJ92" s="34">
        <v>0</v>
      </c>
      <c r="AK92" s="34">
        <v>0</v>
      </c>
      <c r="AL92" s="34">
        <v>0</v>
      </c>
      <c r="AM92" s="34">
        <v>0</v>
      </c>
      <c r="AN92" s="34">
        <v>100</v>
      </c>
      <c r="AO92" s="23">
        <f t="shared" si="0"/>
        <v>2388</v>
      </c>
      <c r="AP92" s="24">
        <v>2388</v>
      </c>
      <c r="AQ92" s="24">
        <v>2388</v>
      </c>
      <c r="AR92" s="25">
        <f t="shared" si="1"/>
        <v>0</v>
      </c>
      <c r="AS92" s="25">
        <f t="shared" si="2"/>
        <v>0</v>
      </c>
      <c r="AT92" s="4"/>
    </row>
    <row r="93" spans="1:46" ht="14.25" customHeight="1">
      <c r="A93" s="18">
        <v>89</v>
      </c>
      <c r="B93" s="33" t="s">
        <v>154</v>
      </c>
      <c r="C93" s="33" t="s">
        <v>141</v>
      </c>
      <c r="D93" s="20" t="s">
        <v>69</v>
      </c>
      <c r="E93" s="20">
        <v>1600</v>
      </c>
      <c r="F93" s="38">
        <v>0</v>
      </c>
      <c r="G93" s="38">
        <v>0</v>
      </c>
      <c r="H93" s="34">
        <v>0</v>
      </c>
      <c r="I93" s="34">
        <v>220.76</v>
      </c>
      <c r="J93" s="34">
        <v>0</v>
      </c>
      <c r="K93" s="34">
        <v>0</v>
      </c>
      <c r="L93" s="34">
        <v>0</v>
      </c>
      <c r="M93" s="34">
        <v>0</v>
      </c>
      <c r="N93" s="34">
        <v>20</v>
      </c>
      <c r="O93" s="34">
        <v>0</v>
      </c>
      <c r="P93" s="34">
        <v>0</v>
      </c>
      <c r="Q93" s="27">
        <v>9.17</v>
      </c>
      <c r="R93" s="34">
        <v>100</v>
      </c>
      <c r="S93" s="34">
        <v>0</v>
      </c>
      <c r="T93" s="34">
        <v>0</v>
      </c>
      <c r="U93" s="34">
        <v>0</v>
      </c>
      <c r="V93" s="34">
        <v>0</v>
      </c>
      <c r="W93" s="34">
        <v>0</v>
      </c>
      <c r="X93" s="34">
        <v>0</v>
      </c>
      <c r="Y93" s="34">
        <v>100</v>
      </c>
      <c r="Z93" s="34">
        <v>0</v>
      </c>
      <c r="AA93" s="34">
        <v>0</v>
      </c>
      <c r="AB93" s="34">
        <v>100</v>
      </c>
      <c r="AC93" s="34">
        <v>0</v>
      </c>
      <c r="AD93" s="34">
        <v>280</v>
      </c>
      <c r="AE93" s="34">
        <v>560</v>
      </c>
      <c r="AF93" s="34">
        <v>158.53</v>
      </c>
      <c r="AG93" s="34">
        <v>420</v>
      </c>
      <c r="AH93" s="34">
        <v>290</v>
      </c>
      <c r="AI93" s="34">
        <v>346</v>
      </c>
      <c r="AJ93" s="34">
        <v>30</v>
      </c>
      <c r="AK93" s="34">
        <v>0</v>
      </c>
      <c r="AL93" s="34">
        <v>0</v>
      </c>
      <c r="AM93" s="34">
        <v>0</v>
      </c>
      <c r="AN93" s="34">
        <v>180</v>
      </c>
      <c r="AO93" s="23">
        <f t="shared" si="0"/>
        <v>2814.46</v>
      </c>
      <c r="AP93" s="24">
        <v>2814.46</v>
      </c>
      <c r="AQ93" s="24">
        <v>2814.46</v>
      </c>
      <c r="AR93" s="25">
        <f t="shared" si="1"/>
        <v>0</v>
      </c>
      <c r="AS93" s="25">
        <f t="shared" si="2"/>
        <v>0</v>
      </c>
      <c r="AT93" s="4"/>
    </row>
    <row r="94" spans="1:46" ht="14.25" customHeight="1">
      <c r="A94" s="18">
        <v>90</v>
      </c>
      <c r="B94" s="33" t="s">
        <v>155</v>
      </c>
      <c r="C94" s="33" t="s">
        <v>141</v>
      </c>
      <c r="D94" s="20" t="s">
        <v>149</v>
      </c>
      <c r="E94" s="20">
        <v>1600</v>
      </c>
      <c r="F94" s="38">
        <v>0</v>
      </c>
      <c r="G94" s="38">
        <v>0</v>
      </c>
      <c r="H94" s="34">
        <v>0</v>
      </c>
      <c r="I94" s="34">
        <v>91.67</v>
      </c>
      <c r="J94" s="34">
        <v>0</v>
      </c>
      <c r="K94" s="34">
        <v>0</v>
      </c>
      <c r="L94" s="34">
        <v>0</v>
      </c>
      <c r="M94" s="34">
        <v>0</v>
      </c>
      <c r="N94" s="34">
        <v>0</v>
      </c>
      <c r="O94" s="34">
        <v>0</v>
      </c>
      <c r="P94" s="34">
        <v>0</v>
      </c>
      <c r="Q94" s="27">
        <v>13.33</v>
      </c>
      <c r="R94" s="34">
        <v>0</v>
      </c>
      <c r="S94" s="34">
        <v>0</v>
      </c>
      <c r="T94" s="34">
        <v>0</v>
      </c>
      <c r="U94" s="34">
        <v>0</v>
      </c>
      <c r="V94" s="34">
        <v>0</v>
      </c>
      <c r="W94" s="34">
        <v>0</v>
      </c>
      <c r="X94" s="34">
        <v>0</v>
      </c>
      <c r="Y94" s="34">
        <v>0</v>
      </c>
      <c r="Z94" s="34">
        <v>0</v>
      </c>
      <c r="AA94" s="34">
        <v>0</v>
      </c>
      <c r="AB94" s="34">
        <v>0</v>
      </c>
      <c r="AC94" s="34">
        <v>0</v>
      </c>
      <c r="AD94" s="34">
        <v>364</v>
      </c>
      <c r="AE94" s="34">
        <v>728</v>
      </c>
      <c r="AF94" s="34">
        <v>89</v>
      </c>
      <c r="AG94" s="34">
        <v>70</v>
      </c>
      <c r="AH94" s="34">
        <v>30</v>
      </c>
      <c r="AI94" s="34">
        <v>346</v>
      </c>
      <c r="AJ94" s="34">
        <v>80</v>
      </c>
      <c r="AK94" s="34">
        <v>0</v>
      </c>
      <c r="AL94" s="34">
        <v>50</v>
      </c>
      <c r="AM94" s="34">
        <v>0</v>
      </c>
      <c r="AN94" s="34">
        <v>100</v>
      </c>
      <c r="AO94" s="23">
        <f t="shared" si="0"/>
        <v>1962</v>
      </c>
      <c r="AP94" s="24">
        <v>1962</v>
      </c>
      <c r="AQ94" s="24">
        <v>1962</v>
      </c>
      <c r="AR94" s="25">
        <f t="shared" si="1"/>
        <v>0</v>
      </c>
      <c r="AS94" s="25">
        <f t="shared" si="2"/>
        <v>0</v>
      </c>
      <c r="AT94" s="4"/>
    </row>
    <row r="95" spans="1:46" ht="14.25" customHeight="1">
      <c r="A95" s="18">
        <v>91</v>
      </c>
      <c r="B95" s="33" t="s">
        <v>156</v>
      </c>
      <c r="C95" s="33" t="s">
        <v>141</v>
      </c>
      <c r="D95" s="20" t="s">
        <v>52</v>
      </c>
      <c r="E95" s="20">
        <v>1600</v>
      </c>
      <c r="F95" s="38">
        <v>1183.33</v>
      </c>
      <c r="G95" s="38">
        <v>0</v>
      </c>
      <c r="H95" s="34">
        <v>97.98</v>
      </c>
      <c r="I95" s="34">
        <v>1355.84</v>
      </c>
      <c r="J95" s="34">
        <v>0</v>
      </c>
      <c r="K95" s="34">
        <v>0</v>
      </c>
      <c r="L95" s="34">
        <v>0</v>
      </c>
      <c r="M95" s="34">
        <v>0</v>
      </c>
      <c r="N95" s="34">
        <v>150</v>
      </c>
      <c r="O95" s="34">
        <v>0</v>
      </c>
      <c r="P95" s="34">
        <v>100</v>
      </c>
      <c r="Q95" s="27">
        <v>417.5</v>
      </c>
      <c r="R95" s="34">
        <v>975</v>
      </c>
      <c r="S95" s="34">
        <v>825</v>
      </c>
      <c r="T95" s="34">
        <v>0</v>
      </c>
      <c r="U95" s="34">
        <v>0</v>
      </c>
      <c r="V95" s="34">
        <v>0</v>
      </c>
      <c r="W95" s="34">
        <v>0</v>
      </c>
      <c r="X95" s="34">
        <v>300</v>
      </c>
      <c r="Y95" s="34">
        <v>200</v>
      </c>
      <c r="Z95" s="34">
        <v>0</v>
      </c>
      <c r="AA95" s="34">
        <v>0</v>
      </c>
      <c r="AB95" s="34">
        <v>0</v>
      </c>
      <c r="AC95" s="34">
        <v>70</v>
      </c>
      <c r="AD95" s="34">
        <v>196</v>
      </c>
      <c r="AE95" s="34">
        <v>392</v>
      </c>
      <c r="AF95" s="34">
        <v>345.02</v>
      </c>
      <c r="AG95" s="34">
        <v>360</v>
      </c>
      <c r="AH95" s="34">
        <v>200</v>
      </c>
      <c r="AI95" s="34">
        <v>256</v>
      </c>
      <c r="AJ95" s="34">
        <v>100</v>
      </c>
      <c r="AK95" s="34">
        <v>0</v>
      </c>
      <c r="AL95" s="34">
        <v>0</v>
      </c>
      <c r="AM95" s="34">
        <v>0</v>
      </c>
      <c r="AN95" s="34">
        <v>120</v>
      </c>
      <c r="AO95" s="23">
        <f t="shared" si="0"/>
        <v>7643.67</v>
      </c>
      <c r="AP95" s="24">
        <v>7643.67</v>
      </c>
      <c r="AQ95" s="24">
        <v>7643.67</v>
      </c>
      <c r="AR95" s="25">
        <f t="shared" si="1"/>
        <v>0</v>
      </c>
      <c r="AS95" s="25">
        <f t="shared" si="2"/>
        <v>0</v>
      </c>
      <c r="AT95" s="4"/>
    </row>
    <row r="96" spans="1:46" ht="14.25" customHeight="1">
      <c r="A96" s="18">
        <v>92</v>
      </c>
      <c r="B96" s="33" t="s">
        <v>157</v>
      </c>
      <c r="C96" s="33" t="s">
        <v>141</v>
      </c>
      <c r="D96" s="20" t="s">
        <v>69</v>
      </c>
      <c r="E96" s="20">
        <v>1600</v>
      </c>
      <c r="F96" s="38">
        <v>2300</v>
      </c>
      <c r="G96" s="38">
        <v>0</v>
      </c>
      <c r="H96" s="34">
        <v>846</v>
      </c>
      <c r="I96" s="34">
        <v>785.89</v>
      </c>
      <c r="J96" s="34">
        <v>0</v>
      </c>
      <c r="K96" s="34">
        <v>0</v>
      </c>
      <c r="L96" s="34">
        <v>0</v>
      </c>
      <c r="M96" s="34">
        <v>0</v>
      </c>
      <c r="N96" s="34">
        <v>0</v>
      </c>
      <c r="O96" s="34">
        <v>0</v>
      </c>
      <c r="P96" s="34">
        <v>0</v>
      </c>
      <c r="Q96" s="27">
        <v>30.01</v>
      </c>
      <c r="R96" s="34">
        <v>650</v>
      </c>
      <c r="S96" s="34">
        <v>0</v>
      </c>
      <c r="T96" s="34">
        <v>0</v>
      </c>
      <c r="U96" s="34">
        <v>0</v>
      </c>
      <c r="V96" s="34">
        <v>0</v>
      </c>
      <c r="W96" s="34">
        <v>0</v>
      </c>
      <c r="X96" s="34">
        <v>0</v>
      </c>
      <c r="Y96" s="34">
        <v>200</v>
      </c>
      <c r="Z96" s="34">
        <v>0</v>
      </c>
      <c r="AA96" s="34">
        <v>0</v>
      </c>
      <c r="AB96" s="34">
        <v>0</v>
      </c>
      <c r="AC96" s="34">
        <v>0</v>
      </c>
      <c r="AD96" s="34">
        <v>224</v>
      </c>
      <c r="AE96" s="34">
        <v>448</v>
      </c>
      <c r="AF96" s="34">
        <v>297.93</v>
      </c>
      <c r="AG96" s="34">
        <v>140</v>
      </c>
      <c r="AH96" s="34">
        <v>310</v>
      </c>
      <c r="AI96" s="34">
        <v>424</v>
      </c>
      <c r="AJ96" s="34">
        <v>60</v>
      </c>
      <c r="AK96" s="34">
        <v>0</v>
      </c>
      <c r="AL96" s="34">
        <v>100</v>
      </c>
      <c r="AM96" s="34">
        <v>0</v>
      </c>
      <c r="AN96" s="34">
        <v>100</v>
      </c>
      <c r="AO96" s="23">
        <f t="shared" si="0"/>
        <v>6915.83</v>
      </c>
      <c r="AP96" s="24">
        <v>6915.83</v>
      </c>
      <c r="AQ96" s="24">
        <v>6915.83</v>
      </c>
      <c r="AR96" s="25">
        <f t="shared" si="1"/>
        <v>0</v>
      </c>
      <c r="AS96" s="25">
        <f t="shared" si="2"/>
        <v>0</v>
      </c>
      <c r="AT96" s="4"/>
    </row>
    <row r="97" spans="1:46" ht="14.25" customHeight="1">
      <c r="A97" s="18">
        <v>93</v>
      </c>
      <c r="B97" s="33" t="s">
        <v>158</v>
      </c>
      <c r="C97" s="33" t="s">
        <v>141</v>
      </c>
      <c r="D97" s="20" t="s">
        <v>144</v>
      </c>
      <c r="E97" s="20">
        <v>1600</v>
      </c>
      <c r="F97" s="38">
        <v>0</v>
      </c>
      <c r="G97" s="38">
        <v>0</v>
      </c>
      <c r="H97" s="34">
        <v>0</v>
      </c>
      <c r="I97" s="34">
        <v>0</v>
      </c>
      <c r="J97" s="34">
        <v>0</v>
      </c>
      <c r="K97" s="34">
        <v>0</v>
      </c>
      <c r="L97" s="34">
        <v>0</v>
      </c>
      <c r="M97" s="34">
        <v>0</v>
      </c>
      <c r="N97" s="34">
        <v>0</v>
      </c>
      <c r="O97" s="34">
        <v>0</v>
      </c>
      <c r="P97" s="34">
        <v>0</v>
      </c>
      <c r="Q97" s="27">
        <v>0</v>
      </c>
      <c r="R97" s="34">
        <v>0</v>
      </c>
      <c r="S97" s="34">
        <v>0</v>
      </c>
      <c r="T97" s="34">
        <v>0</v>
      </c>
      <c r="U97" s="34">
        <v>0</v>
      </c>
      <c r="V97" s="34">
        <v>0</v>
      </c>
      <c r="W97" s="34">
        <v>0</v>
      </c>
      <c r="X97" s="34">
        <v>0</v>
      </c>
      <c r="Y97" s="34">
        <v>0</v>
      </c>
      <c r="Z97" s="34">
        <v>0</v>
      </c>
      <c r="AA97" s="34">
        <v>0</v>
      </c>
      <c r="AB97" s="34">
        <v>0</v>
      </c>
      <c r="AC97" s="34">
        <v>0</v>
      </c>
      <c r="AD97" s="34">
        <v>448</v>
      </c>
      <c r="AE97" s="34">
        <v>896</v>
      </c>
      <c r="AF97" s="34">
        <v>114.83</v>
      </c>
      <c r="AG97" s="34">
        <v>40</v>
      </c>
      <c r="AH97" s="34">
        <v>20</v>
      </c>
      <c r="AI97" s="34">
        <v>346</v>
      </c>
      <c r="AJ97" s="34">
        <v>100</v>
      </c>
      <c r="AK97" s="34">
        <v>0</v>
      </c>
      <c r="AL97" s="34">
        <v>50</v>
      </c>
      <c r="AM97" s="34">
        <v>0</v>
      </c>
      <c r="AN97" s="34">
        <v>100</v>
      </c>
      <c r="AO97" s="23">
        <f t="shared" si="0"/>
        <v>2114.83</v>
      </c>
      <c r="AP97" s="24">
        <v>2114.83</v>
      </c>
      <c r="AQ97" s="24">
        <v>2114.83</v>
      </c>
      <c r="AR97" s="25">
        <f t="shared" si="1"/>
        <v>0</v>
      </c>
      <c r="AS97" s="25">
        <f t="shared" si="2"/>
        <v>0</v>
      </c>
      <c r="AT97" s="4"/>
    </row>
    <row r="98" spans="1:46" ht="14.25" customHeight="1">
      <c r="A98" s="18">
        <v>94</v>
      </c>
      <c r="B98" s="33" t="s">
        <v>159</v>
      </c>
      <c r="C98" s="33" t="s">
        <v>141</v>
      </c>
      <c r="D98" s="20" t="s">
        <v>69</v>
      </c>
      <c r="E98" s="20">
        <v>1600</v>
      </c>
      <c r="F98" s="38">
        <v>0</v>
      </c>
      <c r="G98" s="38">
        <v>0</v>
      </c>
      <c r="H98" s="34">
        <v>0</v>
      </c>
      <c r="I98" s="34">
        <v>220.87</v>
      </c>
      <c r="J98" s="34">
        <v>0</v>
      </c>
      <c r="K98" s="34">
        <v>0</v>
      </c>
      <c r="L98" s="34">
        <v>0</v>
      </c>
      <c r="M98" s="34">
        <v>0</v>
      </c>
      <c r="N98" s="34">
        <v>20</v>
      </c>
      <c r="O98" s="34">
        <v>0</v>
      </c>
      <c r="P98" s="34">
        <v>0</v>
      </c>
      <c r="Q98" s="27">
        <v>54.16</v>
      </c>
      <c r="R98" s="34">
        <v>90</v>
      </c>
      <c r="S98" s="34">
        <v>0</v>
      </c>
      <c r="T98" s="34">
        <v>0</v>
      </c>
      <c r="U98" s="34">
        <v>0</v>
      </c>
      <c r="V98" s="34">
        <v>0</v>
      </c>
      <c r="W98" s="34">
        <v>0</v>
      </c>
      <c r="X98" s="34">
        <v>0</v>
      </c>
      <c r="Y98" s="34">
        <v>100</v>
      </c>
      <c r="Z98" s="34">
        <v>0</v>
      </c>
      <c r="AA98" s="34">
        <v>0</v>
      </c>
      <c r="AB98" s="34">
        <v>0</v>
      </c>
      <c r="AC98" s="34">
        <v>0</v>
      </c>
      <c r="AD98" s="34">
        <v>280</v>
      </c>
      <c r="AE98" s="34">
        <v>560</v>
      </c>
      <c r="AF98" s="34">
        <v>109.77</v>
      </c>
      <c r="AG98" s="34">
        <v>240</v>
      </c>
      <c r="AH98" s="34">
        <v>390</v>
      </c>
      <c r="AI98" s="34">
        <v>256</v>
      </c>
      <c r="AJ98" s="34">
        <v>110</v>
      </c>
      <c r="AK98" s="34">
        <v>0</v>
      </c>
      <c r="AL98" s="34">
        <v>0</v>
      </c>
      <c r="AM98" s="34">
        <v>0</v>
      </c>
      <c r="AN98" s="34">
        <v>180</v>
      </c>
      <c r="AO98" s="23">
        <f t="shared" si="0"/>
        <v>2610.8000000000002</v>
      </c>
      <c r="AP98" s="24">
        <v>2610.8000000000002</v>
      </c>
      <c r="AQ98" s="24">
        <v>2610.8000000000002</v>
      </c>
      <c r="AR98" s="25">
        <f t="shared" si="1"/>
        <v>0</v>
      </c>
      <c r="AS98" s="25">
        <f t="shared" si="2"/>
        <v>0</v>
      </c>
      <c r="AT98" s="4"/>
    </row>
    <row r="99" spans="1:46" ht="14.25" customHeight="1">
      <c r="A99" s="18">
        <v>95</v>
      </c>
      <c r="B99" s="33" t="s">
        <v>160</v>
      </c>
      <c r="C99" s="33" t="s">
        <v>141</v>
      </c>
      <c r="D99" s="20" t="s">
        <v>144</v>
      </c>
      <c r="E99" s="20">
        <v>1600</v>
      </c>
      <c r="F99" s="38">
        <v>0</v>
      </c>
      <c r="G99" s="38">
        <v>0</v>
      </c>
      <c r="H99" s="34">
        <v>816</v>
      </c>
      <c r="I99" s="34">
        <v>172.5</v>
      </c>
      <c r="J99" s="34">
        <v>0</v>
      </c>
      <c r="K99" s="34">
        <v>0</v>
      </c>
      <c r="L99" s="34">
        <v>0</v>
      </c>
      <c r="M99" s="34">
        <v>0</v>
      </c>
      <c r="N99" s="34">
        <v>50</v>
      </c>
      <c r="O99" s="34">
        <v>0</v>
      </c>
      <c r="P99" s="34">
        <v>0</v>
      </c>
      <c r="Q99" s="27">
        <v>0</v>
      </c>
      <c r="R99" s="34">
        <v>100</v>
      </c>
      <c r="S99" s="34">
        <v>0</v>
      </c>
      <c r="T99" s="34">
        <v>0</v>
      </c>
      <c r="U99" s="34">
        <v>0</v>
      </c>
      <c r="V99" s="34">
        <v>0</v>
      </c>
      <c r="W99" s="34">
        <v>0</v>
      </c>
      <c r="X99" s="34">
        <v>0</v>
      </c>
      <c r="Y99" s="34">
        <v>0</v>
      </c>
      <c r="Z99" s="34">
        <v>0</v>
      </c>
      <c r="AA99" s="34">
        <v>0</v>
      </c>
      <c r="AB99" s="34">
        <v>0</v>
      </c>
      <c r="AC99" s="34">
        <v>0</v>
      </c>
      <c r="AD99" s="34">
        <v>336</v>
      </c>
      <c r="AE99" s="34">
        <v>672</v>
      </c>
      <c r="AF99" s="34">
        <v>66</v>
      </c>
      <c r="AG99" s="34">
        <v>130</v>
      </c>
      <c r="AH99" s="34">
        <v>100</v>
      </c>
      <c r="AI99" s="34">
        <v>56</v>
      </c>
      <c r="AJ99" s="34">
        <v>100</v>
      </c>
      <c r="AK99" s="34">
        <v>0</v>
      </c>
      <c r="AL99" s="34">
        <v>0</v>
      </c>
      <c r="AM99" s="34">
        <v>0</v>
      </c>
      <c r="AN99" s="34">
        <v>100</v>
      </c>
      <c r="AO99" s="23">
        <f t="shared" si="0"/>
        <v>2698.5</v>
      </c>
      <c r="AP99" s="24">
        <v>2698.5</v>
      </c>
      <c r="AQ99" s="24">
        <v>2698.5</v>
      </c>
      <c r="AR99" s="25">
        <f t="shared" si="1"/>
        <v>0</v>
      </c>
      <c r="AS99" s="25">
        <f t="shared" si="2"/>
        <v>0</v>
      </c>
      <c r="AT99" s="4"/>
    </row>
    <row r="100" spans="1:46" ht="14.25" customHeight="1">
      <c r="A100" s="18">
        <v>96</v>
      </c>
      <c r="B100" s="33" t="s">
        <v>161</v>
      </c>
      <c r="C100" s="33" t="s">
        <v>141</v>
      </c>
      <c r="D100" s="20" t="s">
        <v>144</v>
      </c>
      <c r="E100" s="20">
        <v>1600</v>
      </c>
      <c r="F100" s="38">
        <v>300</v>
      </c>
      <c r="G100" s="38">
        <v>0</v>
      </c>
      <c r="H100" s="34">
        <v>301</v>
      </c>
      <c r="I100" s="34">
        <v>215</v>
      </c>
      <c r="J100" s="34">
        <v>0</v>
      </c>
      <c r="K100" s="34">
        <v>0</v>
      </c>
      <c r="L100" s="34">
        <v>0</v>
      </c>
      <c r="M100" s="34">
        <v>0</v>
      </c>
      <c r="N100" s="34">
        <v>0</v>
      </c>
      <c r="O100" s="34">
        <v>0</v>
      </c>
      <c r="P100" s="34">
        <v>0</v>
      </c>
      <c r="Q100" s="27">
        <v>10</v>
      </c>
      <c r="R100" s="34">
        <v>100</v>
      </c>
      <c r="S100" s="34">
        <v>245</v>
      </c>
      <c r="T100" s="34">
        <v>0</v>
      </c>
      <c r="U100" s="34">
        <v>0</v>
      </c>
      <c r="V100" s="34">
        <v>0</v>
      </c>
      <c r="W100" s="34">
        <v>0</v>
      </c>
      <c r="X100" s="34">
        <v>0</v>
      </c>
      <c r="Y100" s="34">
        <v>100</v>
      </c>
      <c r="Z100" s="34">
        <v>0</v>
      </c>
      <c r="AA100" s="34">
        <v>0</v>
      </c>
      <c r="AB100" s="34">
        <v>0</v>
      </c>
      <c r="AC100" s="34">
        <v>0</v>
      </c>
      <c r="AD100" s="34">
        <v>280</v>
      </c>
      <c r="AE100" s="34">
        <v>560</v>
      </c>
      <c r="AF100" s="34">
        <v>119</v>
      </c>
      <c r="AG100" s="34">
        <v>80</v>
      </c>
      <c r="AH100" s="34">
        <v>60</v>
      </c>
      <c r="AI100" s="34">
        <v>514</v>
      </c>
      <c r="AJ100" s="34">
        <v>290</v>
      </c>
      <c r="AK100" s="34">
        <v>0</v>
      </c>
      <c r="AL100" s="34">
        <v>0</v>
      </c>
      <c r="AM100" s="34">
        <v>0</v>
      </c>
      <c r="AN100" s="34">
        <v>100</v>
      </c>
      <c r="AO100" s="23">
        <f t="shared" si="0"/>
        <v>3274</v>
      </c>
      <c r="AP100" s="24">
        <v>3274</v>
      </c>
      <c r="AQ100" s="24">
        <v>3274</v>
      </c>
      <c r="AR100" s="25">
        <f t="shared" si="1"/>
        <v>0</v>
      </c>
      <c r="AS100" s="25">
        <f t="shared" si="2"/>
        <v>0</v>
      </c>
      <c r="AT100" s="4"/>
    </row>
    <row r="101" spans="1:46" ht="14.25" customHeight="1">
      <c r="A101" s="18">
        <v>97</v>
      </c>
      <c r="B101" s="33" t="s">
        <v>162</v>
      </c>
      <c r="C101" s="33" t="s">
        <v>141</v>
      </c>
      <c r="D101" s="20" t="s">
        <v>69</v>
      </c>
      <c r="E101" s="20">
        <v>1600</v>
      </c>
      <c r="F101" s="38">
        <v>0</v>
      </c>
      <c r="G101" s="38">
        <v>0</v>
      </c>
      <c r="H101" s="34">
        <v>0</v>
      </c>
      <c r="I101" s="34">
        <v>50</v>
      </c>
      <c r="J101" s="34">
        <v>0</v>
      </c>
      <c r="K101" s="34">
        <v>0</v>
      </c>
      <c r="L101" s="34">
        <v>0</v>
      </c>
      <c r="M101" s="34">
        <v>0</v>
      </c>
      <c r="N101" s="34">
        <v>0</v>
      </c>
      <c r="O101" s="34">
        <v>0</v>
      </c>
      <c r="P101" s="34">
        <v>0</v>
      </c>
      <c r="Q101" s="27">
        <v>0</v>
      </c>
      <c r="R101" s="34">
        <v>0</v>
      </c>
      <c r="S101" s="34">
        <v>0</v>
      </c>
      <c r="T101" s="34">
        <v>0</v>
      </c>
      <c r="U101" s="34">
        <v>0</v>
      </c>
      <c r="V101" s="34">
        <v>0</v>
      </c>
      <c r="W101" s="34">
        <v>0</v>
      </c>
      <c r="X101" s="34">
        <v>0</v>
      </c>
      <c r="Y101" s="34">
        <v>100</v>
      </c>
      <c r="Z101" s="34">
        <v>0</v>
      </c>
      <c r="AA101" s="34">
        <v>0</v>
      </c>
      <c r="AB101" s="34">
        <v>0</v>
      </c>
      <c r="AC101" s="34">
        <v>0</v>
      </c>
      <c r="AD101" s="34">
        <v>420</v>
      </c>
      <c r="AE101" s="34">
        <v>840</v>
      </c>
      <c r="AF101" s="34">
        <v>139.61000000000001</v>
      </c>
      <c r="AG101" s="34">
        <v>260</v>
      </c>
      <c r="AH101" s="34">
        <v>30</v>
      </c>
      <c r="AI101" s="34">
        <v>256</v>
      </c>
      <c r="AJ101" s="34">
        <v>40</v>
      </c>
      <c r="AK101" s="34">
        <v>0</v>
      </c>
      <c r="AL101" s="34">
        <v>0</v>
      </c>
      <c r="AM101" s="34">
        <v>0</v>
      </c>
      <c r="AN101" s="34">
        <v>100</v>
      </c>
      <c r="AO101" s="23">
        <f t="shared" si="0"/>
        <v>2235.61</v>
      </c>
      <c r="AP101" s="24">
        <v>2235.61</v>
      </c>
      <c r="AQ101" s="24">
        <v>2235.61</v>
      </c>
      <c r="AR101" s="25">
        <f t="shared" si="1"/>
        <v>0</v>
      </c>
      <c r="AS101" s="25">
        <f t="shared" si="2"/>
        <v>0</v>
      </c>
      <c r="AT101" s="4"/>
    </row>
    <row r="102" spans="1:46" ht="14.25" customHeight="1">
      <c r="A102" s="18">
        <v>98</v>
      </c>
      <c r="B102" s="33" t="s">
        <v>163</v>
      </c>
      <c r="C102" s="33" t="s">
        <v>141</v>
      </c>
      <c r="D102" s="20" t="s">
        <v>144</v>
      </c>
      <c r="E102" s="20">
        <v>1600</v>
      </c>
      <c r="F102" s="38">
        <v>0</v>
      </c>
      <c r="G102" s="38">
        <v>0</v>
      </c>
      <c r="H102" s="34">
        <v>0</v>
      </c>
      <c r="I102" s="34">
        <v>20.84</v>
      </c>
      <c r="J102" s="34">
        <v>0</v>
      </c>
      <c r="K102" s="34">
        <v>0</v>
      </c>
      <c r="L102" s="34">
        <v>0</v>
      </c>
      <c r="M102" s="34">
        <v>0</v>
      </c>
      <c r="N102" s="34">
        <v>53.33</v>
      </c>
      <c r="O102" s="34">
        <v>0</v>
      </c>
      <c r="P102" s="34">
        <v>0</v>
      </c>
      <c r="Q102" s="27">
        <v>0</v>
      </c>
      <c r="R102" s="34">
        <v>0</v>
      </c>
      <c r="S102" s="34">
        <v>50</v>
      </c>
      <c r="T102" s="34">
        <v>0</v>
      </c>
      <c r="U102" s="34">
        <v>0</v>
      </c>
      <c r="V102" s="34">
        <v>0</v>
      </c>
      <c r="W102" s="34">
        <v>0</v>
      </c>
      <c r="X102" s="34">
        <v>0</v>
      </c>
      <c r="Y102" s="34">
        <v>0</v>
      </c>
      <c r="Z102" s="34">
        <v>0</v>
      </c>
      <c r="AA102" s="34">
        <v>0</v>
      </c>
      <c r="AB102" s="34">
        <v>0</v>
      </c>
      <c r="AC102" s="34">
        <v>0</v>
      </c>
      <c r="AD102" s="34">
        <v>336</v>
      </c>
      <c r="AE102" s="34">
        <v>672</v>
      </c>
      <c r="AF102" s="34">
        <v>171.83</v>
      </c>
      <c r="AG102" s="34">
        <v>990</v>
      </c>
      <c r="AH102" s="34">
        <v>70</v>
      </c>
      <c r="AI102" s="34">
        <v>346</v>
      </c>
      <c r="AJ102" s="34">
        <v>30</v>
      </c>
      <c r="AK102" s="34">
        <v>0</v>
      </c>
      <c r="AL102" s="34">
        <v>0</v>
      </c>
      <c r="AM102" s="34">
        <v>0</v>
      </c>
      <c r="AN102" s="34">
        <v>100</v>
      </c>
      <c r="AO102" s="23">
        <f t="shared" si="0"/>
        <v>2840</v>
      </c>
      <c r="AP102" s="24">
        <v>2840</v>
      </c>
      <c r="AQ102" s="24">
        <v>2840</v>
      </c>
      <c r="AR102" s="25">
        <f t="shared" si="1"/>
        <v>0</v>
      </c>
      <c r="AS102" s="25">
        <f t="shared" si="2"/>
        <v>0</v>
      </c>
      <c r="AT102" s="4"/>
    </row>
    <row r="103" spans="1:46" ht="14.25" customHeight="1">
      <c r="A103" s="18">
        <v>99</v>
      </c>
      <c r="B103" s="33" t="s">
        <v>164</v>
      </c>
      <c r="C103" s="33" t="s">
        <v>141</v>
      </c>
      <c r="D103" s="20" t="s">
        <v>144</v>
      </c>
      <c r="E103" s="20">
        <v>1600</v>
      </c>
      <c r="F103" s="38">
        <v>0</v>
      </c>
      <c r="G103" s="38">
        <v>0</v>
      </c>
      <c r="H103" s="34">
        <v>0</v>
      </c>
      <c r="I103" s="34">
        <v>0</v>
      </c>
      <c r="J103" s="34">
        <v>0</v>
      </c>
      <c r="K103" s="34">
        <v>0</v>
      </c>
      <c r="L103" s="34">
        <v>0</v>
      </c>
      <c r="M103" s="34">
        <v>0</v>
      </c>
      <c r="N103" s="34">
        <v>0</v>
      </c>
      <c r="O103" s="34">
        <v>0</v>
      </c>
      <c r="P103" s="34">
        <v>0</v>
      </c>
      <c r="Q103" s="27">
        <v>0</v>
      </c>
      <c r="R103" s="34">
        <v>0</v>
      </c>
      <c r="S103" s="34">
        <v>0</v>
      </c>
      <c r="T103" s="34">
        <v>0</v>
      </c>
      <c r="U103" s="34">
        <v>0</v>
      </c>
      <c r="V103" s="34">
        <v>0</v>
      </c>
      <c r="W103" s="34">
        <v>0</v>
      </c>
      <c r="X103" s="34">
        <v>0</v>
      </c>
      <c r="Y103" s="34">
        <v>0</v>
      </c>
      <c r="Z103" s="34">
        <v>0</v>
      </c>
      <c r="AA103" s="34">
        <v>0</v>
      </c>
      <c r="AB103" s="34">
        <v>0</v>
      </c>
      <c r="AC103" s="34">
        <v>0</v>
      </c>
      <c r="AD103" s="34">
        <v>448</v>
      </c>
      <c r="AE103" s="34">
        <v>896</v>
      </c>
      <c r="AF103" s="34">
        <v>203.45</v>
      </c>
      <c r="AG103" s="34">
        <v>60</v>
      </c>
      <c r="AH103" s="34">
        <v>0</v>
      </c>
      <c r="AI103" s="34">
        <v>314</v>
      </c>
      <c r="AJ103" s="34">
        <v>0</v>
      </c>
      <c r="AK103" s="34">
        <v>0</v>
      </c>
      <c r="AL103" s="34">
        <v>0</v>
      </c>
      <c r="AM103" s="34">
        <v>0</v>
      </c>
      <c r="AN103" s="34">
        <v>100</v>
      </c>
      <c r="AO103" s="23">
        <f t="shared" si="0"/>
        <v>2021.45</v>
      </c>
      <c r="AP103" s="24">
        <v>2021.45</v>
      </c>
      <c r="AQ103" s="24">
        <v>2021.45</v>
      </c>
      <c r="AR103" s="25">
        <f t="shared" si="1"/>
        <v>0</v>
      </c>
      <c r="AS103" s="25">
        <f t="shared" si="2"/>
        <v>0</v>
      </c>
      <c r="AT103" s="4"/>
    </row>
    <row r="104" spans="1:46" ht="14.25" customHeight="1">
      <c r="A104" s="18">
        <v>100</v>
      </c>
      <c r="B104" s="33" t="s">
        <v>165</v>
      </c>
      <c r="C104" s="33" t="s">
        <v>141</v>
      </c>
      <c r="D104" s="20" t="s">
        <v>52</v>
      </c>
      <c r="E104" s="20">
        <v>1600</v>
      </c>
      <c r="F104" s="38">
        <v>33.33</v>
      </c>
      <c r="G104" s="38">
        <v>0</v>
      </c>
      <c r="H104" s="34">
        <v>0</v>
      </c>
      <c r="I104" s="34">
        <v>87.15</v>
      </c>
      <c r="J104" s="34">
        <v>0</v>
      </c>
      <c r="K104" s="34">
        <v>0</v>
      </c>
      <c r="L104" s="34">
        <v>0</v>
      </c>
      <c r="M104" s="34">
        <v>0</v>
      </c>
      <c r="N104" s="34">
        <v>8.33</v>
      </c>
      <c r="O104" s="34">
        <v>0</v>
      </c>
      <c r="P104" s="34">
        <v>0</v>
      </c>
      <c r="Q104" s="27">
        <v>52.33</v>
      </c>
      <c r="R104" s="34">
        <v>50</v>
      </c>
      <c r="S104" s="34">
        <v>0</v>
      </c>
      <c r="T104" s="34">
        <v>0</v>
      </c>
      <c r="U104" s="34">
        <v>0</v>
      </c>
      <c r="V104" s="34">
        <v>0</v>
      </c>
      <c r="W104" s="34">
        <v>0</v>
      </c>
      <c r="X104" s="34">
        <v>0</v>
      </c>
      <c r="Y104" s="34">
        <v>0</v>
      </c>
      <c r="Z104" s="34">
        <v>0</v>
      </c>
      <c r="AA104" s="34">
        <v>0</v>
      </c>
      <c r="AB104" s="34">
        <v>100</v>
      </c>
      <c r="AC104" s="34">
        <v>0</v>
      </c>
      <c r="AD104" s="34">
        <v>308</v>
      </c>
      <c r="AE104" s="34">
        <v>616</v>
      </c>
      <c r="AF104" s="34">
        <v>189.18</v>
      </c>
      <c r="AG104" s="34">
        <v>0</v>
      </c>
      <c r="AH104" s="34">
        <v>500</v>
      </c>
      <c r="AI104" s="34">
        <v>624</v>
      </c>
      <c r="AJ104" s="34">
        <v>30</v>
      </c>
      <c r="AK104" s="34">
        <v>0</v>
      </c>
      <c r="AL104" s="34">
        <v>0</v>
      </c>
      <c r="AM104" s="34">
        <v>0</v>
      </c>
      <c r="AN104" s="34">
        <v>100</v>
      </c>
      <c r="AO104" s="23">
        <f t="shared" si="0"/>
        <v>2698.3199999999997</v>
      </c>
      <c r="AP104" s="24">
        <v>2698.32</v>
      </c>
      <c r="AQ104" s="24">
        <v>2698.32</v>
      </c>
      <c r="AR104" s="25">
        <f t="shared" si="1"/>
        <v>0</v>
      </c>
      <c r="AS104" s="25">
        <f t="shared" si="2"/>
        <v>0</v>
      </c>
      <c r="AT104" s="4"/>
    </row>
    <row r="105" spans="1:46" ht="14.25" customHeight="1">
      <c r="A105" s="18">
        <v>101</v>
      </c>
      <c r="B105" s="33" t="s">
        <v>166</v>
      </c>
      <c r="C105" s="33" t="s">
        <v>141</v>
      </c>
      <c r="D105" s="20" t="s">
        <v>144</v>
      </c>
      <c r="E105" s="20">
        <v>1600</v>
      </c>
      <c r="F105" s="38">
        <v>0</v>
      </c>
      <c r="G105" s="38">
        <v>0</v>
      </c>
      <c r="H105" s="34">
        <v>0</v>
      </c>
      <c r="I105" s="34">
        <v>100</v>
      </c>
      <c r="J105" s="34">
        <v>0</v>
      </c>
      <c r="K105" s="34">
        <v>0</v>
      </c>
      <c r="L105" s="34">
        <v>0</v>
      </c>
      <c r="M105" s="34">
        <v>0</v>
      </c>
      <c r="N105" s="34">
        <v>100</v>
      </c>
      <c r="O105" s="34">
        <v>0</v>
      </c>
      <c r="P105" s="34">
        <v>0</v>
      </c>
      <c r="Q105" s="27">
        <v>0</v>
      </c>
      <c r="R105" s="34">
        <v>0</v>
      </c>
      <c r="S105" s="34">
        <v>0</v>
      </c>
      <c r="T105" s="34">
        <v>0</v>
      </c>
      <c r="U105" s="34">
        <v>0</v>
      </c>
      <c r="V105" s="34">
        <v>0</v>
      </c>
      <c r="W105" s="34">
        <v>0</v>
      </c>
      <c r="X105" s="34">
        <v>0</v>
      </c>
      <c r="Y105" s="34">
        <v>0</v>
      </c>
      <c r="Z105" s="34">
        <v>0</v>
      </c>
      <c r="AA105" s="34">
        <v>0</v>
      </c>
      <c r="AB105" s="34">
        <v>0</v>
      </c>
      <c r="AC105" s="34">
        <v>0</v>
      </c>
      <c r="AD105" s="34">
        <v>434</v>
      </c>
      <c r="AE105" s="34">
        <v>868</v>
      </c>
      <c r="AF105" s="34">
        <v>91.75</v>
      </c>
      <c r="AG105" s="34">
        <v>20</v>
      </c>
      <c r="AH105" s="34">
        <v>240</v>
      </c>
      <c r="AI105" s="34">
        <v>256</v>
      </c>
      <c r="AJ105" s="34">
        <v>30</v>
      </c>
      <c r="AK105" s="34">
        <v>0</v>
      </c>
      <c r="AL105" s="34">
        <v>0</v>
      </c>
      <c r="AM105" s="34">
        <v>0</v>
      </c>
      <c r="AN105" s="34">
        <v>180</v>
      </c>
      <c r="AO105" s="23">
        <f t="shared" si="0"/>
        <v>2319.75</v>
      </c>
      <c r="AP105" s="24">
        <v>2319.75</v>
      </c>
      <c r="AQ105" s="24">
        <v>2319.75</v>
      </c>
      <c r="AR105" s="25">
        <f t="shared" si="1"/>
        <v>0</v>
      </c>
      <c r="AS105" s="25">
        <f t="shared" si="2"/>
        <v>0</v>
      </c>
      <c r="AT105" s="4"/>
    </row>
    <row r="106" spans="1:46" ht="14.25" customHeight="1">
      <c r="A106" s="18">
        <v>102</v>
      </c>
      <c r="B106" s="33" t="s">
        <v>167</v>
      </c>
      <c r="C106" s="33" t="s">
        <v>141</v>
      </c>
      <c r="D106" s="20" t="s">
        <v>52</v>
      </c>
      <c r="E106" s="20">
        <v>1600</v>
      </c>
      <c r="F106" s="38">
        <v>0</v>
      </c>
      <c r="G106" s="38">
        <v>115</v>
      </c>
      <c r="H106" s="34">
        <v>0</v>
      </c>
      <c r="I106" s="34">
        <v>50</v>
      </c>
      <c r="J106" s="34">
        <v>0</v>
      </c>
      <c r="K106" s="34">
        <v>0</v>
      </c>
      <c r="L106" s="34">
        <v>0</v>
      </c>
      <c r="M106" s="34">
        <v>300</v>
      </c>
      <c r="N106" s="34">
        <v>0</v>
      </c>
      <c r="O106" s="34">
        <v>0</v>
      </c>
      <c r="P106" s="34">
        <v>0</v>
      </c>
      <c r="Q106" s="27">
        <v>5</v>
      </c>
      <c r="R106" s="34">
        <v>100</v>
      </c>
      <c r="S106" s="34">
        <v>200</v>
      </c>
      <c r="T106" s="34">
        <v>0</v>
      </c>
      <c r="U106" s="34">
        <v>0</v>
      </c>
      <c r="V106" s="34">
        <v>0</v>
      </c>
      <c r="W106" s="34">
        <v>0</v>
      </c>
      <c r="X106" s="34">
        <v>0</v>
      </c>
      <c r="Y106" s="34">
        <v>0</v>
      </c>
      <c r="Z106" s="34">
        <v>0</v>
      </c>
      <c r="AA106" s="34">
        <v>0</v>
      </c>
      <c r="AB106" s="34">
        <v>0</v>
      </c>
      <c r="AC106" s="34">
        <v>0</v>
      </c>
      <c r="AD106" s="34">
        <v>252</v>
      </c>
      <c r="AE106" s="34">
        <v>504</v>
      </c>
      <c r="AF106" s="34">
        <v>299.88</v>
      </c>
      <c r="AG106" s="34">
        <v>40</v>
      </c>
      <c r="AH106" s="34">
        <v>610</v>
      </c>
      <c r="AI106" s="34">
        <v>452</v>
      </c>
      <c r="AJ106" s="34">
        <v>30</v>
      </c>
      <c r="AK106" s="34">
        <v>0</v>
      </c>
      <c r="AL106" s="34">
        <v>0</v>
      </c>
      <c r="AM106" s="34">
        <v>0</v>
      </c>
      <c r="AN106" s="34">
        <v>156</v>
      </c>
      <c r="AO106" s="23">
        <f t="shared" si="0"/>
        <v>3113.88</v>
      </c>
      <c r="AP106" s="24">
        <v>3113.88</v>
      </c>
      <c r="AQ106" s="24">
        <v>3113.88</v>
      </c>
      <c r="AR106" s="25">
        <f t="shared" si="1"/>
        <v>0</v>
      </c>
      <c r="AS106" s="25">
        <f t="shared" si="2"/>
        <v>0</v>
      </c>
      <c r="AT106" s="4"/>
    </row>
    <row r="107" spans="1:46" ht="14.25" customHeight="1">
      <c r="A107" s="18">
        <v>103</v>
      </c>
      <c r="B107" s="33" t="s">
        <v>168</v>
      </c>
      <c r="C107" s="33" t="s">
        <v>141</v>
      </c>
      <c r="D107" s="20" t="s">
        <v>52</v>
      </c>
      <c r="E107" s="20">
        <v>1600</v>
      </c>
      <c r="F107" s="38">
        <v>933.34</v>
      </c>
      <c r="G107" s="38">
        <v>0</v>
      </c>
      <c r="H107" s="34">
        <v>499</v>
      </c>
      <c r="I107" s="34">
        <v>1004.16</v>
      </c>
      <c r="J107" s="34">
        <v>0</v>
      </c>
      <c r="K107" s="34">
        <v>0</v>
      </c>
      <c r="L107" s="34">
        <v>0</v>
      </c>
      <c r="M107" s="34">
        <v>0</v>
      </c>
      <c r="N107" s="34">
        <v>0</v>
      </c>
      <c r="O107" s="34">
        <v>0</v>
      </c>
      <c r="P107" s="34">
        <v>0</v>
      </c>
      <c r="Q107" s="27">
        <v>20</v>
      </c>
      <c r="R107" s="34">
        <v>0</v>
      </c>
      <c r="S107" s="34">
        <v>0</v>
      </c>
      <c r="T107" s="34">
        <v>0</v>
      </c>
      <c r="U107" s="34">
        <v>0</v>
      </c>
      <c r="V107" s="34">
        <v>0</v>
      </c>
      <c r="W107" s="34">
        <v>0</v>
      </c>
      <c r="X107" s="34">
        <v>0</v>
      </c>
      <c r="Y107" s="34">
        <v>450</v>
      </c>
      <c r="Z107" s="34">
        <v>0</v>
      </c>
      <c r="AA107" s="34">
        <v>0</v>
      </c>
      <c r="AB107" s="34">
        <v>100</v>
      </c>
      <c r="AC107" s="34">
        <v>0</v>
      </c>
      <c r="AD107" s="34">
        <v>196</v>
      </c>
      <c r="AE107" s="34">
        <v>392</v>
      </c>
      <c r="AF107" s="34">
        <v>160.43</v>
      </c>
      <c r="AG107" s="34">
        <v>20</v>
      </c>
      <c r="AH107" s="34">
        <v>130</v>
      </c>
      <c r="AI107" s="34">
        <v>452</v>
      </c>
      <c r="AJ107" s="34">
        <v>30</v>
      </c>
      <c r="AK107" s="34">
        <v>0</v>
      </c>
      <c r="AL107" s="34">
        <v>0</v>
      </c>
      <c r="AM107" s="34">
        <v>0</v>
      </c>
      <c r="AN107" s="34">
        <v>108</v>
      </c>
      <c r="AO107" s="23">
        <f t="shared" si="0"/>
        <v>4494.93</v>
      </c>
      <c r="AP107" s="24">
        <v>4494.93</v>
      </c>
      <c r="AQ107" s="24">
        <v>4494.93</v>
      </c>
      <c r="AR107" s="25">
        <f t="shared" si="1"/>
        <v>0</v>
      </c>
      <c r="AS107" s="25">
        <f t="shared" si="2"/>
        <v>0</v>
      </c>
      <c r="AT107" s="4"/>
    </row>
    <row r="108" spans="1:46" ht="45" customHeight="1">
      <c r="A108" s="47" t="s">
        <v>169</v>
      </c>
      <c r="B108" s="48"/>
      <c r="C108" s="48"/>
      <c r="D108" s="48"/>
      <c r="E108" s="49">
        <f t="shared" ref="E108:AN108" si="3">SUM(E5:E107)</f>
        <v>164800</v>
      </c>
      <c r="F108" s="50">
        <f t="shared" si="3"/>
        <v>51561.68619047619</v>
      </c>
      <c r="G108" s="50">
        <f t="shared" si="3"/>
        <v>1716.66</v>
      </c>
      <c r="H108" s="50">
        <f t="shared" si="3"/>
        <v>5159.9799999999996</v>
      </c>
      <c r="I108" s="50">
        <f t="shared" si="3"/>
        <v>27190.334603174597</v>
      </c>
      <c r="J108" s="50">
        <f t="shared" si="3"/>
        <v>0</v>
      </c>
      <c r="K108" s="50">
        <f t="shared" si="3"/>
        <v>2866.6666666666665</v>
      </c>
      <c r="L108" s="50">
        <f t="shared" si="3"/>
        <v>0</v>
      </c>
      <c r="M108" s="50">
        <f t="shared" si="3"/>
        <v>300</v>
      </c>
      <c r="N108" s="50">
        <f t="shared" si="3"/>
        <v>3685.8266666666668</v>
      </c>
      <c r="O108" s="50">
        <f t="shared" si="3"/>
        <v>7677</v>
      </c>
      <c r="P108" s="50">
        <f t="shared" si="3"/>
        <v>900.00333333333333</v>
      </c>
      <c r="Q108" s="50">
        <f t="shared" si="3"/>
        <v>4597.1753968253961</v>
      </c>
      <c r="R108" s="50">
        <f t="shared" si="3"/>
        <v>26605</v>
      </c>
      <c r="S108" s="50">
        <f t="shared" si="3"/>
        <v>8042.5</v>
      </c>
      <c r="T108" s="50">
        <f t="shared" si="3"/>
        <v>0</v>
      </c>
      <c r="U108" s="50">
        <f t="shared" si="3"/>
        <v>0</v>
      </c>
      <c r="V108" s="50">
        <f t="shared" si="3"/>
        <v>50</v>
      </c>
      <c r="W108" s="50">
        <f t="shared" si="3"/>
        <v>0</v>
      </c>
      <c r="X108" s="50">
        <f t="shared" si="3"/>
        <v>300</v>
      </c>
      <c r="Y108" s="50">
        <f t="shared" si="3"/>
        <v>5700</v>
      </c>
      <c r="Z108" s="50">
        <f t="shared" si="3"/>
        <v>2565</v>
      </c>
      <c r="AA108" s="50">
        <f t="shared" si="3"/>
        <v>0</v>
      </c>
      <c r="AB108" s="50">
        <f t="shared" si="3"/>
        <v>900</v>
      </c>
      <c r="AC108" s="50">
        <f t="shared" si="3"/>
        <v>190</v>
      </c>
      <c r="AD108" s="50">
        <f t="shared" si="3"/>
        <v>32046</v>
      </c>
      <c r="AE108" s="50">
        <f t="shared" si="3"/>
        <v>64820</v>
      </c>
      <c r="AF108" s="50">
        <f t="shared" si="3"/>
        <v>14888.774666666668</v>
      </c>
      <c r="AG108" s="50">
        <f t="shared" si="3"/>
        <v>13054.993333333332</v>
      </c>
      <c r="AH108" s="50">
        <f t="shared" si="3"/>
        <v>11760</v>
      </c>
      <c r="AI108" s="50">
        <f t="shared" si="3"/>
        <v>28166</v>
      </c>
      <c r="AJ108" s="50">
        <f t="shared" si="3"/>
        <v>5634</v>
      </c>
      <c r="AK108" s="50">
        <f t="shared" si="3"/>
        <v>190</v>
      </c>
      <c r="AL108" s="50">
        <f t="shared" si="3"/>
        <v>1200</v>
      </c>
      <c r="AM108" s="50">
        <f t="shared" si="3"/>
        <v>0</v>
      </c>
      <c r="AN108" s="50">
        <f t="shared" si="3"/>
        <v>9769.1666666666661</v>
      </c>
      <c r="AO108" s="23">
        <f t="shared" si="0"/>
        <v>331536.76752380951</v>
      </c>
      <c r="AP108" s="51"/>
      <c r="AQ108" s="51">
        <f>AVERAGE(AQ5:AQ107)</f>
        <v>3218.8037864077673</v>
      </c>
      <c r="AR108" s="51"/>
      <c r="AS108" s="51"/>
      <c r="AT108" s="4"/>
    </row>
    <row r="109" spans="1:46" ht="45" customHeight="1">
      <c r="A109" s="47" t="s">
        <v>170</v>
      </c>
      <c r="B109" s="48"/>
      <c r="C109" s="48"/>
      <c r="D109" s="48"/>
      <c r="E109" s="48"/>
      <c r="F109" s="50">
        <f>'IC01'!V168</f>
        <v>51561.683333333349</v>
      </c>
      <c r="G109" s="50">
        <f>'IC02'!L20</f>
        <v>1716.66</v>
      </c>
      <c r="H109" s="50">
        <f>'IC03'!L35</f>
        <v>5159.9799999999996</v>
      </c>
      <c r="I109" s="50">
        <f>'IC04'!K1342</f>
        <v>27190.329365079284</v>
      </c>
      <c r="J109" s="50">
        <f>'IC05'!L15</f>
        <v>0</v>
      </c>
      <c r="K109" s="50">
        <f>'IC06'!I28</f>
        <v>2866.6666666666665</v>
      </c>
      <c r="L109" s="50">
        <f>'IC07'!H12</f>
        <v>0</v>
      </c>
      <c r="M109" s="50">
        <f>'IC08'!I17</f>
        <v>300</v>
      </c>
      <c r="N109" s="50">
        <f>'IC09'!N88</f>
        <v>3685.8266666666659</v>
      </c>
      <c r="O109" s="50">
        <f>'IC10'!M42</f>
        <v>7677</v>
      </c>
      <c r="P109" s="50">
        <f>'IC11'!J26</f>
        <v>900.00333333333333</v>
      </c>
      <c r="Q109" s="50">
        <f>'IC12'!K590</f>
        <v>4597.1773015872986</v>
      </c>
      <c r="R109" s="50">
        <f>'IC13'!I424</f>
        <v>26605</v>
      </c>
      <c r="S109" s="50">
        <f>'IC14'!O117</f>
        <v>8042.5</v>
      </c>
      <c r="T109" s="50">
        <f>'IC15'!I12</f>
        <v>0</v>
      </c>
      <c r="U109" s="50">
        <f>'IC16'!H13</f>
        <v>0</v>
      </c>
      <c r="V109" s="50">
        <f>'IC17'!I15</f>
        <v>50</v>
      </c>
      <c r="W109" s="50">
        <f>'ID01'!M14</f>
        <v>0</v>
      </c>
      <c r="X109" s="50">
        <f>'ID02'!L13</f>
        <v>300</v>
      </c>
      <c r="Y109" s="50">
        <f>'ID03'!H46</f>
        <v>5700</v>
      </c>
      <c r="Z109" s="50">
        <f>'ID04'!H37</f>
        <v>2565</v>
      </c>
      <c r="AA109" s="50">
        <f>'ID05'!H15</f>
        <v>0</v>
      </c>
      <c r="AB109" s="50">
        <f>'ID06'!F22</f>
        <v>900</v>
      </c>
      <c r="AC109" s="50">
        <f>'ID07'!F22</f>
        <v>190</v>
      </c>
      <c r="AD109" s="50">
        <f>'ID08'!E129</f>
        <v>32046</v>
      </c>
      <c r="AE109" s="50">
        <f>'ID09'!E131</f>
        <v>64820</v>
      </c>
      <c r="AF109" s="50">
        <f>'ID10'!F1505</f>
        <v>14888.779666666633</v>
      </c>
      <c r="AG109" s="50">
        <f>'ID11'!E617</f>
        <v>13054.993333333332</v>
      </c>
      <c r="AH109" s="50">
        <f>'ID12'!E353</f>
        <v>11760</v>
      </c>
      <c r="AI109" s="50">
        <f>'ID13'!E229</f>
        <v>28166</v>
      </c>
      <c r="AJ109" s="50">
        <f>'ID14'!E238</f>
        <v>5634</v>
      </c>
      <c r="AK109" s="50">
        <f>'ID15'!L17</f>
        <v>190</v>
      </c>
      <c r="AL109" s="50">
        <f>'ID16'!E34</f>
        <v>1200</v>
      </c>
      <c r="AM109" s="50">
        <f>'ID17'!M15</f>
        <v>0</v>
      </c>
      <c r="AN109" s="50">
        <f>'ID18'!E201</f>
        <v>9769.1666666666661</v>
      </c>
      <c r="AO109" s="23">
        <f t="shared" si="0"/>
        <v>331536.76633333327</v>
      </c>
      <c r="AP109" s="51"/>
      <c r="AQ109" s="51"/>
      <c r="AR109" s="51"/>
      <c r="AS109" s="51"/>
      <c r="AT109" s="4"/>
    </row>
    <row r="110" spans="1:46" ht="45" customHeight="1">
      <c r="A110" s="52" t="s">
        <v>171</v>
      </c>
      <c r="B110" s="53"/>
      <c r="C110" s="53"/>
      <c r="D110" s="54"/>
      <c r="E110" s="55"/>
      <c r="F110" s="56">
        <f t="shared" ref="F110:AN110" si="4">F108-F109</f>
        <v>2.8571428410941735E-3</v>
      </c>
      <c r="G110" s="56">
        <f t="shared" si="4"/>
        <v>0</v>
      </c>
      <c r="H110" s="56">
        <f t="shared" si="4"/>
        <v>0</v>
      </c>
      <c r="I110" s="56">
        <f t="shared" si="4"/>
        <v>5.2380953129613772E-3</v>
      </c>
      <c r="J110" s="56">
        <f t="shared" si="4"/>
        <v>0</v>
      </c>
      <c r="K110" s="56">
        <f t="shared" si="4"/>
        <v>0</v>
      </c>
      <c r="L110" s="56">
        <f t="shared" si="4"/>
        <v>0</v>
      </c>
      <c r="M110" s="56">
        <f t="shared" si="4"/>
        <v>0</v>
      </c>
      <c r="N110" s="56">
        <f t="shared" si="4"/>
        <v>0</v>
      </c>
      <c r="O110" s="56">
        <f t="shared" si="4"/>
        <v>0</v>
      </c>
      <c r="P110" s="56">
        <f t="shared" si="4"/>
        <v>0</v>
      </c>
      <c r="Q110" s="56">
        <f t="shared" si="4"/>
        <v>-1.9047619025513995E-3</v>
      </c>
      <c r="R110" s="56">
        <f t="shared" si="4"/>
        <v>0</v>
      </c>
      <c r="S110" s="56">
        <f t="shared" si="4"/>
        <v>0</v>
      </c>
      <c r="T110" s="56">
        <f t="shared" si="4"/>
        <v>0</v>
      </c>
      <c r="U110" s="56">
        <f t="shared" si="4"/>
        <v>0</v>
      </c>
      <c r="V110" s="56">
        <f t="shared" si="4"/>
        <v>0</v>
      </c>
      <c r="W110" s="56">
        <f t="shared" si="4"/>
        <v>0</v>
      </c>
      <c r="X110" s="56">
        <f t="shared" si="4"/>
        <v>0</v>
      </c>
      <c r="Y110" s="56">
        <f t="shared" si="4"/>
        <v>0</v>
      </c>
      <c r="Z110" s="56">
        <f t="shared" si="4"/>
        <v>0</v>
      </c>
      <c r="AA110" s="56">
        <f t="shared" si="4"/>
        <v>0</v>
      </c>
      <c r="AB110" s="56">
        <f t="shared" si="4"/>
        <v>0</v>
      </c>
      <c r="AC110" s="56">
        <f t="shared" si="4"/>
        <v>0</v>
      </c>
      <c r="AD110" s="56">
        <f t="shared" si="4"/>
        <v>0</v>
      </c>
      <c r="AE110" s="56">
        <f t="shared" si="4"/>
        <v>0</v>
      </c>
      <c r="AF110" s="56">
        <f t="shared" si="4"/>
        <v>-4.999999964638846E-3</v>
      </c>
      <c r="AG110" s="56">
        <f t="shared" si="4"/>
        <v>0</v>
      </c>
      <c r="AH110" s="56">
        <f t="shared" si="4"/>
        <v>0</v>
      </c>
      <c r="AI110" s="56">
        <f t="shared" si="4"/>
        <v>0</v>
      </c>
      <c r="AJ110" s="56">
        <f t="shared" si="4"/>
        <v>0</v>
      </c>
      <c r="AK110" s="56">
        <f t="shared" si="4"/>
        <v>0</v>
      </c>
      <c r="AL110" s="56">
        <f t="shared" si="4"/>
        <v>0</v>
      </c>
      <c r="AM110" s="56">
        <f t="shared" si="4"/>
        <v>0</v>
      </c>
      <c r="AN110" s="56">
        <f t="shared" si="4"/>
        <v>0</v>
      </c>
      <c r="AO110" s="56">
        <f t="shared" si="0"/>
        <v>1.1904762868653052E-3</v>
      </c>
      <c r="AP110" s="57" t="s">
        <v>172</v>
      </c>
      <c r="AQ110" s="51"/>
      <c r="AR110" s="51"/>
      <c r="AS110" s="51"/>
      <c r="AT110" s="4"/>
    </row>
    <row r="111" spans="1:46" ht="14.25" customHeight="1">
      <c r="A111" s="1"/>
      <c r="B111" s="1"/>
      <c r="C111" s="1"/>
      <c r="D111" s="2"/>
      <c r="E111" s="3"/>
      <c r="F111" s="2"/>
      <c r="G111" s="2"/>
      <c r="H111" s="4"/>
      <c r="I111" s="4"/>
      <c r="J111" s="4"/>
      <c r="K111" s="4"/>
      <c r="L111" s="4"/>
      <c r="M111" s="4"/>
      <c r="N111" s="4"/>
      <c r="O111" s="4"/>
      <c r="P111" s="4"/>
      <c r="Q111" s="58"/>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ht="53.25" customHeight="1">
      <c r="A112" s="1"/>
      <c r="B112" s="59" t="s">
        <v>173</v>
      </c>
      <c r="C112" s="59"/>
      <c r="D112" s="60">
        <v>104</v>
      </c>
      <c r="E112" s="3"/>
      <c r="F112" s="2"/>
      <c r="G112" s="2"/>
      <c r="H112" s="4"/>
      <c r="I112" s="4"/>
      <c r="J112" s="4"/>
      <c r="K112" s="4"/>
      <c r="L112" s="4"/>
      <c r="M112" s="4"/>
      <c r="N112" s="4"/>
      <c r="O112" s="4"/>
      <c r="P112" s="4"/>
      <c r="Q112" s="58"/>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ht="53.25" customHeight="1">
      <c r="A113" s="1"/>
      <c r="B113" s="61" t="s">
        <v>174</v>
      </c>
      <c r="C113" s="61"/>
      <c r="D113" s="48">
        <f>COUNTA(D5:D107)</f>
        <v>103</v>
      </c>
      <c r="E113" s="3"/>
      <c r="F113" s="2"/>
      <c r="G113" s="2"/>
      <c r="H113" s="4"/>
      <c r="I113" s="4"/>
      <c r="J113" s="4"/>
      <c r="K113" s="4"/>
      <c r="L113" s="4"/>
      <c r="M113" s="4"/>
      <c r="N113" s="4"/>
      <c r="O113" s="4"/>
      <c r="P113" s="4"/>
      <c r="Q113" s="58"/>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ht="53.25" customHeight="1">
      <c r="A114" s="1"/>
      <c r="B114" s="62" t="s">
        <v>175</v>
      </c>
      <c r="C114" s="62"/>
      <c r="D114" s="54">
        <f>D112-D113</f>
        <v>1</v>
      </c>
      <c r="E114" s="63" t="s">
        <v>176</v>
      </c>
      <c r="F114" s="2"/>
      <c r="G114" s="2"/>
      <c r="H114" s="4"/>
      <c r="I114" s="4"/>
      <c r="J114" s="4"/>
      <c r="K114" s="4"/>
      <c r="L114" s="4"/>
      <c r="M114" s="4"/>
      <c r="N114" s="4"/>
      <c r="O114" s="4"/>
      <c r="P114" s="4"/>
      <c r="Q114" s="58"/>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ht="14.25" customHeight="1">
      <c r="A115" s="1"/>
      <c r="B115" s="1"/>
      <c r="C115" s="1"/>
      <c r="D115" s="2"/>
      <c r="E115" s="3"/>
      <c r="F115" s="2"/>
      <c r="G115" s="2"/>
      <c r="H115" s="4"/>
      <c r="I115" s="4"/>
      <c r="J115" s="4"/>
      <c r="K115" s="4"/>
      <c r="L115" s="4"/>
      <c r="M115" s="4"/>
      <c r="N115" s="4"/>
      <c r="O115" s="4"/>
      <c r="P115" s="4"/>
      <c r="Q115" s="58"/>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ht="14.25" customHeight="1">
      <c r="A116" s="1"/>
      <c r="B116" s="1"/>
      <c r="C116" s="1"/>
      <c r="D116" s="2"/>
      <c r="E116" s="3"/>
      <c r="F116" s="2"/>
      <c r="G116" s="2"/>
      <c r="H116" s="4"/>
      <c r="I116" s="4"/>
      <c r="J116" s="4"/>
      <c r="K116" s="4"/>
      <c r="L116" s="4"/>
      <c r="M116" s="4"/>
      <c r="N116" s="4"/>
      <c r="O116" s="4"/>
      <c r="P116" s="4"/>
      <c r="Q116" s="58"/>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ht="14.25" customHeight="1">
      <c r="A117" s="1"/>
      <c r="B117" s="1" t="s">
        <v>177</v>
      </c>
      <c r="C117" s="1"/>
      <c r="D117" s="2"/>
      <c r="E117" s="3"/>
      <c r="F117" s="2"/>
      <c r="G117" s="2"/>
      <c r="H117" s="4"/>
      <c r="I117" s="4"/>
      <c r="J117" s="4"/>
      <c r="K117" s="4"/>
      <c r="L117" s="4"/>
      <c r="M117" s="4"/>
      <c r="N117" s="4"/>
      <c r="O117" s="4"/>
      <c r="P117" s="4"/>
      <c r="Q117" s="58"/>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ht="14.25" customHeight="1">
      <c r="A118" s="1"/>
      <c r="B118" s="1" t="s">
        <v>178</v>
      </c>
      <c r="C118" s="1"/>
      <c r="D118" s="2"/>
      <c r="E118" s="3"/>
      <c r="F118" s="2"/>
      <c r="G118" s="2"/>
      <c r="H118" s="4"/>
      <c r="I118" s="4"/>
      <c r="J118" s="4"/>
      <c r="K118" s="4"/>
      <c r="L118" s="4"/>
      <c r="M118" s="4"/>
      <c r="N118" s="4"/>
      <c r="O118" s="4"/>
      <c r="P118" s="4"/>
      <c r="Q118" s="58"/>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ht="14.25" customHeight="1">
      <c r="A119" s="1"/>
      <c r="B119" s="1" t="s">
        <v>179</v>
      </c>
      <c r="C119" s="1"/>
      <c r="D119" s="2"/>
      <c r="E119" s="3"/>
      <c r="F119" s="2"/>
      <c r="G119" s="2"/>
      <c r="H119" s="4"/>
      <c r="I119" s="4"/>
      <c r="J119" s="4"/>
      <c r="K119" s="4"/>
      <c r="L119" s="4"/>
      <c r="M119" s="4"/>
      <c r="N119" s="4"/>
      <c r="O119" s="4"/>
      <c r="P119" s="4"/>
      <c r="Q119" s="58"/>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ht="14.25" customHeight="1">
      <c r="A120" s="1"/>
      <c r="B120" s="1" t="s">
        <v>180</v>
      </c>
      <c r="C120" s="1"/>
      <c r="D120" s="2"/>
      <c r="E120" s="3"/>
      <c r="F120" s="2"/>
      <c r="G120" s="2"/>
      <c r="H120" s="4"/>
      <c r="I120" s="4"/>
      <c r="J120" s="4"/>
      <c r="K120" s="4"/>
      <c r="L120" s="4"/>
      <c r="M120" s="4"/>
      <c r="N120" s="4"/>
      <c r="O120" s="4"/>
      <c r="P120" s="4"/>
      <c r="Q120" s="58"/>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ht="14.25" customHeight="1">
      <c r="A121" s="1"/>
      <c r="B121" s="1" t="s">
        <v>149</v>
      </c>
      <c r="C121" s="1"/>
      <c r="D121" s="2"/>
      <c r="E121" s="3"/>
      <c r="F121" s="2"/>
      <c r="G121" s="2"/>
      <c r="H121" s="4"/>
      <c r="I121" s="4"/>
      <c r="J121" s="4"/>
      <c r="K121" s="4"/>
      <c r="L121" s="4"/>
      <c r="M121" s="4"/>
      <c r="N121" s="4"/>
      <c r="O121" s="4"/>
      <c r="P121" s="4"/>
      <c r="Q121" s="58"/>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ht="14.25" customHeight="1">
      <c r="A122" s="1"/>
      <c r="B122" s="1" t="s">
        <v>144</v>
      </c>
      <c r="C122" s="1"/>
      <c r="D122" s="2"/>
      <c r="E122" s="3"/>
      <c r="F122" s="2"/>
      <c r="G122" s="2"/>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ht="14.25" customHeight="1">
      <c r="A123" s="1"/>
      <c r="B123" s="1" t="s">
        <v>69</v>
      </c>
      <c r="C123" s="1"/>
      <c r="D123" s="2"/>
      <c r="E123" s="3"/>
      <c r="F123" s="2"/>
      <c r="G123" s="2"/>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ht="14.25" customHeight="1">
      <c r="A124" s="1"/>
      <c r="B124" s="1" t="s">
        <v>52</v>
      </c>
      <c r="C124" s="1"/>
      <c r="D124" s="2"/>
      <c r="E124" s="3"/>
      <c r="F124" s="2"/>
      <c r="G124" s="2"/>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ht="14.25" customHeight="1">
      <c r="A125" s="1"/>
      <c r="B125" s="1" t="s">
        <v>181</v>
      </c>
      <c r="C125" s="1"/>
      <c r="D125" s="2"/>
      <c r="E125" s="3"/>
      <c r="F125" s="2"/>
      <c r="G125" s="2"/>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ht="14.25" customHeight="1">
      <c r="A126" s="1"/>
      <c r="B126" s="1"/>
      <c r="C126" s="1"/>
      <c r="D126" s="2"/>
      <c r="E126" s="3"/>
      <c r="F126" s="2"/>
      <c r="G126" s="2"/>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ht="14.25" customHeight="1">
      <c r="A127" s="1"/>
      <c r="B127" s="1"/>
      <c r="C127" s="1"/>
      <c r="D127" s="2"/>
      <c r="E127" s="3"/>
      <c r="F127" s="2"/>
      <c r="G127" s="2"/>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ht="14.25" customHeight="1">
      <c r="A128" s="1"/>
      <c r="B128" s="1"/>
      <c r="C128" s="1"/>
      <c r="D128" s="2"/>
      <c r="E128" s="3"/>
      <c r="F128" s="2"/>
      <c r="G128" s="2"/>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ht="14.25" customHeight="1">
      <c r="A129" s="1"/>
      <c r="B129" s="1"/>
      <c r="C129" s="1"/>
      <c r="D129" s="2"/>
      <c r="E129" s="3"/>
      <c r="F129" s="2"/>
      <c r="G129" s="2"/>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ht="14.25" customHeight="1">
      <c r="A130" s="1"/>
      <c r="B130" s="1"/>
      <c r="C130" s="1"/>
      <c r="D130" s="2"/>
      <c r="E130" s="3"/>
      <c r="F130" s="2"/>
      <c r="G130" s="2"/>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ht="14.25" customHeight="1">
      <c r="A131" s="1"/>
      <c r="B131" s="1"/>
      <c r="C131" s="1"/>
      <c r="D131" s="2"/>
      <c r="E131" s="3"/>
      <c r="F131" s="2"/>
      <c r="G131" s="2"/>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ht="14.25" customHeight="1">
      <c r="A132" s="1"/>
      <c r="B132" s="1"/>
      <c r="C132" s="1"/>
      <c r="D132" s="2"/>
      <c r="E132" s="3"/>
      <c r="F132" s="2"/>
      <c r="G132" s="2"/>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ht="14.25" customHeight="1">
      <c r="A133" s="1"/>
      <c r="B133" s="1"/>
      <c r="C133" s="1"/>
      <c r="D133" s="2"/>
      <c r="E133" s="3"/>
      <c r="F133" s="2"/>
      <c r="G133" s="2"/>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ht="14.25" customHeight="1">
      <c r="A134" s="1"/>
      <c r="B134" s="1"/>
      <c r="C134" s="1"/>
      <c r="D134" s="2"/>
      <c r="E134" s="3"/>
      <c r="F134" s="2"/>
      <c r="G134" s="2"/>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ht="14.25" customHeight="1">
      <c r="A135" s="1"/>
      <c r="B135" s="1"/>
      <c r="C135" s="1"/>
      <c r="D135" s="2"/>
      <c r="E135" s="3"/>
      <c r="F135" s="2"/>
      <c r="G135" s="2"/>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ht="14.25" customHeight="1">
      <c r="A136" s="1"/>
      <c r="B136" s="1"/>
      <c r="C136" s="1"/>
      <c r="D136" s="2"/>
      <c r="E136" s="3"/>
      <c r="F136" s="2"/>
      <c r="G136" s="2"/>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ht="14.25" customHeight="1">
      <c r="A137" s="1"/>
      <c r="B137" s="1"/>
      <c r="C137" s="1"/>
      <c r="D137" s="2"/>
      <c r="E137" s="3"/>
      <c r="F137" s="2"/>
      <c r="G137" s="2"/>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ht="14.25" customHeight="1">
      <c r="A138" s="1"/>
      <c r="B138" s="1"/>
      <c r="C138" s="1"/>
      <c r="D138" s="2"/>
      <c r="E138" s="3"/>
      <c r="F138" s="2"/>
      <c r="G138" s="2"/>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ht="14.25" customHeight="1">
      <c r="A139" s="1"/>
      <c r="B139" s="1"/>
      <c r="C139" s="1"/>
      <c r="D139" s="2"/>
      <c r="E139" s="3"/>
      <c r="F139" s="2"/>
      <c r="G139" s="2"/>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ht="14.25" customHeight="1">
      <c r="A140" s="1"/>
      <c r="B140" s="1"/>
      <c r="C140" s="1"/>
      <c r="D140" s="2"/>
      <c r="E140" s="3"/>
      <c r="F140" s="2"/>
      <c r="G140" s="2"/>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ht="14.25" customHeight="1">
      <c r="A141" s="1"/>
      <c r="B141" s="1"/>
      <c r="C141" s="1"/>
      <c r="D141" s="2"/>
      <c r="E141" s="3"/>
      <c r="F141" s="2"/>
      <c r="G141" s="2"/>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ht="14.25" customHeight="1">
      <c r="A142" s="1"/>
      <c r="B142" s="1"/>
      <c r="C142" s="1"/>
      <c r="D142" s="2"/>
      <c r="E142" s="3"/>
      <c r="F142" s="2"/>
      <c r="G142" s="2"/>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ht="14.25" customHeight="1">
      <c r="A143" s="1"/>
      <c r="B143" s="1"/>
      <c r="C143" s="1"/>
      <c r="D143" s="2"/>
      <c r="E143" s="3"/>
      <c r="F143" s="2"/>
      <c r="G143" s="2"/>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ht="14.25" customHeight="1">
      <c r="A144" s="1"/>
      <c r="B144" s="1"/>
      <c r="C144" s="1"/>
      <c r="D144" s="2"/>
      <c r="E144" s="3"/>
      <c r="F144" s="2"/>
      <c r="G144" s="2"/>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ht="14.25" customHeight="1">
      <c r="A145" s="1"/>
      <c r="B145" s="1"/>
      <c r="C145" s="1"/>
      <c r="D145" s="2"/>
      <c r="E145" s="3"/>
      <c r="F145" s="2"/>
      <c r="G145" s="2"/>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ht="14.25" customHeight="1">
      <c r="A146" s="1"/>
      <c r="B146" s="1"/>
      <c r="C146" s="1"/>
      <c r="D146" s="2"/>
      <c r="E146" s="3"/>
      <c r="F146" s="2"/>
      <c r="G146" s="2"/>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ht="14.25" customHeight="1">
      <c r="A147" s="1"/>
      <c r="B147" s="1"/>
      <c r="C147" s="1"/>
      <c r="D147" s="2"/>
      <c r="E147" s="3"/>
      <c r="F147" s="2"/>
      <c r="G147" s="2"/>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ht="14.25" customHeight="1">
      <c r="A148" s="1"/>
      <c r="B148" s="1"/>
      <c r="C148" s="1"/>
      <c r="D148" s="2"/>
      <c r="E148" s="3"/>
      <c r="F148" s="2"/>
      <c r="G148" s="2"/>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ht="14.25" customHeight="1">
      <c r="A149" s="1"/>
      <c r="B149" s="1"/>
      <c r="C149" s="1"/>
      <c r="D149" s="2"/>
      <c r="E149" s="3"/>
      <c r="F149" s="2"/>
      <c r="G149" s="2"/>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ht="14.25" customHeight="1">
      <c r="A150" s="1"/>
      <c r="B150" s="1"/>
      <c r="C150" s="1"/>
      <c r="D150" s="2"/>
      <c r="E150" s="3"/>
      <c r="F150" s="2"/>
      <c r="G150" s="2"/>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ht="14.25" customHeight="1">
      <c r="A151" s="1"/>
      <c r="B151" s="1"/>
      <c r="C151" s="1"/>
      <c r="D151" s="2"/>
      <c r="E151" s="3"/>
      <c r="F151" s="2"/>
      <c r="G151" s="2"/>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ht="14.25" customHeight="1">
      <c r="A152" s="1"/>
      <c r="B152" s="1"/>
      <c r="C152" s="1"/>
      <c r="D152" s="2"/>
      <c r="E152" s="3"/>
      <c r="F152" s="2"/>
      <c r="G152" s="2"/>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ht="14.25" customHeight="1">
      <c r="A153" s="1"/>
      <c r="B153" s="1"/>
      <c r="C153" s="1"/>
      <c r="D153" s="2"/>
      <c r="E153" s="3"/>
      <c r="F153" s="2"/>
      <c r="G153" s="2"/>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ht="14.25" customHeight="1">
      <c r="A154" s="1"/>
      <c r="B154" s="1"/>
      <c r="C154" s="1"/>
      <c r="D154" s="2"/>
      <c r="E154" s="3"/>
      <c r="F154" s="2"/>
      <c r="G154" s="2"/>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ht="14.25" customHeight="1">
      <c r="A155" s="1"/>
      <c r="B155" s="1"/>
      <c r="C155" s="1"/>
      <c r="D155" s="2"/>
      <c r="E155" s="3"/>
      <c r="F155" s="2"/>
      <c r="G155" s="2"/>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ht="14.25" customHeight="1">
      <c r="A156" s="1"/>
      <c r="B156" s="1"/>
      <c r="C156" s="1"/>
      <c r="D156" s="2"/>
      <c r="E156" s="3"/>
      <c r="F156" s="2"/>
      <c r="G156" s="2"/>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ht="14.25" customHeight="1">
      <c r="A157" s="1"/>
      <c r="B157" s="1"/>
      <c r="C157" s="1"/>
      <c r="D157" s="2"/>
      <c r="E157" s="3"/>
      <c r="F157" s="2"/>
      <c r="G157" s="2"/>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ht="14.25" customHeight="1">
      <c r="A158" s="1"/>
      <c r="B158" s="1"/>
      <c r="C158" s="1"/>
      <c r="D158" s="2"/>
      <c r="E158" s="3"/>
      <c r="F158" s="2"/>
      <c r="G158" s="2"/>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ht="14.25" customHeight="1">
      <c r="A159" s="1"/>
      <c r="B159" s="1"/>
      <c r="C159" s="1"/>
      <c r="D159" s="2"/>
      <c r="E159" s="3"/>
      <c r="F159" s="2"/>
      <c r="G159" s="2"/>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ht="14.25" customHeight="1">
      <c r="A160" s="1"/>
      <c r="B160" s="1"/>
      <c r="C160" s="1"/>
      <c r="D160" s="2"/>
      <c r="E160" s="3"/>
      <c r="F160" s="2"/>
      <c r="G160" s="2"/>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ht="14.25" customHeight="1">
      <c r="A161" s="1"/>
      <c r="B161" s="1"/>
      <c r="C161" s="1"/>
      <c r="D161" s="2"/>
      <c r="E161" s="3"/>
      <c r="F161" s="2"/>
      <c r="G161" s="2"/>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ht="14.25" customHeight="1">
      <c r="A162" s="1"/>
      <c r="B162" s="1"/>
      <c r="C162" s="1"/>
      <c r="D162" s="2"/>
      <c r="E162" s="3"/>
      <c r="F162" s="2"/>
      <c r="G162" s="2"/>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ht="14.25" customHeight="1">
      <c r="A163" s="1"/>
      <c r="B163" s="1"/>
      <c r="C163" s="1"/>
      <c r="D163" s="2"/>
      <c r="E163" s="3"/>
      <c r="F163" s="2"/>
      <c r="G163" s="2"/>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ht="14.25" customHeight="1">
      <c r="A164" s="1"/>
      <c r="B164" s="1"/>
      <c r="C164" s="1"/>
      <c r="D164" s="2"/>
      <c r="E164" s="3"/>
      <c r="F164" s="2"/>
      <c r="G164" s="2"/>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ht="14.25" customHeight="1">
      <c r="A165" s="1"/>
      <c r="B165" s="1"/>
      <c r="C165" s="1"/>
      <c r="D165" s="2"/>
      <c r="E165" s="3"/>
      <c r="F165" s="2"/>
      <c r="G165" s="2"/>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ht="14.25" customHeight="1">
      <c r="A166" s="1"/>
      <c r="B166" s="1"/>
      <c r="C166" s="1"/>
      <c r="D166" s="2"/>
      <c r="E166" s="3"/>
      <c r="F166" s="2"/>
      <c r="G166" s="2"/>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ht="14.25" customHeight="1">
      <c r="A167" s="1"/>
      <c r="B167" s="1"/>
      <c r="C167" s="1"/>
      <c r="D167" s="2"/>
      <c r="E167" s="3"/>
      <c r="F167" s="2"/>
      <c r="G167" s="2"/>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row>
    <row r="168" spans="1:46" ht="14.25" customHeight="1">
      <c r="A168" s="1"/>
      <c r="B168" s="1"/>
      <c r="C168" s="1"/>
      <c r="D168" s="2"/>
      <c r="E168" s="3"/>
      <c r="F168" s="2"/>
      <c r="G168" s="2"/>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ht="14.25" customHeight="1">
      <c r="A169" s="1"/>
      <c r="B169" s="1"/>
      <c r="C169" s="1"/>
      <c r="D169" s="2"/>
      <c r="E169" s="3"/>
      <c r="F169" s="2"/>
      <c r="G169" s="2"/>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row>
    <row r="170" spans="1:46" ht="14.25" customHeight="1">
      <c r="A170" s="1"/>
      <c r="B170" s="1"/>
      <c r="C170" s="1"/>
      <c r="D170" s="2"/>
      <c r="E170" s="3"/>
      <c r="F170" s="2"/>
      <c r="G170" s="2"/>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row>
    <row r="171" spans="1:46" ht="14.25" customHeight="1">
      <c r="A171" s="1"/>
      <c r="B171" s="1"/>
      <c r="C171" s="1"/>
      <c r="D171" s="2"/>
      <c r="E171" s="3"/>
      <c r="F171" s="2"/>
      <c r="G171" s="2"/>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row>
    <row r="172" spans="1:46" ht="14.25" customHeight="1">
      <c r="A172" s="1"/>
      <c r="B172" s="1"/>
      <c r="C172" s="1"/>
      <c r="D172" s="2"/>
      <c r="E172" s="3"/>
      <c r="F172" s="2"/>
      <c r="G172" s="2"/>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row>
    <row r="173" spans="1:46" ht="14.25" customHeight="1">
      <c r="A173" s="1"/>
      <c r="B173" s="1"/>
      <c r="C173" s="1"/>
      <c r="D173" s="2"/>
      <c r="E173" s="3"/>
      <c r="F173" s="2"/>
      <c r="G173" s="2"/>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row>
    <row r="174" spans="1:46" ht="14.25" customHeight="1">
      <c r="A174" s="1"/>
      <c r="B174" s="1"/>
      <c r="C174" s="1"/>
      <c r="D174" s="2"/>
      <c r="E174" s="3"/>
      <c r="F174" s="2"/>
      <c r="G174" s="2"/>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row>
    <row r="175" spans="1:46" ht="14.25" customHeight="1">
      <c r="A175" s="1"/>
      <c r="B175" s="1"/>
      <c r="C175" s="1"/>
      <c r="D175" s="2"/>
      <c r="E175" s="3"/>
      <c r="F175" s="2"/>
      <c r="G175" s="2"/>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row>
    <row r="176" spans="1:46" ht="14.25" customHeight="1">
      <c r="A176" s="1"/>
      <c r="B176" s="1"/>
      <c r="C176" s="1"/>
      <c r="D176" s="2"/>
      <c r="E176" s="3"/>
      <c r="F176" s="2"/>
      <c r="G176" s="2"/>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row>
    <row r="177" spans="1:46" ht="14.25" customHeight="1">
      <c r="A177" s="1"/>
      <c r="B177" s="1"/>
      <c r="C177" s="1"/>
      <c r="D177" s="2"/>
      <c r="E177" s="3"/>
      <c r="F177" s="2"/>
      <c r="G177" s="2"/>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row>
    <row r="178" spans="1:46" ht="14.25" customHeight="1">
      <c r="A178" s="1"/>
      <c r="B178" s="1"/>
      <c r="C178" s="1"/>
      <c r="D178" s="2"/>
      <c r="E178" s="3"/>
      <c r="F178" s="2"/>
      <c r="G178" s="2"/>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row>
    <row r="179" spans="1:46" ht="14.25" customHeight="1">
      <c r="A179" s="1"/>
      <c r="B179" s="1"/>
      <c r="C179" s="1"/>
      <c r="D179" s="2"/>
      <c r="E179" s="3"/>
      <c r="F179" s="2"/>
      <c r="G179" s="2"/>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row>
    <row r="180" spans="1:46" ht="14.25" customHeight="1">
      <c r="A180" s="1"/>
      <c r="B180" s="1"/>
      <c r="C180" s="1"/>
      <c r="D180" s="2"/>
      <c r="E180" s="3"/>
      <c r="F180" s="2"/>
      <c r="G180" s="2"/>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row>
    <row r="181" spans="1:46" ht="14.25" customHeight="1">
      <c r="A181" s="1"/>
      <c r="B181" s="1"/>
      <c r="C181" s="1"/>
      <c r="D181" s="2"/>
      <c r="E181" s="3"/>
      <c r="F181" s="2"/>
      <c r="G181" s="2"/>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row>
    <row r="182" spans="1:46" ht="14.25" customHeight="1">
      <c r="A182" s="1"/>
      <c r="B182" s="1"/>
      <c r="C182" s="1"/>
      <c r="D182" s="2"/>
      <c r="E182" s="3"/>
      <c r="F182" s="2"/>
      <c r="G182" s="2"/>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row>
    <row r="183" spans="1:46" ht="14.25" customHeight="1">
      <c r="A183" s="1"/>
      <c r="B183" s="1"/>
      <c r="C183" s="1"/>
      <c r="D183" s="2"/>
      <c r="E183" s="3"/>
      <c r="F183" s="2"/>
      <c r="G183" s="2"/>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46" ht="14.25" customHeight="1">
      <c r="A184" s="1"/>
      <c r="B184" s="1"/>
      <c r="C184" s="1"/>
      <c r="D184" s="2"/>
      <c r="E184" s="3"/>
      <c r="F184" s="2"/>
      <c r="G184" s="2"/>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46" ht="14.25" customHeight="1">
      <c r="A185" s="1"/>
      <c r="B185" s="1"/>
      <c r="C185" s="1"/>
      <c r="D185" s="2"/>
      <c r="E185" s="3"/>
      <c r="F185" s="2"/>
      <c r="G185" s="2"/>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row>
    <row r="186" spans="1:46" ht="14.25" customHeight="1">
      <c r="A186" s="1"/>
      <c r="B186" s="1"/>
      <c r="C186" s="1"/>
      <c r="D186" s="2"/>
      <c r="E186" s="3"/>
      <c r="F186" s="2"/>
      <c r="G186" s="2"/>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row>
    <row r="187" spans="1:46" ht="14.25" customHeight="1">
      <c r="A187" s="1"/>
      <c r="B187" s="1"/>
      <c r="C187" s="1"/>
      <c r="D187" s="2"/>
      <c r="E187" s="3"/>
      <c r="F187" s="2"/>
      <c r="G187" s="2"/>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row>
    <row r="188" spans="1:46" ht="14.25" customHeight="1">
      <c r="A188" s="1"/>
      <c r="B188" s="1"/>
      <c r="C188" s="1"/>
      <c r="D188" s="2"/>
      <c r="E188" s="3"/>
      <c r="F188" s="2"/>
      <c r="G188" s="2"/>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row>
    <row r="189" spans="1:46" ht="14.25" customHeight="1">
      <c r="A189" s="1"/>
      <c r="B189" s="1"/>
      <c r="C189" s="1"/>
      <c r="D189" s="2"/>
      <c r="E189" s="3"/>
      <c r="F189" s="2"/>
      <c r="G189" s="2"/>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row>
    <row r="190" spans="1:46" ht="14.25" customHeight="1">
      <c r="A190" s="1"/>
      <c r="B190" s="1"/>
      <c r="C190" s="1"/>
      <c r="D190" s="2"/>
      <c r="E190" s="3"/>
      <c r="F190" s="2"/>
      <c r="G190" s="2"/>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row>
    <row r="191" spans="1:46" ht="14.25" customHeight="1">
      <c r="A191" s="1"/>
      <c r="B191" s="1"/>
      <c r="C191" s="1"/>
      <c r="D191" s="2"/>
      <c r="E191" s="3"/>
      <c r="F191" s="2"/>
      <c r="G191" s="2"/>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row>
    <row r="192" spans="1:46" ht="14.25" customHeight="1">
      <c r="A192" s="1"/>
      <c r="B192" s="1"/>
      <c r="C192" s="1"/>
      <c r="D192" s="2"/>
      <c r="E192" s="3"/>
      <c r="F192" s="2"/>
      <c r="G192" s="2"/>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row>
    <row r="193" spans="1:46" ht="14.25" customHeight="1">
      <c r="A193" s="1"/>
      <c r="B193" s="1"/>
      <c r="C193" s="1"/>
      <c r="D193" s="2"/>
      <c r="E193" s="3"/>
      <c r="F193" s="2"/>
      <c r="G193" s="2"/>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row>
    <row r="194" spans="1:46" ht="14.25" customHeight="1">
      <c r="A194" s="1"/>
      <c r="B194" s="1"/>
      <c r="C194" s="1"/>
      <c r="D194" s="2"/>
      <c r="E194" s="3"/>
      <c r="F194" s="2"/>
      <c r="G194" s="2"/>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row>
    <row r="195" spans="1:46" ht="14.25" customHeight="1">
      <c r="A195" s="1"/>
      <c r="B195" s="1"/>
      <c r="C195" s="1"/>
      <c r="D195" s="2"/>
      <c r="E195" s="3"/>
      <c r="F195" s="2"/>
      <c r="G195" s="2"/>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row>
    <row r="196" spans="1:46" ht="14.25" customHeight="1">
      <c r="A196" s="1"/>
      <c r="B196" s="1"/>
      <c r="C196" s="1"/>
      <c r="D196" s="2"/>
      <c r="E196" s="3"/>
      <c r="F196" s="2"/>
      <c r="G196" s="2"/>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row>
    <row r="197" spans="1:46" ht="14.25" customHeight="1">
      <c r="A197" s="1"/>
      <c r="B197" s="1"/>
      <c r="C197" s="1"/>
      <c r="D197" s="2"/>
      <c r="E197" s="3"/>
      <c r="F197" s="2"/>
      <c r="G197" s="2"/>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row>
    <row r="198" spans="1:46" ht="14.25" customHeight="1">
      <c r="A198" s="1"/>
      <c r="B198" s="1"/>
      <c r="C198" s="1"/>
      <c r="D198" s="2"/>
      <c r="E198" s="3"/>
      <c r="F198" s="2"/>
      <c r="G198" s="2"/>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46" ht="14.25" customHeight="1">
      <c r="A199" s="1"/>
      <c r="B199" s="1"/>
      <c r="C199" s="1"/>
      <c r="D199" s="2"/>
      <c r="E199" s="3"/>
      <c r="F199" s="2"/>
      <c r="G199" s="2"/>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row>
    <row r="200" spans="1:46" ht="14.25" customHeight="1">
      <c r="A200" s="1"/>
      <c r="B200" s="1"/>
      <c r="C200" s="1"/>
      <c r="D200" s="2"/>
      <c r="E200" s="3"/>
      <c r="F200" s="2"/>
      <c r="G200" s="2"/>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row>
    <row r="201" spans="1:46" ht="14.25" customHeight="1">
      <c r="A201" s="1"/>
      <c r="B201" s="1"/>
      <c r="C201" s="1"/>
      <c r="D201" s="2"/>
      <c r="E201" s="3"/>
      <c r="F201" s="2"/>
      <c r="G201" s="2"/>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row>
    <row r="202" spans="1:46" ht="14.25" customHeight="1">
      <c r="A202" s="1"/>
      <c r="B202" s="1"/>
      <c r="C202" s="1"/>
      <c r="D202" s="2"/>
      <c r="E202" s="3"/>
      <c r="F202" s="2"/>
      <c r="G202" s="2"/>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row>
    <row r="203" spans="1:46" ht="14.25" customHeight="1">
      <c r="A203" s="1"/>
      <c r="B203" s="1"/>
      <c r="C203" s="1"/>
      <c r="D203" s="2"/>
      <c r="E203" s="3"/>
      <c r="F203" s="2"/>
      <c r="G203" s="2"/>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row>
    <row r="204" spans="1:46" ht="14.25" customHeight="1">
      <c r="A204" s="1"/>
      <c r="B204" s="1"/>
      <c r="C204" s="1"/>
      <c r="D204" s="2"/>
      <c r="E204" s="3"/>
      <c r="F204" s="2"/>
      <c r="G204" s="2"/>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row>
    <row r="205" spans="1:46" ht="14.25" customHeight="1">
      <c r="A205" s="1"/>
      <c r="B205" s="1"/>
      <c r="C205" s="1"/>
      <c r="D205" s="2"/>
      <c r="E205" s="3"/>
      <c r="F205" s="2"/>
      <c r="G205" s="2"/>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row>
    <row r="206" spans="1:46" ht="14.25" customHeight="1">
      <c r="A206" s="1"/>
      <c r="B206" s="1"/>
      <c r="C206" s="1"/>
      <c r="D206" s="2"/>
      <c r="E206" s="3"/>
      <c r="F206" s="2"/>
      <c r="G206" s="2"/>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row>
    <row r="207" spans="1:46" ht="14.25" customHeight="1">
      <c r="A207" s="1"/>
      <c r="B207" s="1"/>
      <c r="C207" s="1"/>
      <c r="D207" s="2"/>
      <c r="E207" s="3"/>
      <c r="F207" s="2"/>
      <c r="G207" s="2"/>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row>
    <row r="208" spans="1:46" ht="14.25" customHeight="1">
      <c r="A208" s="1"/>
      <c r="B208" s="1"/>
      <c r="C208" s="1"/>
      <c r="D208" s="2"/>
      <c r="E208" s="3"/>
      <c r="F208" s="2"/>
      <c r="G208" s="2"/>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row>
    <row r="209" spans="1:46" ht="14.25" customHeight="1">
      <c r="A209" s="1"/>
      <c r="B209" s="1"/>
      <c r="C209" s="1"/>
      <c r="D209" s="2"/>
      <c r="E209" s="3"/>
      <c r="F209" s="2"/>
      <c r="G209" s="2"/>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row>
    <row r="210" spans="1:46" ht="14.25" customHeight="1">
      <c r="A210" s="1"/>
      <c r="B210" s="1"/>
      <c r="C210" s="1"/>
      <c r="D210" s="2"/>
      <c r="E210" s="3"/>
      <c r="F210" s="2"/>
      <c r="G210" s="2"/>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row>
    <row r="211" spans="1:46" ht="14.25" customHeight="1">
      <c r="A211" s="1"/>
      <c r="B211" s="1"/>
      <c r="C211" s="1"/>
      <c r="D211" s="2"/>
      <c r="E211" s="3"/>
      <c r="F211" s="2"/>
      <c r="G211" s="2"/>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row>
    <row r="212" spans="1:46" ht="14.25" customHeight="1">
      <c r="A212" s="1"/>
      <c r="B212" s="1"/>
      <c r="C212" s="1"/>
      <c r="D212" s="2"/>
      <c r="E212" s="3"/>
      <c r="F212" s="2"/>
      <c r="G212" s="2"/>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row>
    <row r="213" spans="1:46" ht="14.25" customHeight="1">
      <c r="A213" s="1"/>
      <c r="B213" s="1"/>
      <c r="C213" s="1"/>
      <c r="D213" s="2"/>
      <c r="E213" s="3"/>
      <c r="F213" s="2"/>
      <c r="G213" s="2"/>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row>
    <row r="214" spans="1:46" ht="14.25" customHeight="1">
      <c r="A214" s="1"/>
      <c r="B214" s="1"/>
      <c r="C214" s="1"/>
      <c r="D214" s="2"/>
      <c r="E214" s="3"/>
      <c r="F214" s="2"/>
      <c r="G214" s="2"/>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row>
    <row r="215" spans="1:46" ht="14.25" customHeight="1">
      <c r="A215" s="1"/>
      <c r="B215" s="1"/>
      <c r="C215" s="1"/>
      <c r="D215" s="2"/>
      <c r="E215" s="3"/>
      <c r="F215" s="2"/>
      <c r="G215" s="2"/>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row>
    <row r="216" spans="1:46" ht="14.25" customHeight="1">
      <c r="A216" s="1"/>
      <c r="B216" s="1"/>
      <c r="C216" s="1"/>
      <c r="D216" s="2"/>
      <c r="E216" s="3"/>
      <c r="F216" s="2"/>
      <c r="G216" s="2"/>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row>
    <row r="217" spans="1:46" ht="14.25" customHeight="1">
      <c r="A217" s="1"/>
      <c r="B217" s="1"/>
      <c r="C217" s="1"/>
      <c r="D217" s="2"/>
      <c r="E217" s="3"/>
      <c r="F217" s="2"/>
      <c r="G217" s="2"/>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row>
    <row r="218" spans="1:46" ht="14.25" customHeight="1">
      <c r="A218" s="1"/>
      <c r="B218" s="1"/>
      <c r="C218" s="1"/>
      <c r="D218" s="2"/>
      <c r="E218" s="3"/>
      <c r="F218" s="2"/>
      <c r="G218" s="2"/>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row>
    <row r="219" spans="1:46" ht="14.25" customHeight="1">
      <c r="A219" s="1"/>
      <c r="B219" s="1"/>
      <c r="C219" s="1"/>
      <c r="D219" s="2"/>
      <c r="E219" s="3"/>
      <c r="F219" s="2"/>
      <c r="G219" s="2"/>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row>
    <row r="220" spans="1:46" ht="14.25" customHeight="1">
      <c r="A220" s="1"/>
      <c r="B220" s="1"/>
      <c r="C220" s="1"/>
      <c r="D220" s="2"/>
      <c r="E220" s="3"/>
      <c r="F220" s="2"/>
      <c r="G220" s="2"/>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row>
    <row r="221" spans="1:46" ht="14.25" customHeight="1">
      <c r="A221" s="1"/>
      <c r="B221" s="1"/>
      <c r="C221" s="1"/>
      <c r="D221" s="2"/>
      <c r="E221" s="3"/>
      <c r="F221" s="2"/>
      <c r="G221" s="2"/>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row>
    <row r="222" spans="1:46" ht="14.25" customHeight="1">
      <c r="A222" s="1"/>
      <c r="B222" s="1"/>
      <c r="C222" s="1"/>
      <c r="D222" s="2"/>
      <c r="E222" s="3"/>
      <c r="F222" s="2"/>
      <c r="G222" s="2"/>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row>
    <row r="223" spans="1:46" ht="14.25" customHeight="1">
      <c r="A223" s="1"/>
      <c r="B223" s="1"/>
      <c r="C223" s="1"/>
      <c r="D223" s="2"/>
      <c r="E223" s="3"/>
      <c r="F223" s="2"/>
      <c r="G223" s="2"/>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row>
    <row r="224" spans="1:46" ht="14.25" customHeight="1">
      <c r="A224" s="1"/>
      <c r="B224" s="1"/>
      <c r="C224" s="1"/>
      <c r="D224" s="2"/>
      <c r="E224" s="3"/>
      <c r="F224" s="2"/>
      <c r="G224" s="2"/>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row>
    <row r="225" spans="1:46" ht="14.25" customHeight="1">
      <c r="A225" s="1"/>
      <c r="B225" s="1"/>
      <c r="C225" s="1"/>
      <c r="D225" s="2"/>
      <c r="E225" s="3"/>
      <c r="F225" s="2"/>
      <c r="G225" s="2"/>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row>
    <row r="226" spans="1:46" ht="14.25" customHeight="1">
      <c r="A226" s="1"/>
      <c r="B226" s="1"/>
      <c r="C226" s="1"/>
      <c r="D226" s="2"/>
      <c r="E226" s="3"/>
      <c r="F226" s="2"/>
      <c r="G226" s="2"/>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row>
    <row r="227" spans="1:46" ht="14.25" customHeight="1">
      <c r="A227" s="1"/>
      <c r="B227" s="1"/>
      <c r="C227" s="1"/>
      <c r="D227" s="2"/>
      <c r="E227" s="3"/>
      <c r="F227" s="2"/>
      <c r="G227" s="2"/>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row>
    <row r="228" spans="1:46" ht="14.25" customHeight="1">
      <c r="A228" s="1"/>
      <c r="B228" s="1"/>
      <c r="C228" s="1"/>
      <c r="D228" s="2"/>
      <c r="E228" s="3"/>
      <c r="F228" s="2"/>
      <c r="G228" s="2"/>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row>
    <row r="229" spans="1:46" ht="14.25" customHeight="1">
      <c r="A229" s="1"/>
      <c r="B229" s="1"/>
      <c r="C229" s="1"/>
      <c r="D229" s="2"/>
      <c r="E229" s="3"/>
      <c r="F229" s="2"/>
      <c r="G229" s="2"/>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row>
    <row r="230" spans="1:46" ht="14.25" customHeight="1">
      <c r="A230" s="1"/>
      <c r="B230" s="1"/>
      <c r="C230" s="1"/>
      <c r="D230" s="2"/>
      <c r="E230" s="3"/>
      <c r="F230" s="2"/>
      <c r="G230" s="2"/>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row>
    <row r="231" spans="1:46" ht="14.25" customHeight="1">
      <c r="A231" s="1"/>
      <c r="B231" s="1"/>
      <c r="C231" s="1"/>
      <c r="D231" s="2"/>
      <c r="E231" s="3"/>
      <c r="F231" s="2"/>
      <c r="G231" s="2"/>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row>
    <row r="232" spans="1:46" ht="14.25" customHeight="1">
      <c r="A232" s="1"/>
      <c r="B232" s="1"/>
      <c r="C232" s="1"/>
      <c r="D232" s="2"/>
      <c r="E232" s="3"/>
      <c r="F232" s="2"/>
      <c r="G232" s="2"/>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row>
    <row r="233" spans="1:46" ht="14.25" customHeight="1">
      <c r="A233" s="1"/>
      <c r="B233" s="1"/>
      <c r="C233" s="1"/>
      <c r="D233" s="2"/>
      <c r="E233" s="3"/>
      <c r="F233" s="2"/>
      <c r="G233" s="2"/>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row>
    <row r="234" spans="1:46" ht="14.25" customHeight="1">
      <c r="A234" s="1"/>
      <c r="B234" s="1"/>
      <c r="C234" s="1"/>
      <c r="D234" s="2"/>
      <c r="E234" s="3"/>
      <c r="F234" s="2"/>
      <c r="G234" s="2"/>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row>
    <row r="235" spans="1:46" ht="14.25" customHeight="1">
      <c r="A235" s="1"/>
      <c r="B235" s="1"/>
      <c r="C235" s="1"/>
      <c r="D235" s="2"/>
      <c r="E235" s="3"/>
      <c r="F235" s="2"/>
      <c r="G235" s="2"/>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row>
    <row r="236" spans="1:46" ht="14.25" customHeight="1">
      <c r="A236" s="1"/>
      <c r="B236" s="1"/>
      <c r="C236" s="1"/>
      <c r="D236" s="2"/>
      <c r="E236" s="3"/>
      <c r="F236" s="2"/>
      <c r="G236" s="2"/>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row>
    <row r="237" spans="1:46" ht="14.25" customHeight="1">
      <c r="A237" s="1"/>
      <c r="B237" s="1"/>
      <c r="C237" s="1"/>
      <c r="D237" s="2"/>
      <c r="E237" s="3"/>
      <c r="F237" s="2"/>
      <c r="G237" s="2"/>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row>
    <row r="238" spans="1:46" ht="14.25" customHeight="1">
      <c r="A238" s="1"/>
      <c r="B238" s="1"/>
      <c r="C238" s="1"/>
      <c r="D238" s="2"/>
      <c r="E238" s="3"/>
      <c r="F238" s="2"/>
      <c r="G238" s="2"/>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row>
    <row r="239" spans="1:46" ht="14.25" customHeight="1">
      <c r="A239" s="1"/>
      <c r="B239" s="1"/>
      <c r="C239" s="1"/>
      <c r="D239" s="2"/>
      <c r="E239" s="3"/>
      <c r="F239" s="2"/>
      <c r="G239" s="2"/>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row>
    <row r="240" spans="1:46" ht="14.25" customHeight="1">
      <c r="A240" s="1"/>
      <c r="B240" s="1"/>
      <c r="C240" s="1"/>
      <c r="D240" s="2"/>
      <c r="E240" s="3"/>
      <c r="F240" s="2"/>
      <c r="G240" s="2"/>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row>
    <row r="241" spans="1:46" ht="14.25" customHeight="1">
      <c r="A241" s="1"/>
      <c r="B241" s="1"/>
      <c r="C241" s="1"/>
      <c r="D241" s="2"/>
      <c r="E241" s="3"/>
      <c r="F241" s="2"/>
      <c r="G241" s="2"/>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row>
    <row r="242" spans="1:46" ht="14.25" customHeight="1">
      <c r="A242" s="1"/>
      <c r="B242" s="1"/>
      <c r="C242" s="1"/>
      <c r="D242" s="2"/>
      <c r="E242" s="3"/>
      <c r="F242" s="2"/>
      <c r="G242" s="2"/>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row>
    <row r="243" spans="1:46" ht="14.25" customHeight="1">
      <c r="A243" s="1"/>
      <c r="B243" s="1"/>
      <c r="C243" s="1"/>
      <c r="D243" s="2"/>
      <c r="E243" s="3"/>
      <c r="F243" s="2"/>
      <c r="G243" s="2"/>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row>
    <row r="244" spans="1:46" ht="14.25" customHeight="1">
      <c r="A244" s="1"/>
      <c r="B244" s="1"/>
      <c r="C244" s="1"/>
      <c r="D244" s="2"/>
      <c r="E244" s="3"/>
      <c r="F244" s="2"/>
      <c r="G244" s="2"/>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row>
    <row r="245" spans="1:46" ht="14.25" customHeight="1">
      <c r="A245" s="1"/>
      <c r="B245" s="1"/>
      <c r="C245" s="1"/>
      <c r="D245" s="2"/>
      <c r="E245" s="3"/>
      <c r="F245" s="2"/>
      <c r="G245" s="2"/>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row>
    <row r="246" spans="1:46" ht="14.25" customHeight="1">
      <c r="A246" s="1"/>
      <c r="B246" s="1"/>
      <c r="C246" s="1"/>
      <c r="D246" s="2"/>
      <c r="E246" s="3"/>
      <c r="F246" s="2"/>
      <c r="G246" s="2"/>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row>
    <row r="247" spans="1:46" ht="14.25" customHeight="1">
      <c r="A247" s="1"/>
      <c r="B247" s="1"/>
      <c r="C247" s="1"/>
      <c r="D247" s="2"/>
      <c r="E247" s="3"/>
      <c r="F247" s="2"/>
      <c r="G247" s="2"/>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row>
    <row r="248" spans="1:46" ht="14.25" customHeight="1">
      <c r="A248" s="1"/>
      <c r="B248" s="1"/>
      <c r="C248" s="1"/>
      <c r="D248" s="2"/>
      <c r="E248" s="3"/>
      <c r="F248" s="2"/>
      <c r="G248" s="2"/>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row>
    <row r="249" spans="1:46" ht="14.25" customHeight="1">
      <c r="A249" s="1"/>
      <c r="B249" s="1"/>
      <c r="C249" s="1"/>
      <c r="D249" s="2"/>
      <c r="E249" s="3"/>
      <c r="F249" s="2"/>
      <c r="G249" s="2"/>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row>
    <row r="250" spans="1:46" ht="14.25" customHeight="1">
      <c r="A250" s="1"/>
      <c r="B250" s="1"/>
      <c r="C250" s="1"/>
      <c r="D250" s="2"/>
      <c r="E250" s="3"/>
      <c r="F250" s="2"/>
      <c r="G250" s="2"/>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row>
    <row r="251" spans="1:46" ht="14.25" customHeight="1">
      <c r="A251" s="1"/>
      <c r="B251" s="1"/>
      <c r="C251" s="1"/>
      <c r="D251" s="2"/>
      <c r="E251" s="3"/>
      <c r="F251" s="2"/>
      <c r="G251" s="2"/>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row>
    <row r="252" spans="1:46" ht="14.25" customHeight="1">
      <c r="A252" s="1"/>
      <c r="B252" s="1"/>
      <c r="C252" s="1"/>
      <c r="D252" s="2"/>
      <c r="E252" s="3"/>
      <c r="F252" s="2"/>
      <c r="G252" s="2"/>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row>
    <row r="253" spans="1:46" ht="14.25" customHeight="1">
      <c r="A253" s="1"/>
      <c r="B253" s="1"/>
      <c r="C253" s="1"/>
      <c r="D253" s="2"/>
      <c r="E253" s="3"/>
      <c r="F253" s="2"/>
      <c r="G253" s="2"/>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row>
    <row r="254" spans="1:46" ht="14.25" customHeight="1">
      <c r="A254" s="1"/>
      <c r="B254" s="1"/>
      <c r="C254" s="1"/>
      <c r="D254" s="2"/>
      <c r="E254" s="3"/>
      <c r="F254" s="2"/>
      <c r="G254" s="2"/>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row>
    <row r="255" spans="1:46" ht="14.25" customHeight="1">
      <c r="A255" s="1"/>
      <c r="B255" s="1"/>
      <c r="C255" s="1"/>
      <c r="D255" s="2"/>
      <c r="E255" s="3"/>
      <c r="F255" s="2"/>
      <c r="G255" s="2"/>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row>
    <row r="256" spans="1:46" ht="14.25" customHeight="1">
      <c r="A256" s="1"/>
      <c r="B256" s="1"/>
      <c r="C256" s="1"/>
      <c r="D256" s="2"/>
      <c r="E256" s="3"/>
      <c r="F256" s="2"/>
      <c r="G256" s="2"/>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row>
    <row r="257" spans="1:46" ht="14.25" customHeight="1">
      <c r="A257" s="1"/>
      <c r="B257" s="1"/>
      <c r="C257" s="1"/>
      <c r="D257" s="2"/>
      <c r="E257" s="3"/>
      <c r="F257" s="2"/>
      <c r="G257" s="2"/>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row>
    <row r="258" spans="1:46" ht="14.25" customHeight="1">
      <c r="A258" s="1"/>
      <c r="B258" s="1"/>
      <c r="C258" s="1"/>
      <c r="D258" s="2"/>
      <c r="E258" s="3"/>
      <c r="F258" s="2"/>
      <c r="G258" s="2"/>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row>
    <row r="259" spans="1:46" ht="14.25" customHeight="1">
      <c r="A259" s="1"/>
      <c r="B259" s="1"/>
      <c r="C259" s="1"/>
      <c r="D259" s="2"/>
      <c r="E259" s="3"/>
      <c r="F259" s="2"/>
      <c r="G259" s="2"/>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row>
    <row r="260" spans="1:46" ht="14.25" customHeight="1">
      <c r="A260" s="1"/>
      <c r="B260" s="1"/>
      <c r="C260" s="1"/>
      <c r="D260" s="2"/>
      <c r="E260" s="3"/>
      <c r="F260" s="2"/>
      <c r="G260" s="2"/>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row>
    <row r="261" spans="1:46" ht="14.25" customHeight="1">
      <c r="A261" s="1"/>
      <c r="B261" s="1"/>
      <c r="C261" s="1"/>
      <c r="D261" s="2"/>
      <c r="E261" s="3"/>
      <c r="F261" s="2"/>
      <c r="G261" s="2"/>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row>
    <row r="262" spans="1:46" ht="14.25" customHeight="1">
      <c r="A262" s="1"/>
      <c r="B262" s="1"/>
      <c r="C262" s="1"/>
      <c r="D262" s="2"/>
      <c r="E262" s="3"/>
      <c r="F262" s="2"/>
      <c r="G262" s="2"/>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row>
    <row r="263" spans="1:46" ht="14.25" customHeight="1">
      <c r="A263" s="1"/>
      <c r="B263" s="1"/>
      <c r="C263" s="1"/>
      <c r="D263" s="2"/>
      <c r="E263" s="3"/>
      <c r="F263" s="2"/>
      <c r="G263" s="2"/>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row>
    <row r="264" spans="1:46" ht="14.25" customHeight="1">
      <c r="A264" s="1"/>
      <c r="B264" s="1"/>
      <c r="C264" s="1"/>
      <c r="D264" s="2"/>
      <c r="E264" s="3"/>
      <c r="F264" s="2"/>
      <c r="G264" s="2"/>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row>
    <row r="265" spans="1:46" ht="14.25" customHeight="1">
      <c r="A265" s="1"/>
      <c r="B265" s="1"/>
      <c r="C265" s="1"/>
      <c r="D265" s="2"/>
      <c r="E265" s="3"/>
      <c r="F265" s="2"/>
      <c r="G265" s="2"/>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row>
    <row r="266" spans="1:46" ht="14.25" customHeight="1">
      <c r="A266" s="1"/>
      <c r="B266" s="1"/>
      <c r="C266" s="1"/>
      <c r="D266" s="2"/>
      <c r="E266" s="3"/>
      <c r="F266" s="2"/>
      <c r="G266" s="2"/>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row>
    <row r="267" spans="1:46" ht="14.25" customHeight="1">
      <c r="A267" s="1"/>
      <c r="B267" s="1"/>
      <c r="C267" s="1"/>
      <c r="D267" s="2"/>
      <c r="E267" s="3"/>
      <c r="F267" s="2"/>
      <c r="G267" s="2"/>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row>
    <row r="268" spans="1:46" ht="14.25" customHeight="1">
      <c r="A268" s="1"/>
      <c r="B268" s="1"/>
      <c r="C268" s="1"/>
      <c r="D268" s="2"/>
      <c r="E268" s="3"/>
      <c r="F268" s="2"/>
      <c r="G268" s="2"/>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row>
    <row r="269" spans="1:46" ht="14.25" customHeight="1">
      <c r="A269" s="1"/>
      <c r="B269" s="1"/>
      <c r="C269" s="1"/>
      <c r="D269" s="2"/>
      <c r="E269" s="3"/>
      <c r="F269" s="2"/>
      <c r="G269" s="2"/>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row>
    <row r="270" spans="1:46" ht="14.25" customHeight="1">
      <c r="A270" s="1"/>
      <c r="B270" s="1"/>
      <c r="C270" s="1"/>
      <c r="D270" s="2"/>
      <c r="E270" s="3"/>
      <c r="F270" s="2"/>
      <c r="G270" s="2"/>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row>
    <row r="271" spans="1:46" ht="14.25" customHeight="1">
      <c r="A271" s="1"/>
      <c r="B271" s="1"/>
      <c r="C271" s="1"/>
      <c r="D271" s="2"/>
      <c r="E271" s="3"/>
      <c r="F271" s="2"/>
      <c r="G271" s="2"/>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row>
    <row r="272" spans="1:46" ht="14.25" customHeight="1">
      <c r="A272" s="1"/>
      <c r="B272" s="1"/>
      <c r="C272" s="1"/>
      <c r="D272" s="2"/>
      <c r="E272" s="3"/>
      <c r="F272" s="2"/>
      <c r="G272" s="2"/>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row>
    <row r="273" spans="1:46" ht="14.25" customHeight="1">
      <c r="A273" s="1"/>
      <c r="B273" s="1"/>
      <c r="C273" s="1"/>
      <c r="D273" s="2"/>
      <c r="E273" s="3"/>
      <c r="F273" s="2"/>
      <c r="G273" s="2"/>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row>
    <row r="274" spans="1:46" ht="14.25" customHeight="1">
      <c r="A274" s="1"/>
      <c r="B274" s="1"/>
      <c r="C274" s="1"/>
      <c r="D274" s="2"/>
      <c r="E274" s="3"/>
      <c r="F274" s="2"/>
      <c r="G274" s="2"/>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row>
    <row r="275" spans="1:46" ht="14.25" customHeight="1">
      <c r="A275" s="1"/>
      <c r="B275" s="1"/>
      <c r="C275" s="1"/>
      <c r="D275" s="2"/>
      <c r="E275" s="3"/>
      <c r="F275" s="2"/>
      <c r="G275" s="2"/>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row>
    <row r="276" spans="1:46" ht="14.25" customHeight="1">
      <c r="A276" s="1"/>
      <c r="B276" s="1"/>
      <c r="C276" s="1"/>
      <c r="D276" s="2"/>
      <c r="E276" s="3"/>
      <c r="F276" s="2"/>
      <c r="G276" s="2"/>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row>
    <row r="277" spans="1:46" ht="14.25" customHeight="1">
      <c r="A277" s="1"/>
      <c r="B277" s="1"/>
      <c r="C277" s="1"/>
      <c r="D277" s="2"/>
      <c r="E277" s="3"/>
      <c r="F277" s="2"/>
      <c r="G277" s="2"/>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row>
    <row r="278" spans="1:46" ht="14.25" customHeight="1">
      <c r="A278" s="1"/>
      <c r="B278" s="1"/>
      <c r="C278" s="1"/>
      <c r="D278" s="2"/>
      <c r="E278" s="3"/>
      <c r="F278" s="2"/>
      <c r="G278" s="2"/>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row>
    <row r="279" spans="1:46" ht="14.25" customHeight="1">
      <c r="A279" s="1"/>
      <c r="B279" s="1"/>
      <c r="C279" s="1"/>
      <c r="D279" s="2"/>
      <c r="E279" s="3"/>
      <c r="F279" s="2"/>
      <c r="G279" s="2"/>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row>
    <row r="280" spans="1:46" ht="14.25" customHeight="1">
      <c r="A280" s="1"/>
      <c r="B280" s="1"/>
      <c r="C280" s="1"/>
      <c r="D280" s="2"/>
      <c r="E280" s="3"/>
      <c r="F280" s="2"/>
      <c r="G280" s="2"/>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row>
    <row r="281" spans="1:46" ht="14.25" customHeight="1">
      <c r="A281" s="1"/>
      <c r="B281" s="1"/>
      <c r="C281" s="1"/>
      <c r="D281" s="2"/>
      <c r="E281" s="3"/>
      <c r="F281" s="2"/>
      <c r="G281" s="2"/>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row>
    <row r="282" spans="1:46" ht="14.25" customHeight="1">
      <c r="A282" s="1"/>
      <c r="B282" s="1"/>
      <c r="C282" s="1"/>
      <c r="D282" s="2"/>
      <c r="E282" s="3"/>
      <c r="F282" s="2"/>
      <c r="G282" s="2"/>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row>
    <row r="283" spans="1:46" ht="14.25" customHeight="1">
      <c r="A283" s="1"/>
      <c r="B283" s="1"/>
      <c r="C283" s="1"/>
      <c r="D283" s="2"/>
      <c r="E283" s="3"/>
      <c r="F283" s="2"/>
      <c r="G283" s="2"/>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row>
    <row r="284" spans="1:46" ht="14.25" customHeight="1">
      <c r="A284" s="1"/>
      <c r="B284" s="1"/>
      <c r="C284" s="1"/>
      <c r="D284" s="2"/>
      <c r="E284" s="3"/>
      <c r="F284" s="2"/>
      <c r="G284" s="2"/>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row>
    <row r="285" spans="1:46" ht="14.25" customHeight="1">
      <c r="A285" s="1"/>
      <c r="B285" s="1"/>
      <c r="C285" s="1"/>
      <c r="D285" s="2"/>
      <c r="E285" s="3"/>
      <c r="F285" s="2"/>
      <c r="G285" s="2"/>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row>
    <row r="286" spans="1:46" ht="14.25" customHeight="1">
      <c r="A286" s="1"/>
      <c r="B286" s="1"/>
      <c r="C286" s="1"/>
      <c r="D286" s="2"/>
      <c r="E286" s="3"/>
      <c r="F286" s="2"/>
      <c r="G286" s="2"/>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row>
    <row r="287" spans="1:46" ht="14.25" customHeight="1">
      <c r="A287" s="1"/>
      <c r="B287" s="1"/>
      <c r="C287" s="1"/>
      <c r="D287" s="2"/>
      <c r="E287" s="3"/>
      <c r="F287" s="2"/>
      <c r="G287" s="2"/>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row>
    <row r="288" spans="1:46" ht="14.25" customHeight="1">
      <c r="A288" s="1"/>
      <c r="B288" s="1"/>
      <c r="C288" s="1"/>
      <c r="D288" s="2"/>
      <c r="E288" s="3"/>
      <c r="F288" s="2"/>
      <c r="G288" s="2"/>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row>
    <row r="289" spans="1:46" ht="14.25" customHeight="1">
      <c r="A289" s="1"/>
      <c r="B289" s="1"/>
      <c r="C289" s="1"/>
      <c r="D289" s="2"/>
      <c r="E289" s="3"/>
      <c r="F289" s="2"/>
      <c r="G289" s="2"/>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row>
    <row r="290" spans="1:46" ht="14.25" customHeight="1">
      <c r="A290" s="1"/>
      <c r="B290" s="1"/>
      <c r="C290" s="1"/>
      <c r="D290" s="2"/>
      <c r="E290" s="3"/>
      <c r="F290" s="2"/>
      <c r="G290" s="2"/>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row>
    <row r="291" spans="1:46" ht="14.25" customHeight="1">
      <c r="A291" s="1"/>
      <c r="B291" s="1"/>
      <c r="C291" s="1"/>
      <c r="D291" s="2"/>
      <c r="E291" s="3"/>
      <c r="F291" s="2"/>
      <c r="G291" s="2"/>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row>
    <row r="292" spans="1:46" ht="14.25" customHeight="1">
      <c r="A292" s="1"/>
      <c r="B292" s="1"/>
      <c r="C292" s="1"/>
      <c r="D292" s="2"/>
      <c r="E292" s="3"/>
      <c r="F292" s="2"/>
      <c r="G292" s="2"/>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row>
    <row r="293" spans="1:46" ht="14.25" customHeight="1">
      <c r="A293" s="1"/>
      <c r="B293" s="1"/>
      <c r="C293" s="1"/>
      <c r="D293" s="2"/>
      <c r="E293" s="3"/>
      <c r="F293" s="2"/>
      <c r="G293" s="2"/>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row>
    <row r="294" spans="1:46" ht="14.25" customHeight="1">
      <c r="A294" s="1"/>
      <c r="B294" s="1"/>
      <c r="C294" s="1"/>
      <c r="D294" s="2"/>
      <c r="E294" s="3"/>
      <c r="F294" s="2"/>
      <c r="G294" s="2"/>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row>
    <row r="295" spans="1:46" ht="14.25" customHeight="1">
      <c r="A295" s="1"/>
      <c r="B295" s="1"/>
      <c r="C295" s="1"/>
      <c r="D295" s="2"/>
      <c r="E295" s="3"/>
      <c r="F295" s="2"/>
      <c r="G295" s="2"/>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row>
    <row r="296" spans="1:46" ht="14.25" customHeight="1">
      <c r="A296" s="1"/>
      <c r="B296" s="1"/>
      <c r="C296" s="1"/>
      <c r="D296" s="2"/>
      <c r="E296" s="3"/>
      <c r="F296" s="2"/>
      <c r="G296" s="2"/>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row>
    <row r="297" spans="1:46" ht="14.25" customHeight="1">
      <c r="A297" s="1"/>
      <c r="B297" s="1"/>
      <c r="C297" s="1"/>
      <c r="D297" s="2"/>
      <c r="E297" s="3"/>
      <c r="F297" s="2"/>
      <c r="G297" s="2"/>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row>
    <row r="298" spans="1:46" ht="14.25" customHeight="1">
      <c r="A298" s="1"/>
      <c r="B298" s="1"/>
      <c r="C298" s="1"/>
      <c r="D298" s="2"/>
      <c r="E298" s="3"/>
      <c r="F298" s="2"/>
      <c r="G298" s="2"/>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row>
    <row r="299" spans="1:46" ht="14.25" customHeight="1">
      <c r="A299" s="1"/>
      <c r="B299" s="1"/>
      <c r="C299" s="1"/>
      <c r="D299" s="2"/>
      <c r="E299" s="3"/>
      <c r="F299" s="2"/>
      <c r="G299" s="2"/>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row>
    <row r="300" spans="1:46" ht="14.25" customHeight="1">
      <c r="A300" s="1"/>
      <c r="B300" s="1"/>
      <c r="C300" s="1"/>
      <c r="D300" s="2"/>
      <c r="E300" s="3"/>
      <c r="F300" s="2"/>
      <c r="G300" s="2"/>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row>
    <row r="301" spans="1:46" ht="14.25" customHeight="1">
      <c r="A301" s="1"/>
      <c r="B301" s="1"/>
      <c r="C301" s="1"/>
      <c r="D301" s="2"/>
      <c r="E301" s="3"/>
      <c r="F301" s="2"/>
      <c r="G301" s="2"/>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row>
    <row r="302" spans="1:46" ht="14.25" customHeight="1">
      <c r="A302" s="1"/>
      <c r="B302" s="1"/>
      <c r="C302" s="1"/>
      <c r="D302" s="2"/>
      <c r="E302" s="3"/>
      <c r="F302" s="2"/>
      <c r="G302" s="2"/>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row>
    <row r="303" spans="1:46" ht="14.25" customHeight="1">
      <c r="A303" s="1"/>
      <c r="B303" s="1"/>
      <c r="C303" s="1"/>
      <c r="D303" s="2"/>
      <c r="E303" s="3"/>
      <c r="F303" s="2"/>
      <c r="G303" s="2"/>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row>
    <row r="304" spans="1:46" ht="14.25" customHeight="1">
      <c r="A304" s="1"/>
      <c r="B304" s="1"/>
      <c r="C304" s="1"/>
      <c r="D304" s="2"/>
      <c r="E304" s="3"/>
      <c r="F304" s="2"/>
      <c r="G304" s="2"/>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row>
    <row r="305" spans="1:46" ht="14.25" customHeight="1">
      <c r="A305" s="1"/>
      <c r="B305" s="1"/>
      <c r="C305" s="1"/>
      <c r="D305" s="2"/>
      <c r="E305" s="3"/>
      <c r="F305" s="2"/>
      <c r="G305" s="2"/>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row>
    <row r="306" spans="1:46" ht="14.25" customHeight="1">
      <c r="A306" s="1"/>
      <c r="B306" s="1"/>
      <c r="C306" s="1"/>
      <c r="D306" s="2"/>
      <c r="E306" s="3"/>
      <c r="F306" s="2"/>
      <c r="G306" s="2"/>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row>
    <row r="307" spans="1:46" ht="14.25" customHeight="1">
      <c r="A307" s="1"/>
      <c r="B307" s="1"/>
      <c r="C307" s="1"/>
      <c r="D307" s="2"/>
      <c r="E307" s="3"/>
      <c r="F307" s="2"/>
      <c r="G307" s="2"/>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row>
    <row r="308" spans="1:46" ht="14.25" customHeight="1">
      <c r="A308" s="1"/>
      <c r="B308" s="1"/>
      <c r="C308" s="1"/>
      <c r="D308" s="2"/>
      <c r="E308" s="3"/>
      <c r="F308" s="2"/>
      <c r="G308" s="2"/>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row>
    <row r="309" spans="1:46" ht="14.25" customHeight="1">
      <c r="A309" s="1"/>
      <c r="B309" s="1"/>
      <c r="C309" s="1"/>
      <c r="D309" s="2"/>
      <c r="E309" s="3"/>
      <c r="F309" s="2"/>
      <c r="G309" s="2"/>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row>
    <row r="310" spans="1:46" ht="14.25" customHeight="1">
      <c r="A310" s="1"/>
      <c r="B310" s="1"/>
      <c r="C310" s="1"/>
      <c r="D310" s="2"/>
      <c r="E310" s="3"/>
      <c r="F310" s="2"/>
      <c r="G310" s="2"/>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row>
    <row r="311" spans="1:46" ht="14.25" customHeight="1">
      <c r="A311" s="1"/>
      <c r="B311" s="1"/>
      <c r="C311" s="1"/>
      <c r="D311" s="2"/>
      <c r="E311" s="3"/>
      <c r="F311" s="2"/>
      <c r="G311" s="2"/>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row>
    <row r="312" spans="1:46" ht="14.25" customHeight="1">
      <c r="A312" s="1"/>
      <c r="B312" s="1"/>
      <c r="C312" s="1"/>
      <c r="D312" s="2"/>
      <c r="E312" s="3"/>
      <c r="F312" s="2"/>
      <c r="G312" s="2"/>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row>
    <row r="313" spans="1:46" ht="14.25" customHeight="1">
      <c r="A313" s="1"/>
      <c r="B313" s="1"/>
      <c r="C313" s="1"/>
      <c r="D313" s="2"/>
      <c r="E313" s="3"/>
      <c r="F313" s="2"/>
      <c r="G313" s="2"/>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row>
    <row r="314" spans="1:46" ht="14.25" customHeight="1">
      <c r="A314" s="1"/>
      <c r="B314" s="1"/>
      <c r="C314" s="1"/>
      <c r="D314" s="2"/>
      <c r="E314" s="3"/>
      <c r="F314" s="2"/>
      <c r="G314" s="2"/>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row>
    <row r="315" spans="1:46" ht="14.25" customHeight="1">
      <c r="A315" s="1"/>
      <c r="B315" s="1"/>
      <c r="C315" s="1"/>
      <c r="D315" s="2"/>
      <c r="E315" s="3"/>
      <c r="F315" s="2"/>
      <c r="G315" s="2"/>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row>
    <row r="316" spans="1:46" ht="14.25" customHeight="1">
      <c r="A316" s="1"/>
      <c r="B316" s="1"/>
      <c r="C316" s="1"/>
      <c r="D316" s="2"/>
      <c r="E316" s="3"/>
      <c r="F316" s="2"/>
      <c r="G316" s="2"/>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row>
    <row r="317" spans="1:46" ht="14.25" customHeight="1">
      <c r="A317" s="1"/>
      <c r="B317" s="1"/>
      <c r="C317" s="1"/>
      <c r="D317" s="2"/>
      <c r="E317" s="3"/>
      <c r="F317" s="2"/>
      <c r="G317" s="2"/>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row>
    <row r="318" spans="1:46" ht="14.25" customHeight="1">
      <c r="A318" s="1"/>
      <c r="B318" s="1"/>
      <c r="C318" s="1"/>
      <c r="D318" s="2"/>
      <c r="E318" s="3"/>
      <c r="F318" s="2"/>
      <c r="G318" s="2"/>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row>
    <row r="319" spans="1:46" ht="14.25" customHeight="1">
      <c r="A319" s="1"/>
      <c r="B319" s="1"/>
      <c r="C319" s="1"/>
      <c r="D319" s="2"/>
      <c r="E319" s="3"/>
      <c r="F319" s="2"/>
      <c r="G319" s="2"/>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row>
    <row r="320" spans="1:46" ht="14.25" customHeight="1">
      <c r="A320" s="1"/>
      <c r="B320" s="1"/>
      <c r="C320" s="1"/>
      <c r="D320" s="2"/>
      <c r="E320" s="3"/>
      <c r="F320" s="2"/>
      <c r="G320" s="2"/>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row>
    <row r="321" spans="1:46" ht="14.25" customHeight="1">
      <c r="A321" s="1"/>
      <c r="B321" s="1"/>
      <c r="C321" s="1"/>
      <c r="D321" s="2"/>
      <c r="E321" s="3"/>
      <c r="F321" s="2"/>
      <c r="G321" s="2"/>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row>
    <row r="322" spans="1:46" ht="14.25" customHeight="1">
      <c r="A322" s="1"/>
      <c r="B322" s="1"/>
      <c r="C322" s="1"/>
      <c r="D322" s="2"/>
      <c r="E322" s="3"/>
      <c r="F322" s="2"/>
      <c r="G322" s="2"/>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row>
    <row r="323" spans="1:46" ht="14.25" customHeight="1">
      <c r="A323" s="1"/>
      <c r="B323" s="1"/>
      <c r="C323" s="1"/>
      <c r="D323" s="2"/>
      <c r="E323" s="3"/>
      <c r="F323" s="2"/>
      <c r="G323" s="2"/>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row>
    <row r="324" spans="1:46" ht="14.25" customHeight="1">
      <c r="A324" s="1"/>
      <c r="B324" s="1"/>
      <c r="C324" s="1"/>
      <c r="D324" s="2"/>
      <c r="E324" s="3"/>
      <c r="F324" s="2"/>
      <c r="G324" s="2"/>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row>
    <row r="325" spans="1:46" ht="14.25" customHeight="1">
      <c r="A325" s="1"/>
      <c r="B325" s="1"/>
      <c r="C325" s="1"/>
      <c r="D325" s="2"/>
      <c r="E325" s="3"/>
      <c r="F325" s="2"/>
      <c r="G325" s="2"/>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row>
    <row r="326" spans="1:46" ht="14.25" customHeight="1">
      <c r="A326" s="1"/>
      <c r="B326" s="1"/>
      <c r="C326" s="1"/>
      <c r="D326" s="2"/>
      <c r="E326" s="3"/>
      <c r="F326" s="2"/>
      <c r="G326" s="2"/>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row>
    <row r="327" spans="1:46" ht="14.25" customHeight="1">
      <c r="A327" s="1"/>
      <c r="B327" s="1"/>
      <c r="C327" s="1"/>
      <c r="D327" s="2"/>
      <c r="E327" s="3"/>
      <c r="F327" s="2"/>
      <c r="G327" s="2"/>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row>
    <row r="328" spans="1:46" ht="14.25" customHeight="1">
      <c r="A328" s="1"/>
      <c r="B328" s="1"/>
      <c r="C328" s="1"/>
      <c r="D328" s="2"/>
      <c r="E328" s="3"/>
      <c r="F328" s="2"/>
      <c r="G328" s="2"/>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row>
    <row r="329" spans="1:46" ht="14.25" customHeight="1">
      <c r="A329" s="1"/>
      <c r="B329" s="1"/>
      <c r="C329" s="1"/>
      <c r="D329" s="2"/>
      <c r="E329" s="3"/>
      <c r="F329" s="2"/>
      <c r="G329" s="2"/>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row>
    <row r="330" spans="1:46" ht="14.25" customHeight="1">
      <c r="A330" s="1"/>
      <c r="B330" s="1"/>
      <c r="C330" s="1"/>
      <c r="D330" s="2"/>
      <c r="E330" s="3"/>
      <c r="F330" s="2"/>
      <c r="G330" s="2"/>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row>
    <row r="331" spans="1:46" ht="14.25" customHeight="1">
      <c r="A331" s="1"/>
      <c r="B331" s="1"/>
      <c r="C331" s="1"/>
      <c r="D331" s="2"/>
      <c r="E331" s="3"/>
      <c r="F331" s="2"/>
      <c r="G331" s="2"/>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row>
    <row r="332" spans="1:46" ht="14.25" customHeight="1">
      <c r="A332" s="1"/>
      <c r="B332" s="1"/>
      <c r="C332" s="1"/>
      <c r="D332" s="2"/>
      <c r="E332" s="3"/>
      <c r="F332" s="2"/>
      <c r="G332" s="2"/>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row>
    <row r="333" spans="1:46" ht="14.25" customHeight="1">
      <c r="A333" s="1"/>
      <c r="B333" s="1"/>
      <c r="C333" s="1"/>
      <c r="D333" s="2"/>
      <c r="E333" s="3"/>
      <c r="F333" s="2"/>
      <c r="G333" s="2"/>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row>
    <row r="334" spans="1:46" ht="14.25" customHeight="1">
      <c r="A334" s="1"/>
      <c r="B334" s="1"/>
      <c r="C334" s="1"/>
      <c r="D334" s="2"/>
      <c r="E334" s="3"/>
      <c r="F334" s="2"/>
      <c r="G334" s="2"/>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row>
    <row r="335" spans="1:46" ht="14.25" customHeight="1">
      <c r="A335" s="1"/>
      <c r="B335" s="1"/>
      <c r="C335" s="1"/>
      <c r="D335" s="2"/>
      <c r="E335" s="3"/>
      <c r="F335" s="2"/>
      <c r="G335" s="2"/>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row>
    <row r="336" spans="1:46" ht="14.25" customHeight="1">
      <c r="A336" s="1"/>
      <c r="B336" s="1"/>
      <c r="C336" s="1"/>
      <c r="D336" s="2"/>
      <c r="E336" s="3"/>
      <c r="F336" s="2"/>
      <c r="G336" s="2"/>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row>
    <row r="337" spans="1:46" ht="14.25" customHeight="1">
      <c r="A337" s="1"/>
      <c r="B337" s="1"/>
      <c r="C337" s="1"/>
      <c r="D337" s="2"/>
      <c r="E337" s="3"/>
      <c r="F337" s="2"/>
      <c r="G337" s="2"/>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row>
    <row r="338" spans="1:46" ht="14.25" customHeight="1">
      <c r="A338" s="1"/>
      <c r="B338" s="1"/>
      <c r="C338" s="1"/>
      <c r="D338" s="2"/>
      <c r="E338" s="3"/>
      <c r="F338" s="2"/>
      <c r="G338" s="2"/>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row>
    <row r="339" spans="1:46" ht="14.25" customHeight="1">
      <c r="A339" s="1"/>
      <c r="B339" s="1"/>
      <c r="C339" s="1"/>
      <c r="D339" s="2"/>
      <c r="E339" s="3"/>
      <c r="F339" s="2"/>
      <c r="G339" s="2"/>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row>
    <row r="340" spans="1:46" ht="14.25" customHeight="1">
      <c r="A340" s="1"/>
      <c r="B340" s="1"/>
      <c r="C340" s="1"/>
      <c r="D340" s="2"/>
      <c r="E340" s="3"/>
      <c r="F340" s="2"/>
      <c r="G340" s="2"/>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row>
    <row r="341" spans="1:46" ht="14.25" customHeight="1">
      <c r="A341" s="1"/>
      <c r="B341" s="1"/>
      <c r="C341" s="1"/>
      <c r="D341" s="2"/>
      <c r="E341" s="3"/>
      <c r="F341" s="2"/>
      <c r="G341" s="2"/>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row>
    <row r="342" spans="1:46" ht="14.25" customHeight="1">
      <c r="A342" s="1"/>
      <c r="B342" s="1"/>
      <c r="C342" s="1"/>
      <c r="D342" s="2"/>
      <c r="E342" s="3"/>
      <c r="F342" s="2"/>
      <c r="G342" s="2"/>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row>
    <row r="343" spans="1:46" ht="14.25" customHeight="1">
      <c r="A343" s="1"/>
      <c r="B343" s="1"/>
      <c r="C343" s="1"/>
      <c r="D343" s="2"/>
      <c r="E343" s="3"/>
      <c r="F343" s="2"/>
      <c r="G343" s="2"/>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row>
    <row r="344" spans="1:46" ht="14.25" customHeight="1">
      <c r="A344" s="1"/>
      <c r="B344" s="1"/>
      <c r="C344" s="1"/>
      <c r="D344" s="2"/>
      <c r="E344" s="3"/>
      <c r="F344" s="2"/>
      <c r="G344" s="2"/>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row>
    <row r="345" spans="1:46" ht="14.25" customHeight="1">
      <c r="A345" s="1"/>
      <c r="B345" s="1"/>
      <c r="C345" s="1"/>
      <c r="D345" s="2"/>
      <c r="E345" s="3"/>
      <c r="F345" s="2"/>
      <c r="G345" s="2"/>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row>
    <row r="346" spans="1:46" ht="14.25" customHeight="1">
      <c r="A346" s="1"/>
      <c r="B346" s="1"/>
      <c r="C346" s="1"/>
      <c r="D346" s="2"/>
      <c r="E346" s="3"/>
      <c r="F346" s="2"/>
      <c r="G346" s="2"/>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row>
    <row r="347" spans="1:46" ht="14.25" customHeight="1">
      <c r="A347" s="1"/>
      <c r="B347" s="1"/>
      <c r="C347" s="1"/>
      <c r="D347" s="2"/>
      <c r="E347" s="3"/>
      <c r="F347" s="2"/>
      <c r="G347" s="2"/>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row>
    <row r="348" spans="1:46" ht="14.25" customHeight="1">
      <c r="A348" s="1"/>
      <c r="B348" s="1"/>
      <c r="C348" s="1"/>
      <c r="D348" s="2"/>
      <c r="E348" s="3"/>
      <c r="F348" s="2"/>
      <c r="G348" s="2"/>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row>
    <row r="349" spans="1:46" ht="14.25" customHeight="1">
      <c r="A349" s="1"/>
      <c r="B349" s="1"/>
      <c r="C349" s="1"/>
      <c r="D349" s="2"/>
      <c r="E349" s="3"/>
      <c r="F349" s="2"/>
      <c r="G349" s="2"/>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row>
    <row r="350" spans="1:46" ht="14.25" customHeight="1">
      <c r="A350" s="1"/>
      <c r="B350" s="1"/>
      <c r="C350" s="1"/>
      <c r="D350" s="2"/>
      <c r="E350" s="3"/>
      <c r="F350" s="2"/>
      <c r="G350" s="2"/>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row>
    <row r="351" spans="1:46" ht="14.25" customHeight="1">
      <c r="A351" s="1"/>
      <c r="B351" s="1"/>
      <c r="C351" s="1"/>
      <c r="D351" s="2"/>
      <c r="E351" s="3"/>
      <c r="F351" s="2"/>
      <c r="G351" s="2"/>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row>
    <row r="352" spans="1:46" ht="14.25" customHeight="1">
      <c r="A352" s="1"/>
      <c r="B352" s="1"/>
      <c r="C352" s="1"/>
      <c r="D352" s="2"/>
      <c r="E352" s="3"/>
      <c r="F352" s="2"/>
      <c r="G352" s="2"/>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row>
    <row r="353" spans="1:46" ht="14.25" customHeight="1">
      <c r="A353" s="1"/>
      <c r="B353" s="1"/>
      <c r="C353" s="1"/>
      <c r="D353" s="2"/>
      <c r="E353" s="3"/>
      <c r="F353" s="2"/>
      <c r="G353" s="2"/>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row>
    <row r="354" spans="1:46" ht="14.25" customHeight="1">
      <c r="A354" s="1"/>
      <c r="B354" s="1"/>
      <c r="C354" s="1"/>
      <c r="D354" s="2"/>
      <c r="E354" s="3"/>
      <c r="F354" s="2"/>
      <c r="G354" s="2"/>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row>
    <row r="355" spans="1:46" ht="14.25" customHeight="1">
      <c r="A355" s="1"/>
      <c r="B355" s="1"/>
      <c r="C355" s="1"/>
      <c r="D355" s="2"/>
      <c r="E355" s="3"/>
      <c r="F355" s="2"/>
      <c r="G355" s="2"/>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row>
    <row r="356" spans="1:46" ht="14.25" customHeight="1">
      <c r="A356" s="1"/>
      <c r="B356" s="1"/>
      <c r="C356" s="1"/>
      <c r="D356" s="2"/>
      <c r="E356" s="3"/>
      <c r="F356" s="2"/>
      <c r="G356" s="2"/>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row>
    <row r="357" spans="1:46" ht="14.25" customHeight="1">
      <c r="A357" s="1"/>
      <c r="B357" s="1"/>
      <c r="C357" s="1"/>
      <c r="D357" s="2"/>
      <c r="E357" s="3"/>
      <c r="F357" s="2"/>
      <c r="G357" s="2"/>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row>
    <row r="358" spans="1:46" ht="14.25" customHeight="1">
      <c r="A358" s="1"/>
      <c r="B358" s="1"/>
      <c r="C358" s="1"/>
      <c r="D358" s="2"/>
      <c r="E358" s="3"/>
      <c r="F358" s="2"/>
      <c r="G358" s="2"/>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row>
    <row r="359" spans="1:46" ht="14.25" customHeight="1">
      <c r="A359" s="1"/>
      <c r="B359" s="1"/>
      <c r="C359" s="1"/>
      <c r="D359" s="2"/>
      <c r="E359" s="3"/>
      <c r="F359" s="2"/>
      <c r="G359" s="2"/>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row>
    <row r="360" spans="1:46" ht="14.25" customHeight="1">
      <c r="A360" s="1"/>
      <c r="B360" s="1"/>
      <c r="C360" s="1"/>
      <c r="D360" s="2"/>
      <c r="E360" s="3"/>
      <c r="F360" s="2"/>
      <c r="G360" s="2"/>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row>
    <row r="361" spans="1:46" ht="14.25" customHeight="1">
      <c r="A361" s="1"/>
      <c r="B361" s="1"/>
      <c r="C361" s="1"/>
      <c r="D361" s="2"/>
      <c r="E361" s="3"/>
      <c r="F361" s="2"/>
      <c r="G361" s="2"/>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row>
    <row r="362" spans="1:46" ht="14.25" customHeight="1">
      <c r="A362" s="1"/>
      <c r="B362" s="1"/>
      <c r="C362" s="1"/>
      <c r="D362" s="2"/>
      <c r="E362" s="3"/>
      <c r="F362" s="2"/>
      <c r="G362" s="2"/>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row>
    <row r="363" spans="1:46" ht="14.25" customHeight="1">
      <c r="A363" s="1"/>
      <c r="B363" s="1"/>
      <c r="C363" s="1"/>
      <c r="D363" s="2"/>
      <c r="E363" s="3"/>
      <c r="F363" s="2"/>
      <c r="G363" s="2"/>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row>
    <row r="364" spans="1:46" ht="14.25" customHeight="1">
      <c r="A364" s="1"/>
      <c r="B364" s="1"/>
      <c r="C364" s="1"/>
      <c r="D364" s="2"/>
      <c r="E364" s="3"/>
      <c r="F364" s="2"/>
      <c r="G364" s="2"/>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row>
    <row r="365" spans="1:46" ht="14.25" customHeight="1">
      <c r="A365" s="1"/>
      <c r="B365" s="1"/>
      <c r="C365" s="1"/>
      <c r="D365" s="2"/>
      <c r="E365" s="3"/>
      <c r="F365" s="2"/>
      <c r="G365" s="2"/>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row>
    <row r="366" spans="1:46" ht="14.25" customHeight="1">
      <c r="A366" s="1"/>
      <c r="B366" s="1"/>
      <c r="C366" s="1"/>
      <c r="D366" s="2"/>
      <c r="E366" s="3"/>
      <c r="F366" s="2"/>
      <c r="G366" s="2"/>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row>
    <row r="367" spans="1:46" ht="14.25" customHeight="1">
      <c r="A367" s="1"/>
      <c r="B367" s="1"/>
      <c r="C367" s="1"/>
      <c r="D367" s="2"/>
      <c r="E367" s="3"/>
      <c r="F367" s="2"/>
      <c r="G367" s="2"/>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row>
    <row r="368" spans="1:46" ht="14.25" customHeight="1">
      <c r="A368" s="1"/>
      <c r="B368" s="1"/>
      <c r="C368" s="1"/>
      <c r="D368" s="2"/>
      <c r="E368" s="3"/>
      <c r="F368" s="2"/>
      <c r="G368" s="2"/>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row>
    <row r="369" spans="1:46" ht="14.25" customHeight="1">
      <c r="A369" s="1"/>
      <c r="B369" s="1"/>
      <c r="C369" s="1"/>
      <c r="D369" s="2"/>
      <c r="E369" s="3"/>
      <c r="F369" s="2"/>
      <c r="G369" s="2"/>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row>
    <row r="370" spans="1:46" ht="14.25" customHeight="1">
      <c r="A370" s="1"/>
      <c r="B370" s="1"/>
      <c r="C370" s="1"/>
      <c r="D370" s="2"/>
      <c r="E370" s="3"/>
      <c r="F370" s="2"/>
      <c r="G370" s="2"/>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row>
    <row r="371" spans="1:46" ht="14.25" customHeight="1">
      <c r="A371" s="1"/>
      <c r="B371" s="1"/>
      <c r="C371" s="1"/>
      <c r="D371" s="2"/>
      <c r="E371" s="3"/>
      <c r="F371" s="2"/>
      <c r="G371" s="2"/>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row>
    <row r="372" spans="1:46" ht="14.25" customHeight="1">
      <c r="A372" s="1"/>
      <c r="B372" s="1"/>
      <c r="C372" s="1"/>
      <c r="D372" s="2"/>
      <c r="E372" s="3"/>
      <c r="F372" s="2"/>
      <c r="G372" s="2"/>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row>
    <row r="373" spans="1:46" ht="14.25" customHeight="1">
      <c r="A373" s="1"/>
      <c r="B373" s="1"/>
      <c r="C373" s="1"/>
      <c r="D373" s="2"/>
      <c r="E373" s="3"/>
      <c r="F373" s="2"/>
      <c r="G373" s="2"/>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row>
    <row r="374" spans="1:46" ht="14.25" customHeight="1">
      <c r="A374" s="1"/>
      <c r="B374" s="1"/>
      <c r="C374" s="1"/>
      <c r="D374" s="2"/>
      <c r="E374" s="3"/>
      <c r="F374" s="2"/>
      <c r="G374" s="2"/>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row>
    <row r="375" spans="1:46" ht="14.25" customHeight="1">
      <c r="A375" s="1"/>
      <c r="B375" s="1"/>
      <c r="C375" s="1"/>
      <c r="D375" s="2"/>
      <c r="E375" s="3"/>
      <c r="F375" s="2"/>
      <c r="G375" s="2"/>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row>
    <row r="376" spans="1:46" ht="14.25" customHeight="1">
      <c r="A376" s="1"/>
      <c r="B376" s="1"/>
      <c r="C376" s="1"/>
      <c r="D376" s="2"/>
      <c r="E376" s="3"/>
      <c r="F376" s="2"/>
      <c r="G376" s="2"/>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row>
    <row r="377" spans="1:46" ht="14.25" customHeight="1">
      <c r="A377" s="1"/>
      <c r="B377" s="1"/>
      <c r="C377" s="1"/>
      <c r="D377" s="2"/>
      <c r="E377" s="3"/>
      <c r="F377" s="2"/>
      <c r="G377" s="2"/>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row>
    <row r="378" spans="1:46" ht="14.25" customHeight="1">
      <c r="A378" s="1"/>
      <c r="B378" s="1"/>
      <c r="C378" s="1"/>
      <c r="D378" s="2"/>
      <c r="E378" s="3"/>
      <c r="F378" s="2"/>
      <c r="G378" s="2"/>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row>
    <row r="379" spans="1:46" ht="14.25" customHeight="1">
      <c r="A379" s="1"/>
      <c r="B379" s="1"/>
      <c r="C379" s="1"/>
      <c r="D379" s="2"/>
      <c r="E379" s="3"/>
      <c r="F379" s="2"/>
      <c r="G379" s="2"/>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row>
    <row r="380" spans="1:46" ht="14.25" customHeight="1">
      <c r="A380" s="1"/>
      <c r="B380" s="1"/>
      <c r="C380" s="1"/>
      <c r="D380" s="2"/>
      <c r="E380" s="3"/>
      <c r="F380" s="2"/>
      <c r="G380" s="2"/>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row>
    <row r="381" spans="1:46" ht="14.25" customHeight="1">
      <c r="A381" s="1"/>
      <c r="B381" s="1"/>
      <c r="C381" s="1"/>
      <c r="D381" s="2"/>
      <c r="E381" s="3"/>
      <c r="F381" s="2"/>
      <c r="G381" s="2"/>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row>
    <row r="382" spans="1:46" ht="14.25" customHeight="1">
      <c r="A382" s="1"/>
      <c r="B382" s="1"/>
      <c r="C382" s="1"/>
      <c r="D382" s="2"/>
      <c r="E382" s="3"/>
      <c r="F382" s="2"/>
      <c r="G382" s="2"/>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row>
    <row r="383" spans="1:46" ht="14.25" customHeight="1">
      <c r="A383" s="1"/>
      <c r="B383" s="1"/>
      <c r="C383" s="1"/>
      <c r="D383" s="2"/>
      <c r="E383" s="3"/>
      <c r="F383" s="2"/>
      <c r="G383" s="2"/>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row>
    <row r="384" spans="1:46" ht="14.25" customHeight="1">
      <c r="A384" s="1"/>
      <c r="B384" s="1"/>
      <c r="C384" s="1"/>
      <c r="D384" s="2"/>
      <c r="E384" s="3"/>
      <c r="F384" s="2"/>
      <c r="G384" s="2"/>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row>
    <row r="385" spans="1:46" ht="14.25" customHeight="1">
      <c r="A385" s="1"/>
      <c r="B385" s="1"/>
      <c r="C385" s="1"/>
      <c r="D385" s="2"/>
      <c r="E385" s="3"/>
      <c r="F385" s="2"/>
      <c r="G385" s="2"/>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row>
    <row r="386" spans="1:46" ht="14.25" customHeight="1">
      <c r="A386" s="1"/>
      <c r="B386" s="1"/>
      <c r="C386" s="1"/>
      <c r="D386" s="2"/>
      <c r="E386" s="3"/>
      <c r="F386" s="2"/>
      <c r="G386" s="2"/>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row>
    <row r="387" spans="1:46" ht="14.25" customHeight="1">
      <c r="A387" s="1"/>
      <c r="B387" s="1"/>
      <c r="C387" s="1"/>
      <c r="D387" s="2"/>
      <c r="E387" s="3"/>
      <c r="F387" s="2"/>
      <c r="G387" s="2"/>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row>
    <row r="388" spans="1:46" ht="14.25" customHeight="1">
      <c r="A388" s="1"/>
      <c r="B388" s="1"/>
      <c r="C388" s="1"/>
      <c r="D388" s="2"/>
      <c r="E388" s="3"/>
      <c r="F388" s="2"/>
      <c r="G388" s="2"/>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row>
    <row r="389" spans="1:46" ht="14.25" customHeight="1">
      <c r="A389" s="1"/>
      <c r="B389" s="1"/>
      <c r="C389" s="1"/>
      <c r="D389" s="2"/>
      <c r="E389" s="3"/>
      <c r="F389" s="2"/>
      <c r="G389" s="2"/>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row>
    <row r="390" spans="1:46" ht="14.25" customHeight="1">
      <c r="A390" s="1"/>
      <c r="B390" s="1"/>
      <c r="C390" s="1"/>
      <c r="D390" s="2"/>
      <c r="E390" s="3"/>
      <c r="F390" s="2"/>
      <c r="G390" s="2"/>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row>
    <row r="391" spans="1:46" ht="14.25" customHeight="1">
      <c r="A391" s="1"/>
      <c r="B391" s="1"/>
      <c r="C391" s="1"/>
      <c r="D391" s="2"/>
      <c r="E391" s="3"/>
      <c r="F391" s="2"/>
      <c r="G391" s="2"/>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row>
    <row r="392" spans="1:46" ht="14.25" customHeight="1">
      <c r="A392" s="1"/>
      <c r="B392" s="1"/>
      <c r="C392" s="1"/>
      <c r="D392" s="2"/>
      <c r="E392" s="3"/>
      <c r="F392" s="2"/>
      <c r="G392" s="2"/>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row>
    <row r="393" spans="1:46" ht="14.25" customHeight="1">
      <c r="A393" s="1"/>
      <c r="B393" s="1"/>
      <c r="C393" s="1"/>
      <c r="D393" s="2"/>
      <c r="E393" s="3"/>
      <c r="F393" s="2"/>
      <c r="G393" s="2"/>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row>
    <row r="394" spans="1:46" ht="14.25" customHeight="1">
      <c r="A394" s="1"/>
      <c r="B394" s="1"/>
      <c r="C394" s="1"/>
      <c r="D394" s="2"/>
      <c r="E394" s="3"/>
      <c r="F394" s="2"/>
      <c r="G394" s="2"/>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row>
    <row r="395" spans="1:46" ht="14.25" customHeight="1">
      <c r="A395" s="1"/>
      <c r="B395" s="1"/>
      <c r="C395" s="1"/>
      <c r="D395" s="2"/>
      <c r="E395" s="3"/>
      <c r="F395" s="2"/>
      <c r="G395" s="2"/>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row>
    <row r="396" spans="1:46" ht="14.25" customHeight="1">
      <c r="A396" s="1"/>
      <c r="B396" s="1"/>
      <c r="C396" s="1"/>
      <c r="D396" s="2"/>
      <c r="E396" s="3"/>
      <c r="F396" s="2"/>
      <c r="G396" s="2"/>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row>
    <row r="397" spans="1:46" ht="14.25" customHeight="1">
      <c r="A397" s="1"/>
      <c r="B397" s="1"/>
      <c r="C397" s="1"/>
      <c r="D397" s="2"/>
      <c r="E397" s="3"/>
      <c r="F397" s="2"/>
      <c r="G397" s="2"/>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row>
    <row r="398" spans="1:46" ht="14.25" customHeight="1">
      <c r="A398" s="1"/>
      <c r="B398" s="1"/>
      <c r="C398" s="1"/>
      <c r="D398" s="2"/>
      <c r="E398" s="3"/>
      <c r="F398" s="2"/>
      <c r="G398" s="2"/>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row>
    <row r="399" spans="1:46" ht="14.25" customHeight="1">
      <c r="A399" s="1"/>
      <c r="B399" s="1"/>
      <c r="C399" s="1"/>
      <c r="D399" s="2"/>
      <c r="E399" s="3"/>
      <c r="F399" s="2"/>
      <c r="G399" s="2"/>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row>
    <row r="400" spans="1:46" ht="14.25" customHeight="1">
      <c r="A400" s="1"/>
      <c r="B400" s="1"/>
      <c r="C400" s="1"/>
      <c r="D400" s="2"/>
      <c r="E400" s="3"/>
      <c r="F400" s="2"/>
      <c r="G400" s="2"/>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row>
    <row r="401" spans="1:46" ht="14.25" customHeight="1">
      <c r="A401" s="1"/>
      <c r="B401" s="1"/>
      <c r="C401" s="1"/>
      <c r="D401" s="2"/>
      <c r="E401" s="3"/>
      <c r="F401" s="2"/>
      <c r="G401" s="2"/>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row>
    <row r="402" spans="1:46" ht="14.25" customHeight="1">
      <c r="A402" s="1"/>
      <c r="B402" s="1"/>
      <c r="C402" s="1"/>
      <c r="D402" s="2"/>
      <c r="E402" s="3"/>
      <c r="F402" s="2"/>
      <c r="G402" s="2"/>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row>
    <row r="403" spans="1:46" ht="14.25" customHeight="1">
      <c r="A403" s="1"/>
      <c r="B403" s="1"/>
      <c r="C403" s="1"/>
      <c r="D403" s="2"/>
      <c r="E403" s="3"/>
      <c r="F403" s="2"/>
      <c r="G403" s="2"/>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row>
    <row r="404" spans="1:46" ht="14.25" customHeight="1">
      <c r="A404" s="1"/>
      <c r="B404" s="1"/>
      <c r="C404" s="1"/>
      <c r="D404" s="2"/>
      <c r="E404" s="3"/>
      <c r="F404" s="2"/>
      <c r="G404" s="2"/>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row>
    <row r="405" spans="1:46" ht="14.25" customHeight="1">
      <c r="A405" s="1"/>
      <c r="B405" s="1"/>
      <c r="C405" s="1"/>
      <c r="D405" s="2"/>
      <c r="E405" s="3"/>
      <c r="F405" s="2"/>
      <c r="G405" s="2"/>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row>
    <row r="406" spans="1:46" ht="14.25" customHeight="1">
      <c r="A406" s="1"/>
      <c r="B406" s="1"/>
      <c r="C406" s="1"/>
      <c r="D406" s="2"/>
      <c r="E406" s="3"/>
      <c r="F406" s="2"/>
      <c r="G406" s="2"/>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row>
    <row r="407" spans="1:46" ht="14.25" customHeight="1">
      <c r="A407" s="1"/>
      <c r="B407" s="1"/>
      <c r="C407" s="1"/>
      <c r="D407" s="2"/>
      <c r="E407" s="3"/>
      <c r="F407" s="2"/>
      <c r="G407" s="2"/>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row>
    <row r="408" spans="1:46" ht="14.25" customHeight="1">
      <c r="A408" s="1"/>
      <c r="B408" s="1"/>
      <c r="C408" s="1"/>
      <c r="D408" s="2"/>
      <c r="E408" s="3"/>
      <c r="F408" s="2"/>
      <c r="G408" s="2"/>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row>
    <row r="409" spans="1:46" ht="14.25" customHeight="1">
      <c r="A409" s="1"/>
      <c r="B409" s="1"/>
      <c r="C409" s="1"/>
      <c r="D409" s="2"/>
      <c r="E409" s="3"/>
      <c r="F409" s="2"/>
      <c r="G409" s="2"/>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row>
    <row r="410" spans="1:46" ht="14.25" customHeight="1">
      <c r="A410" s="1"/>
      <c r="B410" s="1"/>
      <c r="C410" s="1"/>
      <c r="D410" s="2"/>
      <c r="E410" s="3"/>
      <c r="F410" s="2"/>
      <c r="G410" s="2"/>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row>
    <row r="411" spans="1:46" ht="14.25" customHeight="1">
      <c r="A411" s="1"/>
      <c r="B411" s="1"/>
      <c r="C411" s="1"/>
      <c r="D411" s="2"/>
      <c r="E411" s="3"/>
      <c r="F411" s="2"/>
      <c r="G411" s="2"/>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row>
    <row r="412" spans="1:46" ht="14.25" customHeight="1">
      <c r="A412" s="1"/>
      <c r="B412" s="1"/>
      <c r="C412" s="1"/>
      <c r="D412" s="2"/>
      <c r="E412" s="3"/>
      <c r="F412" s="2"/>
      <c r="G412" s="2"/>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row>
    <row r="413" spans="1:46" ht="14.25" customHeight="1">
      <c r="A413" s="1"/>
      <c r="B413" s="1"/>
      <c r="C413" s="1"/>
      <c r="D413" s="2"/>
      <c r="E413" s="3"/>
      <c r="F413" s="2"/>
      <c r="G413" s="2"/>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row>
    <row r="414" spans="1:46" ht="14.25" customHeight="1">
      <c r="A414" s="1"/>
      <c r="B414" s="1"/>
      <c r="C414" s="1"/>
      <c r="D414" s="2"/>
      <c r="E414" s="3"/>
      <c r="F414" s="2"/>
      <c r="G414" s="2"/>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row>
    <row r="415" spans="1:46" ht="14.25" customHeight="1">
      <c r="A415" s="1"/>
      <c r="B415" s="1"/>
      <c r="C415" s="1"/>
      <c r="D415" s="2"/>
      <c r="E415" s="3"/>
      <c r="F415" s="2"/>
      <c r="G415" s="2"/>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row>
    <row r="416" spans="1:46" ht="14.25" customHeight="1">
      <c r="A416" s="1"/>
      <c r="B416" s="1"/>
      <c r="C416" s="1"/>
      <c r="D416" s="2"/>
      <c r="E416" s="3"/>
      <c r="F416" s="2"/>
      <c r="G416" s="2"/>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row>
    <row r="417" spans="1:46" ht="14.25" customHeight="1">
      <c r="A417" s="1"/>
      <c r="B417" s="1"/>
      <c r="C417" s="1"/>
      <c r="D417" s="2"/>
      <c r="E417" s="3"/>
      <c r="F417" s="2"/>
      <c r="G417" s="2"/>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row>
    <row r="418" spans="1:46" ht="14.25" customHeight="1">
      <c r="A418" s="1"/>
      <c r="B418" s="1"/>
      <c r="C418" s="1"/>
      <c r="D418" s="2"/>
      <c r="E418" s="3"/>
      <c r="F418" s="2"/>
      <c r="G418" s="2"/>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row>
    <row r="419" spans="1:46" ht="14.25" customHeight="1">
      <c r="A419" s="1"/>
      <c r="B419" s="1"/>
      <c r="C419" s="1"/>
      <c r="D419" s="2"/>
      <c r="E419" s="3"/>
      <c r="F419" s="2"/>
      <c r="G419" s="2"/>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row>
    <row r="420" spans="1:46" ht="14.25" customHeight="1">
      <c r="A420" s="1"/>
      <c r="B420" s="1"/>
      <c r="C420" s="1"/>
      <c r="D420" s="2"/>
      <c r="E420" s="3"/>
      <c r="F420" s="2"/>
      <c r="G420" s="2"/>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row>
    <row r="421" spans="1:46" ht="14.25" customHeight="1">
      <c r="A421" s="1"/>
      <c r="B421" s="1"/>
      <c r="C421" s="1"/>
      <c r="D421" s="2"/>
      <c r="E421" s="3"/>
      <c r="F421" s="2"/>
      <c r="G421" s="2"/>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row>
    <row r="422" spans="1:46" ht="14.25" customHeight="1">
      <c r="A422" s="1"/>
      <c r="B422" s="1"/>
      <c r="C422" s="1"/>
      <c r="D422" s="2"/>
      <c r="E422" s="3"/>
      <c r="F422" s="2"/>
      <c r="G422" s="2"/>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row>
    <row r="423" spans="1:46" ht="14.25" customHeight="1">
      <c r="A423" s="1"/>
      <c r="B423" s="1"/>
      <c r="C423" s="1"/>
      <c r="D423" s="2"/>
      <c r="E423" s="3"/>
      <c r="F423" s="2"/>
      <c r="G423" s="2"/>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row>
    <row r="424" spans="1:46" ht="14.25" customHeight="1">
      <c r="A424" s="1"/>
      <c r="B424" s="1"/>
      <c r="C424" s="1"/>
      <c r="D424" s="2"/>
      <c r="E424" s="3"/>
      <c r="F424" s="2"/>
      <c r="G424" s="2"/>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row>
    <row r="425" spans="1:46" ht="14.25" customHeight="1">
      <c r="A425" s="1"/>
      <c r="B425" s="1"/>
      <c r="C425" s="1"/>
      <c r="D425" s="2"/>
      <c r="E425" s="3"/>
      <c r="F425" s="2"/>
      <c r="G425" s="2"/>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row>
    <row r="426" spans="1:46" ht="14.25" customHeight="1">
      <c r="A426" s="1"/>
      <c r="B426" s="1"/>
      <c r="C426" s="1"/>
      <c r="D426" s="2"/>
      <c r="E426" s="3"/>
      <c r="F426" s="2"/>
      <c r="G426" s="2"/>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row>
    <row r="427" spans="1:46" ht="14.25" customHeight="1">
      <c r="A427" s="1"/>
      <c r="B427" s="1"/>
      <c r="C427" s="1"/>
      <c r="D427" s="2"/>
      <c r="E427" s="3"/>
      <c r="F427" s="2"/>
      <c r="G427" s="2"/>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row>
    <row r="428" spans="1:46" ht="14.25" customHeight="1">
      <c r="A428" s="1"/>
      <c r="B428" s="1"/>
      <c r="C428" s="1"/>
      <c r="D428" s="2"/>
      <c r="E428" s="3"/>
      <c r="F428" s="2"/>
      <c r="G428" s="2"/>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row>
    <row r="429" spans="1:46" ht="14.25" customHeight="1">
      <c r="A429" s="1"/>
      <c r="B429" s="1"/>
      <c r="C429" s="1"/>
      <c r="D429" s="2"/>
      <c r="E429" s="3"/>
      <c r="F429" s="2"/>
      <c r="G429" s="2"/>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row>
    <row r="430" spans="1:46" ht="14.25" customHeight="1">
      <c r="A430" s="1"/>
      <c r="B430" s="1"/>
      <c r="C430" s="1"/>
      <c r="D430" s="2"/>
      <c r="E430" s="3"/>
      <c r="F430" s="2"/>
      <c r="G430" s="2"/>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row>
    <row r="431" spans="1:46" ht="14.25" customHeight="1">
      <c r="A431" s="1"/>
      <c r="B431" s="1"/>
      <c r="C431" s="1"/>
      <c r="D431" s="2"/>
      <c r="E431" s="3"/>
      <c r="F431" s="2"/>
      <c r="G431" s="2"/>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row>
    <row r="432" spans="1:46" ht="14.25" customHeight="1">
      <c r="A432" s="1"/>
      <c r="B432" s="1"/>
      <c r="C432" s="1"/>
      <c r="D432" s="2"/>
      <c r="E432" s="3"/>
      <c r="F432" s="2"/>
      <c r="G432" s="2"/>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row>
    <row r="433" spans="1:46" ht="14.25" customHeight="1">
      <c r="A433" s="1"/>
      <c r="B433" s="1"/>
      <c r="C433" s="1"/>
      <c r="D433" s="2"/>
      <c r="E433" s="3"/>
      <c r="F433" s="2"/>
      <c r="G433" s="2"/>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row>
    <row r="434" spans="1:46" ht="14.25" customHeight="1">
      <c r="A434" s="1"/>
      <c r="B434" s="1"/>
      <c r="C434" s="1"/>
      <c r="D434" s="2"/>
      <c r="E434" s="3"/>
      <c r="F434" s="2"/>
      <c r="G434" s="2"/>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row>
    <row r="435" spans="1:46" ht="14.25" customHeight="1">
      <c r="A435" s="1"/>
      <c r="B435" s="1"/>
      <c r="C435" s="1"/>
      <c r="D435" s="2"/>
      <c r="E435" s="3"/>
      <c r="F435" s="2"/>
      <c r="G435" s="2"/>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row>
    <row r="436" spans="1:46" ht="14.25" customHeight="1">
      <c r="A436" s="1"/>
      <c r="B436" s="1"/>
      <c r="C436" s="1"/>
      <c r="D436" s="2"/>
      <c r="E436" s="3"/>
      <c r="F436" s="2"/>
      <c r="G436" s="2"/>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row>
    <row r="437" spans="1:46" ht="14.25" customHeight="1">
      <c r="A437" s="1"/>
      <c r="B437" s="1"/>
      <c r="C437" s="1"/>
      <c r="D437" s="2"/>
      <c r="E437" s="3"/>
      <c r="F437" s="2"/>
      <c r="G437" s="2"/>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row>
    <row r="438" spans="1:46" ht="14.25" customHeight="1">
      <c r="A438" s="1"/>
      <c r="B438" s="1"/>
      <c r="C438" s="1"/>
      <c r="D438" s="2"/>
      <c r="E438" s="3"/>
      <c r="F438" s="2"/>
      <c r="G438" s="2"/>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row>
    <row r="439" spans="1:46" ht="14.25" customHeight="1">
      <c r="A439" s="1"/>
      <c r="B439" s="1"/>
      <c r="C439" s="1"/>
      <c r="D439" s="2"/>
      <c r="E439" s="3"/>
      <c r="F439" s="2"/>
      <c r="G439" s="2"/>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row>
    <row r="440" spans="1:46" ht="14.25" customHeight="1">
      <c r="A440" s="1"/>
      <c r="B440" s="1"/>
      <c r="C440" s="1"/>
      <c r="D440" s="2"/>
      <c r="E440" s="3"/>
      <c r="F440" s="2"/>
      <c r="G440" s="2"/>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row>
    <row r="441" spans="1:46" ht="14.25" customHeight="1">
      <c r="A441" s="1"/>
      <c r="B441" s="1"/>
      <c r="C441" s="1"/>
      <c r="D441" s="2"/>
      <c r="E441" s="3"/>
      <c r="F441" s="2"/>
      <c r="G441" s="2"/>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row>
    <row r="442" spans="1:46" ht="14.25" customHeight="1">
      <c r="A442" s="1"/>
      <c r="B442" s="1"/>
      <c r="C442" s="1"/>
      <c r="D442" s="2"/>
      <c r="E442" s="3"/>
      <c r="F442" s="2"/>
      <c r="G442" s="2"/>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row>
    <row r="443" spans="1:46" ht="14.25" customHeight="1">
      <c r="A443" s="1"/>
      <c r="B443" s="1"/>
      <c r="C443" s="1"/>
      <c r="D443" s="2"/>
      <c r="E443" s="3"/>
      <c r="F443" s="2"/>
      <c r="G443" s="2"/>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row>
    <row r="444" spans="1:46" ht="14.25" customHeight="1">
      <c r="A444" s="1"/>
      <c r="B444" s="1"/>
      <c r="C444" s="1"/>
      <c r="D444" s="2"/>
      <c r="E444" s="3"/>
      <c r="F444" s="2"/>
      <c r="G444" s="2"/>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row>
    <row r="445" spans="1:46" ht="14.25" customHeight="1">
      <c r="A445" s="1"/>
      <c r="B445" s="1"/>
      <c r="C445" s="1"/>
      <c r="D445" s="2"/>
      <c r="E445" s="3"/>
      <c r="F445" s="2"/>
      <c r="G445" s="2"/>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row>
    <row r="446" spans="1:46" ht="14.25" customHeight="1">
      <c r="A446" s="1"/>
      <c r="B446" s="1"/>
      <c r="C446" s="1"/>
      <c r="D446" s="2"/>
      <c r="E446" s="3"/>
      <c r="F446" s="2"/>
      <c r="G446" s="2"/>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row>
    <row r="447" spans="1:46" ht="14.25" customHeight="1">
      <c r="A447" s="1"/>
      <c r="B447" s="1"/>
      <c r="C447" s="1"/>
      <c r="D447" s="2"/>
      <c r="E447" s="3"/>
      <c r="F447" s="2"/>
      <c r="G447" s="2"/>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row>
    <row r="448" spans="1:46" ht="14.25" customHeight="1">
      <c r="A448" s="1"/>
      <c r="B448" s="1"/>
      <c r="C448" s="1"/>
      <c r="D448" s="2"/>
      <c r="E448" s="3"/>
      <c r="F448" s="2"/>
      <c r="G448" s="2"/>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row>
    <row r="449" spans="1:46" ht="14.25" customHeight="1">
      <c r="A449" s="1"/>
      <c r="B449" s="1"/>
      <c r="C449" s="1"/>
      <c r="D449" s="2"/>
      <c r="E449" s="3"/>
      <c r="F449" s="2"/>
      <c r="G449" s="2"/>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row>
    <row r="450" spans="1:46" ht="14.25" customHeight="1">
      <c r="A450" s="1"/>
      <c r="B450" s="1"/>
      <c r="C450" s="1"/>
      <c r="D450" s="2"/>
      <c r="E450" s="3"/>
      <c r="F450" s="2"/>
      <c r="G450" s="2"/>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row>
    <row r="451" spans="1:46" ht="14.25" customHeight="1">
      <c r="A451" s="1"/>
      <c r="B451" s="1"/>
      <c r="C451" s="1"/>
      <c r="D451" s="2"/>
      <c r="E451" s="3"/>
      <c r="F451" s="2"/>
      <c r="G451" s="2"/>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row>
    <row r="452" spans="1:46" ht="14.25" customHeight="1">
      <c r="A452" s="1"/>
      <c r="B452" s="1"/>
      <c r="C452" s="1"/>
      <c r="D452" s="2"/>
      <c r="E452" s="3"/>
      <c r="F452" s="2"/>
      <c r="G452" s="2"/>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row>
    <row r="453" spans="1:46" ht="14.25" customHeight="1">
      <c r="A453" s="1"/>
      <c r="B453" s="1"/>
      <c r="C453" s="1"/>
      <c r="D453" s="2"/>
      <c r="E453" s="3"/>
      <c r="F453" s="2"/>
      <c r="G453" s="2"/>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row>
    <row r="454" spans="1:46" ht="14.25" customHeight="1">
      <c r="A454" s="1"/>
      <c r="B454" s="1"/>
      <c r="C454" s="1"/>
      <c r="D454" s="2"/>
      <c r="E454" s="3"/>
      <c r="F454" s="2"/>
      <c r="G454" s="2"/>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row>
    <row r="455" spans="1:46" ht="14.25" customHeight="1">
      <c r="A455" s="1"/>
      <c r="B455" s="1"/>
      <c r="C455" s="1"/>
      <c r="D455" s="2"/>
      <c r="E455" s="3"/>
      <c r="F455" s="2"/>
      <c r="G455" s="2"/>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row>
    <row r="456" spans="1:46" ht="14.25" customHeight="1">
      <c r="A456" s="1"/>
      <c r="B456" s="1"/>
      <c r="C456" s="1"/>
      <c r="D456" s="2"/>
      <c r="E456" s="3"/>
      <c r="F456" s="2"/>
      <c r="G456" s="2"/>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row>
    <row r="457" spans="1:46" ht="14.25" customHeight="1">
      <c r="A457" s="1"/>
      <c r="B457" s="1"/>
      <c r="C457" s="1"/>
      <c r="D457" s="2"/>
      <c r="E457" s="3"/>
      <c r="F457" s="2"/>
      <c r="G457" s="2"/>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row>
    <row r="458" spans="1:46" ht="14.25" customHeight="1">
      <c r="A458" s="1"/>
      <c r="B458" s="1"/>
      <c r="C458" s="1"/>
      <c r="D458" s="2"/>
      <c r="E458" s="3"/>
      <c r="F458" s="2"/>
      <c r="G458" s="2"/>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row>
    <row r="459" spans="1:46" ht="14.25" customHeight="1">
      <c r="A459" s="1"/>
      <c r="B459" s="1"/>
      <c r="C459" s="1"/>
      <c r="D459" s="2"/>
      <c r="E459" s="3"/>
      <c r="F459" s="2"/>
      <c r="G459" s="2"/>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row>
    <row r="460" spans="1:46" ht="14.25" customHeight="1">
      <c r="A460" s="1"/>
      <c r="B460" s="1"/>
      <c r="C460" s="1"/>
      <c r="D460" s="2"/>
      <c r="E460" s="3"/>
      <c r="F460" s="2"/>
      <c r="G460" s="2"/>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row>
    <row r="461" spans="1:46" ht="14.25" customHeight="1">
      <c r="A461" s="1"/>
      <c r="B461" s="1"/>
      <c r="C461" s="1"/>
      <c r="D461" s="2"/>
      <c r="E461" s="3"/>
      <c r="F461" s="2"/>
      <c r="G461" s="2"/>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row>
    <row r="462" spans="1:46" ht="14.25" customHeight="1">
      <c r="A462" s="1"/>
      <c r="B462" s="1"/>
      <c r="C462" s="1"/>
      <c r="D462" s="2"/>
      <c r="E462" s="3"/>
      <c r="F462" s="2"/>
      <c r="G462" s="2"/>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row>
    <row r="463" spans="1:46" ht="14.25" customHeight="1">
      <c r="A463" s="1"/>
      <c r="B463" s="1"/>
      <c r="C463" s="1"/>
      <c r="D463" s="2"/>
      <c r="E463" s="3"/>
      <c r="F463" s="2"/>
      <c r="G463" s="2"/>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row>
    <row r="464" spans="1:46" ht="14.25" customHeight="1">
      <c r="A464" s="1"/>
      <c r="B464" s="1"/>
      <c r="C464" s="1"/>
      <c r="D464" s="2"/>
      <c r="E464" s="3"/>
      <c r="F464" s="2"/>
      <c r="G464" s="2"/>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row>
    <row r="465" spans="1:46" ht="14.25" customHeight="1">
      <c r="A465" s="1"/>
      <c r="B465" s="1"/>
      <c r="C465" s="1"/>
      <c r="D465" s="2"/>
      <c r="E465" s="3"/>
      <c r="F465" s="2"/>
      <c r="G465" s="2"/>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row>
    <row r="466" spans="1:46" ht="14.25" customHeight="1">
      <c r="A466" s="1"/>
      <c r="B466" s="1"/>
      <c r="C466" s="1"/>
      <c r="D466" s="2"/>
      <c r="E466" s="3"/>
      <c r="F466" s="2"/>
      <c r="G466" s="2"/>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row>
    <row r="467" spans="1:46" ht="14.25" customHeight="1">
      <c r="A467" s="1"/>
      <c r="B467" s="1"/>
      <c r="C467" s="1"/>
      <c r="D467" s="2"/>
      <c r="E467" s="3"/>
      <c r="F467" s="2"/>
      <c r="G467" s="2"/>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row>
    <row r="468" spans="1:46" ht="14.25" customHeight="1">
      <c r="A468" s="1"/>
      <c r="B468" s="1"/>
      <c r="C468" s="1"/>
      <c r="D468" s="2"/>
      <c r="E468" s="3"/>
      <c r="F468" s="2"/>
      <c r="G468" s="2"/>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row>
    <row r="469" spans="1:46" ht="14.25" customHeight="1">
      <c r="A469" s="1"/>
      <c r="B469" s="1"/>
      <c r="C469" s="1"/>
      <c r="D469" s="2"/>
      <c r="E469" s="3"/>
      <c r="F469" s="2"/>
      <c r="G469" s="2"/>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row>
    <row r="470" spans="1:46" ht="14.25" customHeight="1">
      <c r="A470" s="1"/>
      <c r="B470" s="1"/>
      <c r="C470" s="1"/>
      <c r="D470" s="2"/>
      <c r="E470" s="3"/>
      <c r="F470" s="2"/>
      <c r="G470" s="2"/>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row>
    <row r="471" spans="1:46" ht="14.25" customHeight="1">
      <c r="A471" s="1"/>
      <c r="B471" s="1"/>
      <c r="C471" s="1"/>
      <c r="D471" s="2"/>
      <c r="E471" s="3"/>
      <c r="F471" s="2"/>
      <c r="G471" s="2"/>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row>
    <row r="472" spans="1:46" ht="14.25" customHeight="1">
      <c r="A472" s="1"/>
      <c r="B472" s="1"/>
      <c r="C472" s="1"/>
      <c r="D472" s="2"/>
      <c r="E472" s="3"/>
      <c r="F472" s="2"/>
      <c r="G472" s="2"/>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row>
    <row r="473" spans="1:46" ht="14.25" customHeight="1">
      <c r="A473" s="1"/>
      <c r="B473" s="1"/>
      <c r="C473" s="1"/>
      <c r="D473" s="2"/>
      <c r="E473" s="3"/>
      <c r="F473" s="2"/>
      <c r="G473" s="2"/>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row>
    <row r="474" spans="1:46" ht="14.25" customHeight="1">
      <c r="A474" s="1"/>
      <c r="B474" s="1"/>
      <c r="C474" s="1"/>
      <c r="D474" s="2"/>
      <c r="E474" s="3"/>
      <c r="F474" s="2"/>
      <c r="G474" s="2"/>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row>
    <row r="475" spans="1:46" ht="14.25" customHeight="1">
      <c r="A475" s="1"/>
      <c r="B475" s="1"/>
      <c r="C475" s="1"/>
      <c r="D475" s="2"/>
      <c r="E475" s="3"/>
      <c r="F475" s="2"/>
      <c r="G475" s="2"/>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row>
    <row r="476" spans="1:46" ht="14.25" customHeight="1">
      <c r="A476" s="1"/>
      <c r="B476" s="1"/>
      <c r="C476" s="1"/>
      <c r="D476" s="2"/>
      <c r="E476" s="3"/>
      <c r="F476" s="2"/>
      <c r="G476" s="2"/>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row>
    <row r="477" spans="1:46" ht="14.25" customHeight="1">
      <c r="A477" s="1"/>
      <c r="B477" s="1"/>
      <c r="C477" s="1"/>
      <c r="D477" s="2"/>
      <c r="E477" s="3"/>
      <c r="F477" s="2"/>
      <c r="G477" s="2"/>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row>
    <row r="478" spans="1:46" ht="14.25" customHeight="1">
      <c r="A478" s="1"/>
      <c r="B478" s="1"/>
      <c r="C478" s="1"/>
      <c r="D478" s="2"/>
      <c r="E478" s="3"/>
      <c r="F478" s="2"/>
      <c r="G478" s="2"/>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row>
    <row r="479" spans="1:46" ht="14.25" customHeight="1">
      <c r="A479" s="1"/>
      <c r="B479" s="1"/>
      <c r="C479" s="1"/>
      <c r="D479" s="2"/>
      <c r="E479" s="3"/>
      <c r="F479" s="2"/>
      <c r="G479" s="2"/>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row>
    <row r="480" spans="1:46" ht="14.25" customHeight="1">
      <c r="A480" s="1"/>
      <c r="B480" s="1"/>
      <c r="C480" s="1"/>
      <c r="D480" s="2"/>
      <c r="E480" s="3"/>
      <c r="F480" s="2"/>
      <c r="G480" s="2"/>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row>
    <row r="481" spans="1:46" ht="14.25" customHeight="1">
      <c r="A481" s="1"/>
      <c r="B481" s="1"/>
      <c r="C481" s="1"/>
      <c r="D481" s="2"/>
      <c r="E481" s="3"/>
      <c r="F481" s="2"/>
      <c r="G481" s="2"/>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row>
    <row r="482" spans="1:46" ht="14.25" customHeight="1">
      <c r="A482" s="1"/>
      <c r="B482" s="1"/>
      <c r="C482" s="1"/>
      <c r="D482" s="2"/>
      <c r="E482" s="3"/>
      <c r="F482" s="2"/>
      <c r="G482" s="2"/>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row>
    <row r="483" spans="1:46" ht="14.25" customHeight="1">
      <c r="A483" s="1"/>
      <c r="B483" s="1"/>
      <c r="C483" s="1"/>
      <c r="D483" s="2"/>
      <c r="E483" s="3"/>
      <c r="F483" s="2"/>
      <c r="G483" s="2"/>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row>
    <row r="484" spans="1:46" ht="14.25" customHeight="1">
      <c r="A484" s="1"/>
      <c r="B484" s="1"/>
      <c r="C484" s="1"/>
      <c r="D484" s="2"/>
      <c r="E484" s="3"/>
      <c r="F484" s="2"/>
      <c r="G484" s="2"/>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row>
    <row r="485" spans="1:46" ht="14.25" customHeight="1">
      <c r="A485" s="1"/>
      <c r="B485" s="1"/>
      <c r="C485" s="1"/>
      <c r="D485" s="2"/>
      <c r="E485" s="3"/>
      <c r="F485" s="2"/>
      <c r="G485" s="2"/>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row>
    <row r="486" spans="1:46" ht="14.25" customHeight="1">
      <c r="A486" s="1"/>
      <c r="B486" s="1"/>
      <c r="C486" s="1"/>
      <c r="D486" s="2"/>
      <c r="E486" s="3"/>
      <c r="F486" s="2"/>
      <c r="G486" s="2"/>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row>
    <row r="487" spans="1:46" ht="14.25" customHeight="1">
      <c r="A487" s="1"/>
      <c r="B487" s="1"/>
      <c r="C487" s="1"/>
      <c r="D487" s="2"/>
      <c r="E487" s="3"/>
      <c r="F487" s="2"/>
      <c r="G487" s="2"/>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row>
    <row r="488" spans="1:46" ht="14.25" customHeight="1">
      <c r="A488" s="1"/>
      <c r="B488" s="1"/>
      <c r="C488" s="1"/>
      <c r="D488" s="2"/>
      <c r="E488" s="3"/>
      <c r="F488" s="2"/>
      <c r="G488" s="2"/>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row>
    <row r="489" spans="1:46" ht="14.25" customHeight="1">
      <c r="A489" s="1"/>
      <c r="B489" s="1"/>
      <c r="C489" s="1"/>
      <c r="D489" s="2"/>
      <c r="E489" s="3"/>
      <c r="F489" s="2"/>
      <c r="G489" s="2"/>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row>
    <row r="490" spans="1:46" ht="14.25" customHeight="1">
      <c r="A490" s="1"/>
      <c r="B490" s="1"/>
      <c r="C490" s="1"/>
      <c r="D490" s="2"/>
      <c r="E490" s="3"/>
      <c r="F490" s="2"/>
      <c r="G490" s="2"/>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row>
    <row r="491" spans="1:46" ht="14.25" customHeight="1">
      <c r="A491" s="1"/>
      <c r="B491" s="1"/>
      <c r="C491" s="1"/>
      <c r="D491" s="2"/>
      <c r="E491" s="3"/>
      <c r="F491" s="2"/>
      <c r="G491" s="2"/>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row>
    <row r="492" spans="1:46" ht="14.25" customHeight="1">
      <c r="A492" s="1"/>
      <c r="B492" s="1"/>
      <c r="C492" s="1"/>
      <c r="D492" s="2"/>
      <c r="E492" s="3"/>
      <c r="F492" s="2"/>
      <c r="G492" s="2"/>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row>
    <row r="493" spans="1:46" ht="14.25" customHeight="1">
      <c r="A493" s="1"/>
      <c r="B493" s="1"/>
      <c r="C493" s="1"/>
      <c r="D493" s="2"/>
      <c r="E493" s="3"/>
      <c r="F493" s="2"/>
      <c r="G493" s="2"/>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row>
    <row r="494" spans="1:46" ht="14.25" customHeight="1">
      <c r="A494" s="1"/>
      <c r="B494" s="1"/>
      <c r="C494" s="1"/>
      <c r="D494" s="2"/>
      <c r="E494" s="3"/>
      <c r="F494" s="2"/>
      <c r="G494" s="2"/>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row>
    <row r="495" spans="1:46" ht="14.25" customHeight="1">
      <c r="A495" s="1"/>
      <c r="B495" s="1"/>
      <c r="C495" s="1"/>
      <c r="D495" s="2"/>
      <c r="E495" s="3"/>
      <c r="F495" s="2"/>
      <c r="G495" s="2"/>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row>
    <row r="496" spans="1:46" ht="14.25" customHeight="1">
      <c r="A496" s="1"/>
      <c r="B496" s="1"/>
      <c r="C496" s="1"/>
      <c r="D496" s="2"/>
      <c r="E496" s="3"/>
      <c r="F496" s="2"/>
      <c r="G496" s="2"/>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row>
    <row r="497" spans="1:46" ht="14.25" customHeight="1">
      <c r="A497" s="1"/>
      <c r="B497" s="1"/>
      <c r="C497" s="1"/>
      <c r="D497" s="2"/>
      <c r="E497" s="3"/>
      <c r="F497" s="2"/>
      <c r="G497" s="2"/>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row>
    <row r="498" spans="1:46" ht="14.25" customHeight="1">
      <c r="A498" s="1"/>
      <c r="B498" s="1"/>
      <c r="C498" s="1"/>
      <c r="D498" s="2"/>
      <c r="E498" s="3"/>
      <c r="F498" s="2"/>
      <c r="G498" s="2"/>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row>
    <row r="499" spans="1:46" ht="14.25" customHeight="1">
      <c r="A499" s="1"/>
      <c r="B499" s="1"/>
      <c r="C499" s="1"/>
      <c r="D499" s="2"/>
      <c r="E499" s="3"/>
      <c r="F499" s="2"/>
      <c r="G499" s="2"/>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row>
    <row r="500" spans="1:46" ht="14.25" customHeight="1">
      <c r="A500" s="1"/>
      <c r="B500" s="1"/>
      <c r="C500" s="1"/>
      <c r="D500" s="2"/>
      <c r="E500" s="3"/>
      <c r="F500" s="2"/>
      <c r="G500" s="2"/>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row>
    <row r="501" spans="1:46" ht="14.25" customHeight="1">
      <c r="A501" s="1"/>
      <c r="B501" s="1"/>
      <c r="C501" s="1"/>
      <c r="D501" s="2"/>
      <c r="E501" s="3"/>
      <c r="F501" s="2"/>
      <c r="G501" s="2"/>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row>
    <row r="502" spans="1:46" ht="14.25" customHeight="1">
      <c r="A502" s="1"/>
      <c r="B502" s="1"/>
      <c r="C502" s="1"/>
      <c r="D502" s="2"/>
      <c r="E502" s="3"/>
      <c r="F502" s="2"/>
      <c r="G502" s="2"/>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row>
    <row r="503" spans="1:46" ht="14.25" customHeight="1">
      <c r="A503" s="1"/>
      <c r="B503" s="1"/>
      <c r="C503" s="1"/>
      <c r="D503" s="2"/>
      <c r="E503" s="3"/>
      <c r="F503" s="2"/>
      <c r="G503" s="2"/>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row>
    <row r="504" spans="1:46" ht="14.25" customHeight="1">
      <c r="A504" s="1"/>
      <c r="B504" s="1"/>
      <c r="C504" s="1"/>
      <c r="D504" s="2"/>
      <c r="E504" s="3"/>
      <c r="F504" s="2"/>
      <c r="G504" s="2"/>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row>
    <row r="505" spans="1:46" ht="14.25" customHeight="1">
      <c r="A505" s="1"/>
      <c r="B505" s="1"/>
      <c r="C505" s="1"/>
      <c r="D505" s="2"/>
      <c r="E505" s="3"/>
      <c r="F505" s="2"/>
      <c r="G505" s="2"/>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row>
    <row r="506" spans="1:46" ht="14.25" customHeight="1">
      <c r="A506" s="1"/>
      <c r="B506" s="1"/>
      <c r="C506" s="1"/>
      <c r="D506" s="2"/>
      <c r="E506" s="3"/>
      <c r="F506" s="2"/>
      <c r="G506" s="2"/>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row>
    <row r="507" spans="1:46" ht="14.25" customHeight="1">
      <c r="A507" s="1"/>
      <c r="B507" s="1"/>
      <c r="C507" s="1"/>
      <c r="D507" s="2"/>
      <c r="E507" s="3"/>
      <c r="F507" s="2"/>
      <c r="G507" s="2"/>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row>
    <row r="508" spans="1:46" ht="14.25" customHeight="1">
      <c r="A508" s="1"/>
      <c r="B508" s="1"/>
      <c r="C508" s="1"/>
      <c r="D508" s="2"/>
      <c r="E508" s="3"/>
      <c r="F508" s="2"/>
      <c r="G508" s="2"/>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row>
    <row r="509" spans="1:46" ht="14.25" customHeight="1">
      <c r="A509" s="1"/>
      <c r="B509" s="1"/>
      <c r="C509" s="1"/>
      <c r="D509" s="2"/>
      <c r="E509" s="3"/>
      <c r="F509" s="2"/>
      <c r="G509" s="2"/>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row>
    <row r="510" spans="1:46" ht="14.25" customHeight="1">
      <c r="A510" s="1"/>
      <c r="B510" s="1"/>
      <c r="C510" s="1"/>
      <c r="D510" s="2"/>
      <c r="E510" s="3"/>
      <c r="F510" s="2"/>
      <c r="G510" s="2"/>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row>
    <row r="511" spans="1:46" ht="14.25" customHeight="1">
      <c r="A511" s="1"/>
      <c r="B511" s="1"/>
      <c r="C511" s="1"/>
      <c r="D511" s="2"/>
      <c r="E511" s="3"/>
      <c r="F511" s="2"/>
      <c r="G511" s="2"/>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row>
    <row r="512" spans="1:46" ht="14.25" customHeight="1">
      <c r="A512" s="1"/>
      <c r="B512" s="1"/>
      <c r="C512" s="1"/>
      <c r="D512" s="2"/>
      <c r="E512" s="3"/>
      <c r="F512" s="2"/>
      <c r="G512" s="2"/>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row>
    <row r="513" spans="1:46" ht="14.25" customHeight="1">
      <c r="A513" s="1"/>
      <c r="B513" s="1"/>
      <c r="C513" s="1"/>
      <c r="D513" s="2"/>
      <c r="E513" s="3"/>
      <c r="F513" s="2"/>
      <c r="G513" s="2"/>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row>
    <row r="514" spans="1:46" ht="14.25" customHeight="1">
      <c r="A514" s="1"/>
      <c r="B514" s="1"/>
      <c r="C514" s="1"/>
      <c r="D514" s="2"/>
      <c r="E514" s="3"/>
      <c r="F514" s="2"/>
      <c r="G514" s="2"/>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row>
    <row r="515" spans="1:46" ht="14.25" customHeight="1">
      <c r="A515" s="1"/>
      <c r="B515" s="1"/>
      <c r="C515" s="1"/>
      <c r="D515" s="2"/>
      <c r="E515" s="3"/>
      <c r="F515" s="2"/>
      <c r="G515" s="2"/>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row>
    <row r="516" spans="1:46" ht="14.25" customHeight="1">
      <c r="A516" s="1"/>
      <c r="B516" s="1"/>
      <c r="C516" s="1"/>
      <c r="D516" s="2"/>
      <c r="E516" s="3"/>
      <c r="F516" s="2"/>
      <c r="G516" s="2"/>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row>
    <row r="517" spans="1:46" ht="14.25" customHeight="1">
      <c r="A517" s="1"/>
      <c r="B517" s="1"/>
      <c r="C517" s="1"/>
      <c r="D517" s="2"/>
      <c r="E517" s="3"/>
      <c r="F517" s="2"/>
      <c r="G517" s="2"/>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row>
    <row r="518" spans="1:46" ht="14.25" customHeight="1">
      <c r="A518" s="1"/>
      <c r="B518" s="1"/>
      <c r="C518" s="1"/>
      <c r="D518" s="2"/>
      <c r="E518" s="3"/>
      <c r="F518" s="2"/>
      <c r="G518" s="2"/>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row>
    <row r="519" spans="1:46" ht="14.25" customHeight="1">
      <c r="A519" s="1"/>
      <c r="B519" s="1"/>
      <c r="C519" s="1"/>
      <c r="D519" s="2"/>
      <c r="E519" s="3"/>
      <c r="F519" s="2"/>
      <c r="G519" s="2"/>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row>
    <row r="520" spans="1:46" ht="14.25" customHeight="1">
      <c r="A520" s="1"/>
      <c r="B520" s="1"/>
      <c r="C520" s="1"/>
      <c r="D520" s="2"/>
      <c r="E520" s="3"/>
      <c r="F520" s="2"/>
      <c r="G520" s="2"/>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row>
    <row r="521" spans="1:46" ht="14.25" customHeight="1">
      <c r="A521" s="1"/>
      <c r="B521" s="1"/>
      <c r="C521" s="1"/>
      <c r="D521" s="2"/>
      <c r="E521" s="3"/>
      <c r="F521" s="2"/>
      <c r="G521" s="2"/>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row>
    <row r="522" spans="1:46" ht="14.25" customHeight="1">
      <c r="A522" s="1"/>
      <c r="B522" s="1"/>
      <c r="C522" s="1"/>
      <c r="D522" s="2"/>
      <c r="E522" s="3"/>
      <c r="F522" s="2"/>
      <c r="G522" s="2"/>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row>
    <row r="523" spans="1:46" ht="14.25" customHeight="1">
      <c r="A523" s="1"/>
      <c r="B523" s="1"/>
      <c r="C523" s="1"/>
      <c r="D523" s="2"/>
      <c r="E523" s="3"/>
      <c r="F523" s="2"/>
      <c r="G523" s="2"/>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row>
    <row r="524" spans="1:46" ht="14.25" customHeight="1">
      <c r="A524" s="1"/>
      <c r="B524" s="1"/>
      <c r="C524" s="1"/>
      <c r="D524" s="2"/>
      <c r="E524" s="3"/>
      <c r="F524" s="2"/>
      <c r="G524" s="2"/>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row>
    <row r="525" spans="1:46" ht="14.25" customHeight="1">
      <c r="A525" s="1"/>
      <c r="B525" s="1"/>
      <c r="C525" s="1"/>
      <c r="D525" s="2"/>
      <c r="E525" s="3"/>
      <c r="F525" s="2"/>
      <c r="G525" s="2"/>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row>
    <row r="526" spans="1:46" ht="14.25" customHeight="1">
      <c r="A526" s="1"/>
      <c r="B526" s="1"/>
      <c r="C526" s="1"/>
      <c r="D526" s="2"/>
      <c r="E526" s="3"/>
      <c r="F526" s="2"/>
      <c r="G526" s="2"/>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row>
    <row r="527" spans="1:46" ht="14.25" customHeight="1">
      <c r="A527" s="1"/>
      <c r="B527" s="1"/>
      <c r="C527" s="1"/>
      <c r="D527" s="2"/>
      <c r="E527" s="3"/>
      <c r="F527" s="2"/>
      <c r="G527" s="2"/>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row>
    <row r="528" spans="1:46" ht="14.25" customHeight="1">
      <c r="A528" s="1"/>
      <c r="B528" s="1"/>
      <c r="C528" s="1"/>
      <c r="D528" s="2"/>
      <c r="E528" s="3"/>
      <c r="F528" s="2"/>
      <c r="G528" s="2"/>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row>
    <row r="529" spans="1:46" ht="14.25" customHeight="1">
      <c r="A529" s="1"/>
      <c r="B529" s="1"/>
      <c r="C529" s="1"/>
      <c r="D529" s="2"/>
      <c r="E529" s="3"/>
      <c r="F529" s="2"/>
      <c r="G529" s="2"/>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row>
    <row r="530" spans="1:46" ht="14.25" customHeight="1">
      <c r="A530" s="1"/>
      <c r="B530" s="1"/>
      <c r="C530" s="1"/>
      <c r="D530" s="2"/>
      <c r="E530" s="3"/>
      <c r="F530" s="2"/>
      <c r="G530" s="2"/>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row>
    <row r="531" spans="1:46" ht="14.25" customHeight="1">
      <c r="A531" s="1"/>
      <c r="B531" s="1"/>
      <c r="C531" s="1"/>
      <c r="D531" s="2"/>
      <c r="E531" s="3"/>
      <c r="F531" s="2"/>
      <c r="G531" s="2"/>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row>
    <row r="532" spans="1:46" ht="14.25" customHeight="1">
      <c r="A532" s="1"/>
      <c r="B532" s="1"/>
      <c r="C532" s="1"/>
      <c r="D532" s="2"/>
      <c r="E532" s="3"/>
      <c r="F532" s="2"/>
      <c r="G532" s="2"/>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row>
    <row r="533" spans="1:46" ht="14.25" customHeight="1">
      <c r="A533" s="1"/>
      <c r="B533" s="1"/>
      <c r="C533" s="1"/>
      <c r="D533" s="2"/>
      <c r="E533" s="3"/>
      <c r="F533" s="2"/>
      <c r="G533" s="2"/>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row>
    <row r="534" spans="1:46" ht="14.25" customHeight="1">
      <c r="A534" s="1"/>
      <c r="B534" s="1"/>
      <c r="C534" s="1"/>
      <c r="D534" s="2"/>
      <c r="E534" s="3"/>
      <c r="F534" s="2"/>
      <c r="G534" s="2"/>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row>
    <row r="535" spans="1:46" ht="14.25" customHeight="1">
      <c r="A535" s="1"/>
      <c r="B535" s="1"/>
      <c r="C535" s="1"/>
      <c r="D535" s="2"/>
      <c r="E535" s="3"/>
      <c r="F535" s="2"/>
      <c r="G535" s="2"/>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row>
    <row r="536" spans="1:46" ht="14.25" customHeight="1">
      <c r="A536" s="1"/>
      <c r="B536" s="1"/>
      <c r="C536" s="1"/>
      <c r="D536" s="2"/>
      <c r="E536" s="3"/>
      <c r="F536" s="2"/>
      <c r="G536" s="2"/>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row>
    <row r="537" spans="1:46" ht="14.25" customHeight="1">
      <c r="A537" s="1"/>
      <c r="B537" s="1"/>
      <c r="C537" s="1"/>
      <c r="D537" s="2"/>
      <c r="E537" s="3"/>
      <c r="F537" s="2"/>
      <c r="G537" s="2"/>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row>
    <row r="538" spans="1:46" ht="14.25" customHeight="1">
      <c r="A538" s="1"/>
      <c r="B538" s="1"/>
      <c r="C538" s="1"/>
      <c r="D538" s="2"/>
      <c r="E538" s="3"/>
      <c r="F538" s="2"/>
      <c r="G538" s="2"/>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row>
    <row r="539" spans="1:46" ht="14.25" customHeight="1">
      <c r="A539" s="1"/>
      <c r="B539" s="1"/>
      <c r="C539" s="1"/>
      <c r="D539" s="2"/>
      <c r="E539" s="3"/>
      <c r="F539" s="2"/>
      <c r="G539" s="2"/>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row>
    <row r="540" spans="1:46" ht="14.25" customHeight="1">
      <c r="A540" s="1"/>
      <c r="B540" s="1"/>
      <c r="C540" s="1"/>
      <c r="D540" s="2"/>
      <c r="E540" s="3"/>
      <c r="F540" s="2"/>
      <c r="G540" s="2"/>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row>
    <row r="541" spans="1:46" ht="14.25" customHeight="1">
      <c r="A541" s="1"/>
      <c r="B541" s="1"/>
      <c r="C541" s="1"/>
      <c r="D541" s="2"/>
      <c r="E541" s="3"/>
      <c r="F541" s="2"/>
      <c r="G541" s="2"/>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row>
    <row r="542" spans="1:46" ht="14.25" customHeight="1">
      <c r="A542" s="1"/>
      <c r="B542" s="1"/>
      <c r="C542" s="1"/>
      <c r="D542" s="2"/>
      <c r="E542" s="3"/>
      <c r="F542" s="2"/>
      <c r="G542" s="2"/>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row>
    <row r="543" spans="1:46" ht="14.25" customHeight="1">
      <c r="A543" s="1"/>
      <c r="B543" s="1"/>
      <c r="C543" s="1"/>
      <c r="D543" s="2"/>
      <c r="E543" s="3"/>
      <c r="F543" s="2"/>
      <c r="G543" s="2"/>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row>
    <row r="544" spans="1:46" ht="14.25" customHeight="1">
      <c r="A544" s="1"/>
      <c r="B544" s="1"/>
      <c r="C544" s="1"/>
      <c r="D544" s="2"/>
      <c r="E544" s="3"/>
      <c r="F544" s="2"/>
      <c r="G544" s="2"/>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row>
    <row r="545" spans="1:46" ht="14.25" customHeight="1">
      <c r="A545" s="1"/>
      <c r="B545" s="1"/>
      <c r="C545" s="1"/>
      <c r="D545" s="2"/>
      <c r="E545" s="3"/>
      <c r="F545" s="2"/>
      <c r="G545" s="2"/>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row>
    <row r="546" spans="1:46" ht="14.25" customHeight="1">
      <c r="A546" s="1"/>
      <c r="B546" s="1"/>
      <c r="C546" s="1"/>
      <c r="D546" s="2"/>
      <c r="E546" s="3"/>
      <c r="F546" s="2"/>
      <c r="G546" s="2"/>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row>
    <row r="547" spans="1:46" ht="14.25" customHeight="1">
      <c r="A547" s="1"/>
      <c r="B547" s="1"/>
      <c r="C547" s="1"/>
      <c r="D547" s="2"/>
      <c r="E547" s="3"/>
      <c r="F547" s="2"/>
      <c r="G547" s="2"/>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row>
    <row r="548" spans="1:46" ht="14.25" customHeight="1">
      <c r="A548" s="1"/>
      <c r="B548" s="1"/>
      <c r="C548" s="1"/>
      <c r="D548" s="2"/>
      <c r="E548" s="3"/>
      <c r="F548" s="2"/>
      <c r="G548" s="2"/>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row>
    <row r="549" spans="1:46" ht="14.25" customHeight="1">
      <c r="A549" s="1"/>
      <c r="B549" s="1"/>
      <c r="C549" s="1"/>
      <c r="D549" s="2"/>
      <c r="E549" s="3"/>
      <c r="F549" s="2"/>
      <c r="G549" s="2"/>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row>
    <row r="550" spans="1:46" ht="14.25" customHeight="1">
      <c r="A550" s="1"/>
      <c r="B550" s="1"/>
      <c r="C550" s="1"/>
      <c r="D550" s="2"/>
      <c r="E550" s="3"/>
      <c r="F550" s="2"/>
      <c r="G550" s="2"/>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row>
    <row r="551" spans="1:46" ht="14.25" customHeight="1">
      <c r="A551" s="1"/>
      <c r="B551" s="1"/>
      <c r="C551" s="1"/>
      <c r="D551" s="2"/>
      <c r="E551" s="3"/>
      <c r="F551" s="2"/>
      <c r="G551" s="2"/>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row>
    <row r="552" spans="1:46" ht="14.25" customHeight="1">
      <c r="A552" s="1"/>
      <c r="B552" s="1"/>
      <c r="C552" s="1"/>
      <c r="D552" s="2"/>
      <c r="E552" s="3"/>
      <c r="F552" s="2"/>
      <c r="G552" s="2"/>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row>
    <row r="553" spans="1:46" ht="14.25" customHeight="1">
      <c r="A553" s="1"/>
      <c r="B553" s="1"/>
      <c r="C553" s="1"/>
      <c r="D553" s="2"/>
      <c r="E553" s="3"/>
      <c r="F553" s="2"/>
      <c r="G553" s="2"/>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row>
    <row r="554" spans="1:46" ht="14.25" customHeight="1">
      <c r="A554" s="1"/>
      <c r="B554" s="1"/>
      <c r="C554" s="1"/>
      <c r="D554" s="2"/>
      <c r="E554" s="3"/>
      <c r="F554" s="2"/>
      <c r="G554" s="2"/>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row>
    <row r="555" spans="1:46" ht="14.25" customHeight="1">
      <c r="A555" s="1"/>
      <c r="B555" s="1"/>
      <c r="C555" s="1"/>
      <c r="D555" s="2"/>
      <c r="E555" s="3"/>
      <c r="F555" s="2"/>
      <c r="G555" s="2"/>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row>
    <row r="556" spans="1:46" ht="14.25" customHeight="1">
      <c r="A556" s="1"/>
      <c r="B556" s="1"/>
      <c r="C556" s="1"/>
      <c r="D556" s="2"/>
      <c r="E556" s="3"/>
      <c r="F556" s="2"/>
      <c r="G556" s="2"/>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row>
    <row r="557" spans="1:46" ht="14.25" customHeight="1">
      <c r="A557" s="1"/>
      <c r="B557" s="1"/>
      <c r="C557" s="1"/>
      <c r="D557" s="2"/>
      <c r="E557" s="3"/>
      <c r="F557" s="2"/>
      <c r="G557" s="2"/>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row>
    <row r="558" spans="1:46" ht="14.25" customHeight="1">
      <c r="A558" s="1"/>
      <c r="B558" s="1"/>
      <c r="C558" s="1"/>
      <c r="D558" s="2"/>
      <c r="E558" s="3"/>
      <c r="F558" s="2"/>
      <c r="G558" s="2"/>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row>
    <row r="559" spans="1:46" ht="14.25" customHeight="1">
      <c r="A559" s="1"/>
      <c r="B559" s="1"/>
      <c r="C559" s="1"/>
      <c r="D559" s="2"/>
      <c r="E559" s="3"/>
      <c r="F559" s="2"/>
      <c r="G559" s="2"/>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row>
    <row r="560" spans="1:46" ht="14.25" customHeight="1">
      <c r="A560" s="1"/>
      <c r="B560" s="1"/>
      <c r="C560" s="1"/>
      <c r="D560" s="2"/>
      <c r="E560" s="3"/>
      <c r="F560" s="2"/>
      <c r="G560" s="2"/>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row>
    <row r="561" spans="1:46" ht="14.25" customHeight="1">
      <c r="A561" s="1"/>
      <c r="B561" s="1"/>
      <c r="C561" s="1"/>
      <c r="D561" s="2"/>
      <c r="E561" s="3"/>
      <c r="F561" s="2"/>
      <c r="G561" s="2"/>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row>
    <row r="562" spans="1:46" ht="14.25" customHeight="1">
      <c r="A562" s="1"/>
      <c r="B562" s="1"/>
      <c r="C562" s="1"/>
      <c r="D562" s="2"/>
      <c r="E562" s="3"/>
      <c r="F562" s="2"/>
      <c r="G562" s="2"/>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row>
    <row r="563" spans="1:46" ht="14.25" customHeight="1">
      <c r="A563" s="1"/>
      <c r="B563" s="1"/>
      <c r="C563" s="1"/>
      <c r="D563" s="2"/>
      <c r="E563" s="3"/>
      <c r="F563" s="2"/>
      <c r="G563" s="2"/>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row>
    <row r="564" spans="1:46" ht="14.25" customHeight="1">
      <c r="A564" s="1"/>
      <c r="B564" s="1"/>
      <c r="C564" s="1"/>
      <c r="D564" s="2"/>
      <c r="E564" s="3"/>
      <c r="F564" s="2"/>
      <c r="G564" s="2"/>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row>
    <row r="565" spans="1:46" ht="14.25" customHeight="1">
      <c r="A565" s="1"/>
      <c r="B565" s="1"/>
      <c r="C565" s="1"/>
      <c r="D565" s="2"/>
      <c r="E565" s="3"/>
      <c r="F565" s="2"/>
      <c r="G565" s="2"/>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row>
    <row r="566" spans="1:46" ht="14.25" customHeight="1">
      <c r="A566" s="1"/>
      <c r="B566" s="1"/>
      <c r="C566" s="1"/>
      <c r="D566" s="2"/>
      <c r="E566" s="3"/>
      <c r="F566" s="2"/>
      <c r="G566" s="2"/>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row>
    <row r="567" spans="1:46" ht="14.25" customHeight="1">
      <c r="A567" s="1"/>
      <c r="B567" s="1"/>
      <c r="C567" s="1"/>
      <c r="D567" s="2"/>
      <c r="E567" s="3"/>
      <c r="F567" s="2"/>
      <c r="G567" s="2"/>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row>
    <row r="568" spans="1:46" ht="14.25" customHeight="1">
      <c r="A568" s="1"/>
      <c r="B568" s="1"/>
      <c r="C568" s="1"/>
      <c r="D568" s="2"/>
      <c r="E568" s="3"/>
      <c r="F568" s="2"/>
      <c r="G568" s="2"/>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row>
    <row r="569" spans="1:46" ht="14.25" customHeight="1">
      <c r="A569" s="1"/>
      <c r="B569" s="1"/>
      <c r="C569" s="1"/>
      <c r="D569" s="2"/>
      <c r="E569" s="3"/>
      <c r="F569" s="2"/>
      <c r="G569" s="2"/>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row>
    <row r="570" spans="1:46" ht="14.25" customHeight="1">
      <c r="A570" s="1"/>
      <c r="B570" s="1"/>
      <c r="C570" s="1"/>
      <c r="D570" s="2"/>
      <c r="E570" s="3"/>
      <c r="F570" s="2"/>
      <c r="G570" s="2"/>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row>
    <row r="571" spans="1:46" ht="14.25" customHeight="1">
      <c r="A571" s="1"/>
      <c r="B571" s="1"/>
      <c r="C571" s="1"/>
      <c r="D571" s="2"/>
      <c r="E571" s="3"/>
      <c r="F571" s="2"/>
      <c r="G571" s="2"/>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row>
    <row r="572" spans="1:46" ht="14.25" customHeight="1">
      <c r="A572" s="1"/>
      <c r="B572" s="1"/>
      <c r="C572" s="1"/>
      <c r="D572" s="2"/>
      <c r="E572" s="3"/>
      <c r="F572" s="2"/>
      <c r="G572" s="2"/>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row>
    <row r="573" spans="1:46" ht="14.25" customHeight="1">
      <c r="A573" s="1"/>
      <c r="B573" s="1"/>
      <c r="C573" s="1"/>
      <c r="D573" s="2"/>
      <c r="E573" s="3"/>
      <c r="F573" s="2"/>
      <c r="G573" s="2"/>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row>
    <row r="574" spans="1:46" ht="14.25" customHeight="1">
      <c r="A574" s="1"/>
      <c r="B574" s="1"/>
      <c r="C574" s="1"/>
      <c r="D574" s="2"/>
      <c r="E574" s="3"/>
      <c r="F574" s="2"/>
      <c r="G574" s="2"/>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row>
    <row r="575" spans="1:46" ht="14.25" customHeight="1">
      <c r="A575" s="1"/>
      <c r="B575" s="1"/>
      <c r="C575" s="1"/>
      <c r="D575" s="2"/>
      <c r="E575" s="3"/>
      <c r="F575" s="2"/>
      <c r="G575" s="2"/>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row>
    <row r="576" spans="1:46" ht="14.25" customHeight="1">
      <c r="A576" s="1"/>
      <c r="B576" s="1"/>
      <c r="C576" s="1"/>
      <c r="D576" s="2"/>
      <c r="E576" s="3"/>
      <c r="F576" s="2"/>
      <c r="G576" s="2"/>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row>
    <row r="577" spans="1:46" ht="14.25" customHeight="1">
      <c r="A577" s="1"/>
      <c r="B577" s="1"/>
      <c r="C577" s="1"/>
      <c r="D577" s="2"/>
      <c r="E577" s="3"/>
      <c r="F577" s="2"/>
      <c r="G577" s="2"/>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row>
    <row r="578" spans="1:46" ht="14.25" customHeight="1">
      <c r="A578" s="1"/>
      <c r="B578" s="1"/>
      <c r="C578" s="1"/>
      <c r="D578" s="2"/>
      <c r="E578" s="3"/>
      <c r="F578" s="2"/>
      <c r="G578" s="2"/>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row>
    <row r="579" spans="1:46" ht="14.25" customHeight="1">
      <c r="A579" s="1"/>
      <c r="B579" s="1"/>
      <c r="C579" s="1"/>
      <c r="D579" s="2"/>
      <c r="E579" s="3"/>
      <c r="F579" s="2"/>
      <c r="G579" s="2"/>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row>
    <row r="580" spans="1:46" ht="14.25" customHeight="1">
      <c r="A580" s="1"/>
      <c r="B580" s="1"/>
      <c r="C580" s="1"/>
      <c r="D580" s="2"/>
      <c r="E580" s="3"/>
      <c r="F580" s="2"/>
      <c r="G580" s="2"/>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row>
    <row r="581" spans="1:46" ht="14.25" customHeight="1">
      <c r="A581" s="1"/>
      <c r="B581" s="1"/>
      <c r="C581" s="1"/>
      <c r="D581" s="2"/>
      <c r="E581" s="3"/>
      <c r="F581" s="2"/>
      <c r="G581" s="2"/>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row>
    <row r="582" spans="1:46" ht="14.25" customHeight="1">
      <c r="A582" s="1"/>
      <c r="B582" s="1"/>
      <c r="C582" s="1"/>
      <c r="D582" s="2"/>
      <c r="E582" s="3"/>
      <c r="F582" s="2"/>
      <c r="G582" s="2"/>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row>
    <row r="583" spans="1:46" ht="14.25" customHeight="1">
      <c r="A583" s="1"/>
      <c r="B583" s="1"/>
      <c r="C583" s="1"/>
      <c r="D583" s="2"/>
      <c r="E583" s="3"/>
      <c r="F583" s="2"/>
      <c r="G583" s="2"/>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row>
    <row r="584" spans="1:46" ht="14.25" customHeight="1">
      <c r="A584" s="1"/>
      <c r="B584" s="1"/>
      <c r="C584" s="1"/>
      <c r="D584" s="2"/>
      <c r="E584" s="3"/>
      <c r="F584" s="2"/>
      <c r="G584" s="2"/>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row>
    <row r="585" spans="1:46" ht="14.25" customHeight="1">
      <c r="A585" s="1"/>
      <c r="B585" s="1"/>
      <c r="C585" s="1"/>
      <c r="D585" s="2"/>
      <c r="E585" s="3"/>
      <c r="F585" s="2"/>
      <c r="G585" s="2"/>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row>
    <row r="586" spans="1:46" ht="14.25" customHeight="1">
      <c r="A586" s="1"/>
      <c r="B586" s="1"/>
      <c r="C586" s="1"/>
      <c r="D586" s="2"/>
      <c r="E586" s="3"/>
      <c r="F586" s="2"/>
      <c r="G586" s="2"/>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row>
    <row r="587" spans="1:46" ht="14.25" customHeight="1">
      <c r="A587" s="1"/>
      <c r="B587" s="1"/>
      <c r="C587" s="1"/>
      <c r="D587" s="2"/>
      <c r="E587" s="3"/>
      <c r="F587" s="2"/>
      <c r="G587" s="2"/>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row>
    <row r="588" spans="1:46" ht="14.25" customHeight="1">
      <c r="A588" s="1"/>
      <c r="B588" s="1"/>
      <c r="C588" s="1"/>
      <c r="D588" s="2"/>
      <c r="E588" s="3"/>
      <c r="F588" s="2"/>
      <c r="G588" s="2"/>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row>
    <row r="589" spans="1:46" ht="14.25" customHeight="1">
      <c r="A589" s="1"/>
      <c r="B589" s="1"/>
      <c r="C589" s="1"/>
      <c r="D589" s="2"/>
      <c r="E589" s="3"/>
      <c r="F589" s="2"/>
      <c r="G589" s="2"/>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row>
    <row r="590" spans="1:46" ht="14.25" customHeight="1">
      <c r="A590" s="1"/>
      <c r="B590" s="1"/>
      <c r="C590" s="1"/>
      <c r="D590" s="2"/>
      <c r="E590" s="3"/>
      <c r="F590" s="2"/>
      <c r="G590" s="2"/>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row>
    <row r="591" spans="1:46" ht="14.25" customHeight="1">
      <c r="A591" s="1"/>
      <c r="B591" s="1"/>
      <c r="C591" s="1"/>
      <c r="D591" s="2"/>
      <c r="E591" s="3"/>
      <c r="F591" s="2"/>
      <c r="G591" s="2"/>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row>
    <row r="592" spans="1:46" ht="14.25" customHeight="1">
      <c r="A592" s="1"/>
      <c r="B592" s="1"/>
      <c r="C592" s="1"/>
      <c r="D592" s="2"/>
      <c r="E592" s="3"/>
      <c r="F592" s="2"/>
      <c r="G592" s="2"/>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row>
    <row r="593" spans="1:46" ht="14.25" customHeight="1">
      <c r="A593" s="1"/>
      <c r="B593" s="1"/>
      <c r="C593" s="1"/>
      <c r="D593" s="2"/>
      <c r="E593" s="3"/>
      <c r="F593" s="2"/>
      <c r="G593" s="2"/>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row>
    <row r="594" spans="1:46" ht="14.25" customHeight="1">
      <c r="A594" s="1"/>
      <c r="B594" s="1"/>
      <c r="C594" s="1"/>
      <c r="D594" s="2"/>
      <c r="E594" s="3"/>
      <c r="F594" s="2"/>
      <c r="G594" s="2"/>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row>
    <row r="595" spans="1:46" ht="14.25" customHeight="1">
      <c r="A595" s="1"/>
      <c r="B595" s="1"/>
      <c r="C595" s="1"/>
      <c r="D595" s="2"/>
      <c r="E595" s="3"/>
      <c r="F595" s="2"/>
      <c r="G595" s="2"/>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row>
    <row r="596" spans="1:46" ht="14.25" customHeight="1">
      <c r="A596" s="1"/>
      <c r="B596" s="1"/>
      <c r="C596" s="1"/>
      <c r="D596" s="2"/>
      <c r="E596" s="3"/>
      <c r="F596" s="2"/>
      <c r="G596" s="2"/>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row>
    <row r="597" spans="1:46" ht="14.25" customHeight="1">
      <c r="A597" s="1"/>
      <c r="B597" s="1"/>
      <c r="C597" s="1"/>
      <c r="D597" s="2"/>
      <c r="E597" s="3"/>
      <c r="F597" s="2"/>
      <c r="G597" s="2"/>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row>
    <row r="598" spans="1:46" ht="14.25" customHeight="1">
      <c r="A598" s="1"/>
      <c r="B598" s="1"/>
      <c r="C598" s="1"/>
      <c r="D598" s="2"/>
      <c r="E598" s="3"/>
      <c r="F598" s="2"/>
      <c r="G598" s="2"/>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row>
    <row r="599" spans="1:46" ht="14.25" customHeight="1">
      <c r="A599" s="1"/>
      <c r="B599" s="1"/>
      <c r="C599" s="1"/>
      <c r="D599" s="2"/>
      <c r="E599" s="3"/>
      <c r="F599" s="2"/>
      <c r="G599" s="2"/>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row>
    <row r="600" spans="1:46" ht="14.25" customHeight="1">
      <c r="A600" s="1"/>
      <c r="B600" s="1"/>
      <c r="C600" s="1"/>
      <c r="D600" s="2"/>
      <c r="E600" s="3"/>
      <c r="F600" s="2"/>
      <c r="G600" s="2"/>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row>
    <row r="601" spans="1:46" ht="14.25" customHeight="1">
      <c r="A601" s="1"/>
      <c r="B601" s="1"/>
      <c r="C601" s="1"/>
      <c r="D601" s="2"/>
      <c r="E601" s="3"/>
      <c r="F601" s="2"/>
      <c r="G601" s="2"/>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row>
    <row r="602" spans="1:46" ht="14.25" customHeight="1">
      <c r="A602" s="1"/>
      <c r="B602" s="1"/>
      <c r="C602" s="1"/>
      <c r="D602" s="2"/>
      <c r="E602" s="3"/>
      <c r="F602" s="2"/>
      <c r="G602" s="2"/>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row>
    <row r="603" spans="1:46" ht="14.25" customHeight="1">
      <c r="A603" s="1"/>
      <c r="B603" s="1"/>
      <c r="C603" s="1"/>
      <c r="D603" s="2"/>
      <c r="E603" s="3"/>
      <c r="F603" s="2"/>
      <c r="G603" s="2"/>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row>
    <row r="604" spans="1:46" ht="14.25" customHeight="1">
      <c r="A604" s="1"/>
      <c r="B604" s="1"/>
      <c r="C604" s="1"/>
      <c r="D604" s="2"/>
      <c r="E604" s="3"/>
      <c r="F604" s="2"/>
      <c r="G604" s="2"/>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row>
    <row r="605" spans="1:46" ht="14.25" customHeight="1">
      <c r="A605" s="1"/>
      <c r="B605" s="1"/>
      <c r="C605" s="1"/>
      <c r="D605" s="2"/>
      <c r="E605" s="3"/>
      <c r="F605" s="2"/>
      <c r="G605" s="2"/>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row>
    <row r="606" spans="1:46" ht="14.25" customHeight="1">
      <c r="A606" s="1"/>
      <c r="B606" s="1"/>
      <c r="C606" s="1"/>
      <c r="D606" s="2"/>
      <c r="E606" s="3"/>
      <c r="F606" s="2"/>
      <c r="G606" s="2"/>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row>
    <row r="607" spans="1:46" ht="14.25" customHeight="1">
      <c r="A607" s="1"/>
      <c r="B607" s="1"/>
      <c r="C607" s="1"/>
      <c r="D607" s="2"/>
      <c r="E607" s="3"/>
      <c r="F607" s="2"/>
      <c r="G607" s="2"/>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row>
    <row r="608" spans="1:46" ht="14.25" customHeight="1">
      <c r="A608" s="1"/>
      <c r="B608" s="1"/>
      <c r="C608" s="1"/>
      <c r="D608" s="2"/>
      <c r="E608" s="3"/>
      <c r="F608" s="2"/>
      <c r="G608" s="2"/>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row>
    <row r="609" spans="1:46" ht="14.25" customHeight="1">
      <c r="A609" s="1"/>
      <c r="B609" s="1"/>
      <c r="C609" s="1"/>
      <c r="D609" s="2"/>
      <c r="E609" s="3"/>
      <c r="F609" s="2"/>
      <c r="G609" s="2"/>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row>
    <row r="610" spans="1:46" ht="14.25" customHeight="1">
      <c r="A610" s="1"/>
      <c r="B610" s="1"/>
      <c r="C610" s="1"/>
      <c r="D610" s="2"/>
      <c r="E610" s="3"/>
      <c r="F610" s="2"/>
      <c r="G610" s="2"/>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row>
    <row r="611" spans="1:46" ht="14.25" customHeight="1">
      <c r="A611" s="1"/>
      <c r="B611" s="1"/>
      <c r="C611" s="1"/>
      <c r="D611" s="2"/>
      <c r="E611" s="3"/>
      <c r="F611" s="2"/>
      <c r="G611" s="2"/>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row>
    <row r="612" spans="1:46" ht="14.25" customHeight="1">
      <c r="A612" s="1"/>
      <c r="B612" s="1"/>
      <c r="C612" s="1"/>
      <c r="D612" s="2"/>
      <c r="E612" s="3"/>
      <c r="F612" s="2"/>
      <c r="G612" s="2"/>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row>
    <row r="613" spans="1:46" ht="14.25" customHeight="1">
      <c r="A613" s="1"/>
      <c r="B613" s="1"/>
      <c r="C613" s="1"/>
      <c r="D613" s="2"/>
      <c r="E613" s="3"/>
      <c r="F613" s="2"/>
      <c r="G613" s="2"/>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row>
    <row r="614" spans="1:46" ht="14.25" customHeight="1">
      <c r="A614" s="1"/>
      <c r="B614" s="1"/>
      <c r="C614" s="1"/>
      <c r="D614" s="2"/>
      <c r="E614" s="3"/>
      <c r="F614" s="2"/>
      <c r="G614" s="2"/>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row>
    <row r="615" spans="1:46" ht="14.25" customHeight="1">
      <c r="A615" s="1"/>
      <c r="B615" s="1"/>
      <c r="C615" s="1"/>
      <c r="D615" s="2"/>
      <c r="E615" s="3"/>
      <c r="F615" s="2"/>
      <c r="G615" s="2"/>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row>
    <row r="616" spans="1:46" ht="14.25" customHeight="1">
      <c r="A616" s="1"/>
      <c r="B616" s="1"/>
      <c r="C616" s="1"/>
      <c r="D616" s="2"/>
      <c r="E616" s="3"/>
      <c r="F616" s="2"/>
      <c r="G616" s="2"/>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row>
    <row r="617" spans="1:46" ht="14.25" customHeight="1">
      <c r="A617" s="1"/>
      <c r="B617" s="1"/>
      <c r="C617" s="1"/>
      <c r="D617" s="2"/>
      <c r="E617" s="3"/>
      <c r="F617" s="2"/>
      <c r="G617" s="2"/>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row>
    <row r="618" spans="1:46" ht="14.25" customHeight="1">
      <c r="A618" s="1"/>
      <c r="B618" s="1"/>
      <c r="C618" s="1"/>
      <c r="D618" s="2"/>
      <c r="E618" s="3"/>
      <c r="F618" s="2"/>
      <c r="G618" s="2"/>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row>
    <row r="619" spans="1:46" ht="14.25" customHeight="1">
      <c r="A619" s="1"/>
      <c r="B619" s="1"/>
      <c r="C619" s="1"/>
      <c r="D619" s="2"/>
      <c r="E619" s="3"/>
      <c r="F619" s="2"/>
      <c r="G619" s="2"/>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row>
    <row r="620" spans="1:46" ht="14.25" customHeight="1">
      <c r="A620" s="1"/>
      <c r="B620" s="1"/>
      <c r="C620" s="1"/>
      <c r="D620" s="2"/>
      <c r="E620" s="3"/>
      <c r="F620" s="2"/>
      <c r="G620" s="2"/>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row>
    <row r="621" spans="1:46" ht="14.25" customHeight="1">
      <c r="A621" s="1"/>
      <c r="B621" s="1"/>
      <c r="C621" s="1"/>
      <c r="D621" s="2"/>
      <c r="E621" s="3"/>
      <c r="F621" s="2"/>
      <c r="G621" s="2"/>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row>
    <row r="622" spans="1:46" ht="14.25" customHeight="1">
      <c r="A622" s="1"/>
      <c r="B622" s="1"/>
      <c r="C622" s="1"/>
      <c r="D622" s="2"/>
      <c r="E622" s="3"/>
      <c r="F622" s="2"/>
      <c r="G622" s="2"/>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row>
    <row r="623" spans="1:46" ht="14.25" customHeight="1">
      <c r="A623" s="1"/>
      <c r="B623" s="1"/>
      <c r="C623" s="1"/>
      <c r="D623" s="2"/>
      <c r="E623" s="3"/>
      <c r="F623" s="2"/>
      <c r="G623" s="2"/>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row>
    <row r="624" spans="1:46" ht="14.25" customHeight="1">
      <c r="A624" s="1"/>
      <c r="B624" s="1"/>
      <c r="C624" s="1"/>
      <c r="D624" s="2"/>
      <c r="E624" s="3"/>
      <c r="F624" s="2"/>
      <c r="G624" s="2"/>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row>
    <row r="625" spans="1:46" ht="14.25" customHeight="1">
      <c r="A625" s="1"/>
      <c r="B625" s="1"/>
      <c r="C625" s="1"/>
      <c r="D625" s="2"/>
      <c r="E625" s="3"/>
      <c r="F625" s="2"/>
      <c r="G625" s="2"/>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row>
    <row r="626" spans="1:46" ht="14.25" customHeight="1">
      <c r="A626" s="1"/>
      <c r="B626" s="1"/>
      <c r="C626" s="1"/>
      <c r="D626" s="2"/>
      <c r="E626" s="3"/>
      <c r="F626" s="2"/>
      <c r="G626" s="2"/>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row>
    <row r="627" spans="1:46" ht="14.25" customHeight="1">
      <c r="A627" s="1"/>
      <c r="B627" s="1"/>
      <c r="C627" s="1"/>
      <c r="D627" s="2"/>
      <c r="E627" s="3"/>
      <c r="F627" s="2"/>
      <c r="G627" s="2"/>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row>
    <row r="628" spans="1:46" ht="14.25" customHeight="1">
      <c r="A628" s="1"/>
      <c r="B628" s="1"/>
      <c r="C628" s="1"/>
      <c r="D628" s="2"/>
      <c r="E628" s="3"/>
      <c r="F628" s="2"/>
      <c r="G628" s="2"/>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row>
    <row r="629" spans="1:46" ht="14.25" customHeight="1">
      <c r="A629" s="1"/>
      <c r="B629" s="1"/>
      <c r="C629" s="1"/>
      <c r="D629" s="2"/>
      <c r="E629" s="3"/>
      <c r="F629" s="2"/>
      <c r="G629" s="2"/>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row>
    <row r="630" spans="1:46" ht="14.25" customHeight="1">
      <c r="A630" s="1"/>
      <c r="B630" s="1"/>
      <c r="C630" s="1"/>
      <c r="D630" s="2"/>
      <c r="E630" s="3"/>
      <c r="F630" s="2"/>
      <c r="G630" s="2"/>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row>
    <row r="631" spans="1:46" ht="14.25" customHeight="1">
      <c r="A631" s="1"/>
      <c r="B631" s="1"/>
      <c r="C631" s="1"/>
      <c r="D631" s="2"/>
      <c r="E631" s="3"/>
      <c r="F631" s="2"/>
      <c r="G631" s="2"/>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row>
    <row r="632" spans="1:46" ht="14.25" customHeight="1">
      <c r="A632" s="1"/>
      <c r="B632" s="1"/>
      <c r="C632" s="1"/>
      <c r="D632" s="2"/>
      <c r="E632" s="3"/>
      <c r="F632" s="2"/>
      <c r="G632" s="2"/>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row>
    <row r="633" spans="1:46" ht="14.25" customHeight="1">
      <c r="A633" s="1"/>
      <c r="B633" s="1"/>
      <c r="C633" s="1"/>
      <c r="D633" s="2"/>
      <c r="E633" s="3"/>
      <c r="F633" s="2"/>
      <c r="G633" s="2"/>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row>
    <row r="634" spans="1:46" ht="14.25" customHeight="1">
      <c r="A634" s="1"/>
      <c r="B634" s="1"/>
      <c r="C634" s="1"/>
      <c r="D634" s="2"/>
      <c r="E634" s="3"/>
      <c r="F634" s="2"/>
      <c r="G634" s="2"/>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row>
    <row r="635" spans="1:46" ht="14.25" customHeight="1">
      <c r="A635" s="1"/>
      <c r="B635" s="1"/>
      <c r="C635" s="1"/>
      <c r="D635" s="2"/>
      <c r="E635" s="3"/>
      <c r="F635" s="2"/>
      <c r="G635" s="2"/>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row>
    <row r="636" spans="1:46" ht="14.25" customHeight="1">
      <c r="A636" s="1"/>
      <c r="B636" s="1"/>
      <c r="C636" s="1"/>
      <c r="D636" s="2"/>
      <c r="E636" s="3"/>
      <c r="F636" s="2"/>
      <c r="G636" s="2"/>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row>
    <row r="637" spans="1:46" ht="14.25" customHeight="1">
      <c r="A637" s="1"/>
      <c r="B637" s="1"/>
      <c r="C637" s="1"/>
      <c r="D637" s="2"/>
      <c r="E637" s="3"/>
      <c r="F637" s="2"/>
      <c r="G637" s="2"/>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row>
    <row r="638" spans="1:46" ht="14.25" customHeight="1">
      <c r="A638" s="1"/>
      <c r="B638" s="1"/>
      <c r="C638" s="1"/>
      <c r="D638" s="2"/>
      <c r="E638" s="3"/>
      <c r="F638" s="2"/>
      <c r="G638" s="2"/>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row>
    <row r="639" spans="1:46" ht="14.25" customHeight="1">
      <c r="A639" s="1"/>
      <c r="B639" s="1"/>
      <c r="C639" s="1"/>
      <c r="D639" s="2"/>
      <c r="E639" s="3"/>
      <c r="F639" s="2"/>
      <c r="G639" s="2"/>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row>
    <row r="640" spans="1:46" ht="14.25" customHeight="1">
      <c r="A640" s="1"/>
      <c r="B640" s="1"/>
      <c r="C640" s="1"/>
      <c r="D640" s="2"/>
      <c r="E640" s="3"/>
      <c r="F640" s="2"/>
      <c r="G640" s="2"/>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row>
    <row r="641" spans="1:46" ht="14.25" customHeight="1">
      <c r="A641" s="1"/>
      <c r="B641" s="1"/>
      <c r="C641" s="1"/>
      <c r="D641" s="2"/>
      <c r="E641" s="3"/>
      <c r="F641" s="2"/>
      <c r="G641" s="2"/>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row>
    <row r="642" spans="1:46" ht="14.25" customHeight="1">
      <c r="A642" s="1"/>
      <c r="B642" s="1"/>
      <c r="C642" s="1"/>
      <c r="D642" s="2"/>
      <c r="E642" s="3"/>
      <c r="F642" s="2"/>
      <c r="G642" s="2"/>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row>
    <row r="643" spans="1:46" ht="14.25" customHeight="1">
      <c r="A643" s="1"/>
      <c r="B643" s="1"/>
      <c r="C643" s="1"/>
      <c r="D643" s="2"/>
      <c r="E643" s="3"/>
      <c r="F643" s="2"/>
      <c r="G643" s="2"/>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row>
    <row r="644" spans="1:46" ht="14.25" customHeight="1">
      <c r="A644" s="1"/>
      <c r="B644" s="1"/>
      <c r="C644" s="1"/>
      <c r="D644" s="2"/>
      <c r="E644" s="3"/>
      <c r="F644" s="2"/>
      <c r="G644" s="2"/>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row>
    <row r="645" spans="1:46" ht="14.25" customHeight="1">
      <c r="A645" s="1"/>
      <c r="B645" s="1"/>
      <c r="C645" s="1"/>
      <c r="D645" s="2"/>
      <c r="E645" s="3"/>
      <c r="F645" s="2"/>
      <c r="G645" s="2"/>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row>
    <row r="646" spans="1:46" ht="14.25" customHeight="1">
      <c r="A646" s="1"/>
      <c r="B646" s="1"/>
      <c r="C646" s="1"/>
      <c r="D646" s="2"/>
      <c r="E646" s="3"/>
      <c r="F646" s="2"/>
      <c r="G646" s="2"/>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row>
    <row r="647" spans="1:46" ht="14.25" customHeight="1">
      <c r="A647" s="1"/>
      <c r="B647" s="1"/>
      <c r="C647" s="1"/>
      <c r="D647" s="2"/>
      <c r="E647" s="3"/>
      <c r="F647" s="2"/>
      <c r="G647" s="2"/>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row>
    <row r="648" spans="1:46" ht="14.25" customHeight="1">
      <c r="A648" s="1"/>
      <c r="B648" s="1"/>
      <c r="C648" s="1"/>
      <c r="D648" s="2"/>
      <c r="E648" s="3"/>
      <c r="F648" s="2"/>
      <c r="G648" s="2"/>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row>
    <row r="649" spans="1:46" ht="14.25" customHeight="1">
      <c r="A649" s="1"/>
      <c r="B649" s="1"/>
      <c r="C649" s="1"/>
      <c r="D649" s="2"/>
      <c r="E649" s="3"/>
      <c r="F649" s="2"/>
      <c r="G649" s="2"/>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row>
    <row r="650" spans="1:46" ht="14.25" customHeight="1">
      <c r="A650" s="1"/>
      <c r="B650" s="1"/>
      <c r="C650" s="1"/>
      <c r="D650" s="2"/>
      <c r="E650" s="3"/>
      <c r="F650" s="2"/>
      <c r="G650" s="2"/>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row>
    <row r="651" spans="1:46" ht="14.25" customHeight="1">
      <c r="A651" s="1"/>
      <c r="B651" s="1"/>
      <c r="C651" s="1"/>
      <c r="D651" s="2"/>
      <c r="E651" s="3"/>
      <c r="F651" s="2"/>
      <c r="G651" s="2"/>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row>
    <row r="652" spans="1:46" ht="14.25" customHeight="1">
      <c r="A652" s="1"/>
      <c r="B652" s="1"/>
      <c r="C652" s="1"/>
      <c r="D652" s="2"/>
      <c r="E652" s="3"/>
      <c r="F652" s="2"/>
      <c r="G652" s="2"/>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row>
    <row r="653" spans="1:46" ht="14.25" customHeight="1">
      <c r="A653" s="1"/>
      <c r="B653" s="1"/>
      <c r="C653" s="1"/>
      <c r="D653" s="2"/>
      <c r="E653" s="3"/>
      <c r="F653" s="2"/>
      <c r="G653" s="2"/>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row>
    <row r="654" spans="1:46" ht="14.25" customHeight="1">
      <c r="A654" s="1"/>
      <c r="B654" s="1"/>
      <c r="C654" s="1"/>
      <c r="D654" s="2"/>
      <c r="E654" s="3"/>
      <c r="F654" s="2"/>
      <c r="G654" s="2"/>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row>
    <row r="655" spans="1:46" ht="14.25" customHeight="1">
      <c r="A655" s="1"/>
      <c r="B655" s="1"/>
      <c r="C655" s="1"/>
      <c r="D655" s="2"/>
      <c r="E655" s="3"/>
      <c r="F655" s="2"/>
      <c r="G655" s="2"/>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row>
    <row r="656" spans="1:46" ht="14.25" customHeight="1">
      <c r="A656" s="1"/>
      <c r="B656" s="1"/>
      <c r="C656" s="1"/>
      <c r="D656" s="2"/>
      <c r="E656" s="3"/>
      <c r="F656" s="2"/>
      <c r="G656" s="2"/>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row>
    <row r="657" spans="1:46" ht="14.25" customHeight="1">
      <c r="A657" s="1"/>
      <c r="B657" s="1"/>
      <c r="C657" s="1"/>
      <c r="D657" s="2"/>
      <c r="E657" s="3"/>
      <c r="F657" s="2"/>
      <c r="G657" s="2"/>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row>
    <row r="658" spans="1:46" ht="14.25" customHeight="1">
      <c r="A658" s="1"/>
      <c r="B658" s="1"/>
      <c r="C658" s="1"/>
      <c r="D658" s="2"/>
      <c r="E658" s="3"/>
      <c r="F658" s="2"/>
      <c r="G658" s="2"/>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row>
    <row r="659" spans="1:46" ht="14.25" customHeight="1">
      <c r="A659" s="1"/>
      <c r="B659" s="1"/>
      <c r="C659" s="1"/>
      <c r="D659" s="2"/>
      <c r="E659" s="3"/>
      <c r="F659" s="2"/>
      <c r="G659" s="2"/>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row>
    <row r="660" spans="1:46" ht="14.25" customHeight="1">
      <c r="A660" s="1"/>
      <c r="B660" s="1"/>
      <c r="C660" s="1"/>
      <c r="D660" s="2"/>
      <c r="E660" s="3"/>
      <c r="F660" s="2"/>
      <c r="G660" s="2"/>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row>
    <row r="661" spans="1:46" ht="14.25" customHeight="1">
      <c r="A661" s="1"/>
      <c r="B661" s="1"/>
      <c r="C661" s="1"/>
      <c r="D661" s="2"/>
      <c r="E661" s="3"/>
      <c r="F661" s="2"/>
      <c r="G661" s="2"/>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row>
    <row r="662" spans="1:46" ht="14.25" customHeight="1">
      <c r="A662" s="1"/>
      <c r="B662" s="1"/>
      <c r="C662" s="1"/>
      <c r="D662" s="2"/>
      <c r="E662" s="3"/>
      <c r="F662" s="2"/>
      <c r="G662" s="2"/>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row>
    <row r="663" spans="1:46" ht="14.25" customHeight="1">
      <c r="A663" s="1"/>
      <c r="B663" s="1"/>
      <c r="C663" s="1"/>
      <c r="D663" s="2"/>
      <c r="E663" s="3"/>
      <c r="F663" s="2"/>
      <c r="G663" s="2"/>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row>
    <row r="664" spans="1:46" ht="14.25" customHeight="1">
      <c r="A664" s="1"/>
      <c r="B664" s="1"/>
      <c r="C664" s="1"/>
      <c r="D664" s="2"/>
      <c r="E664" s="3"/>
      <c r="F664" s="2"/>
      <c r="G664" s="2"/>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row>
    <row r="665" spans="1:46" ht="14.25" customHeight="1">
      <c r="A665" s="1"/>
      <c r="B665" s="1"/>
      <c r="C665" s="1"/>
      <c r="D665" s="2"/>
      <c r="E665" s="3"/>
      <c r="F665" s="2"/>
      <c r="G665" s="2"/>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row>
    <row r="666" spans="1:46" ht="14.25" customHeight="1">
      <c r="A666" s="1"/>
      <c r="B666" s="1"/>
      <c r="C666" s="1"/>
      <c r="D666" s="2"/>
      <c r="E666" s="3"/>
      <c r="F666" s="2"/>
      <c r="G666" s="2"/>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row>
    <row r="667" spans="1:46" ht="14.25" customHeight="1">
      <c r="A667" s="1"/>
      <c r="B667" s="1"/>
      <c r="C667" s="1"/>
      <c r="D667" s="2"/>
      <c r="E667" s="3"/>
      <c r="F667" s="2"/>
      <c r="G667" s="2"/>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row>
    <row r="668" spans="1:46" ht="14.25" customHeight="1">
      <c r="A668" s="1"/>
      <c r="B668" s="1"/>
      <c r="C668" s="1"/>
      <c r="D668" s="2"/>
      <c r="E668" s="3"/>
      <c r="F668" s="2"/>
      <c r="G668" s="2"/>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row>
    <row r="669" spans="1:46" ht="14.25" customHeight="1">
      <c r="A669" s="1"/>
      <c r="B669" s="1"/>
      <c r="C669" s="1"/>
      <c r="D669" s="2"/>
      <c r="E669" s="3"/>
      <c r="F669" s="2"/>
      <c r="G669" s="2"/>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row>
    <row r="670" spans="1:46" ht="14.25" customHeight="1">
      <c r="A670" s="1"/>
      <c r="B670" s="1"/>
      <c r="C670" s="1"/>
      <c r="D670" s="2"/>
      <c r="E670" s="3"/>
      <c r="F670" s="2"/>
      <c r="G670" s="2"/>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row>
    <row r="671" spans="1:46" ht="14.25" customHeight="1">
      <c r="A671" s="1"/>
      <c r="B671" s="1"/>
      <c r="C671" s="1"/>
      <c r="D671" s="2"/>
      <c r="E671" s="3"/>
      <c r="F671" s="2"/>
      <c r="G671" s="2"/>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row>
    <row r="672" spans="1:46" ht="14.25" customHeight="1">
      <c r="A672" s="1"/>
      <c r="B672" s="1"/>
      <c r="C672" s="1"/>
      <c r="D672" s="2"/>
      <c r="E672" s="3"/>
      <c r="F672" s="2"/>
      <c r="G672" s="2"/>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row>
    <row r="673" spans="1:46" ht="14.25" customHeight="1">
      <c r="A673" s="1"/>
      <c r="B673" s="1"/>
      <c r="C673" s="1"/>
      <c r="D673" s="2"/>
      <c r="E673" s="3"/>
      <c r="F673" s="2"/>
      <c r="G673" s="2"/>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row>
    <row r="674" spans="1:46" ht="14.25" customHeight="1">
      <c r="A674" s="1"/>
      <c r="B674" s="1"/>
      <c r="C674" s="1"/>
      <c r="D674" s="2"/>
      <c r="E674" s="3"/>
      <c r="F674" s="2"/>
      <c r="G674" s="2"/>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row>
    <row r="675" spans="1:46" ht="14.25" customHeight="1">
      <c r="A675" s="1"/>
      <c r="B675" s="1"/>
      <c r="C675" s="1"/>
      <c r="D675" s="2"/>
      <c r="E675" s="3"/>
      <c r="F675" s="2"/>
      <c r="G675" s="2"/>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row>
    <row r="676" spans="1:46" ht="14.25" customHeight="1">
      <c r="A676" s="1"/>
      <c r="B676" s="1"/>
      <c r="C676" s="1"/>
      <c r="D676" s="2"/>
      <c r="E676" s="3"/>
      <c r="F676" s="2"/>
      <c r="G676" s="2"/>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row>
    <row r="677" spans="1:46" ht="14.25" customHeight="1">
      <c r="A677" s="1"/>
      <c r="B677" s="1"/>
      <c r="C677" s="1"/>
      <c r="D677" s="2"/>
      <c r="E677" s="3"/>
      <c r="F677" s="2"/>
      <c r="G677" s="2"/>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row>
    <row r="678" spans="1:46" ht="14.25" customHeight="1">
      <c r="A678" s="1"/>
      <c r="B678" s="1"/>
      <c r="C678" s="1"/>
      <c r="D678" s="2"/>
      <c r="E678" s="3"/>
      <c r="F678" s="2"/>
      <c r="G678" s="2"/>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row>
    <row r="679" spans="1:46" ht="14.25" customHeight="1">
      <c r="A679" s="1"/>
      <c r="B679" s="1"/>
      <c r="C679" s="1"/>
      <c r="D679" s="2"/>
      <c r="E679" s="3"/>
      <c r="F679" s="2"/>
      <c r="G679" s="2"/>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row>
    <row r="680" spans="1:46" ht="14.25" customHeight="1">
      <c r="A680" s="1"/>
      <c r="B680" s="1"/>
      <c r="C680" s="1"/>
      <c r="D680" s="2"/>
      <c r="E680" s="3"/>
      <c r="F680" s="2"/>
      <c r="G680" s="2"/>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row>
    <row r="681" spans="1:46" ht="14.25" customHeight="1">
      <c r="A681" s="1"/>
      <c r="B681" s="1"/>
      <c r="C681" s="1"/>
      <c r="D681" s="2"/>
      <c r="E681" s="3"/>
      <c r="F681" s="2"/>
      <c r="G681" s="2"/>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row>
    <row r="682" spans="1:46" ht="14.25" customHeight="1">
      <c r="A682" s="1"/>
      <c r="B682" s="1"/>
      <c r="C682" s="1"/>
      <c r="D682" s="2"/>
      <c r="E682" s="3"/>
      <c r="F682" s="2"/>
      <c r="G682" s="2"/>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row>
    <row r="683" spans="1:46" ht="14.25" customHeight="1">
      <c r="A683" s="1"/>
      <c r="B683" s="1"/>
      <c r="C683" s="1"/>
      <c r="D683" s="2"/>
      <c r="E683" s="3"/>
      <c r="F683" s="2"/>
      <c r="G683" s="2"/>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row>
    <row r="684" spans="1:46" ht="14.25" customHeight="1">
      <c r="A684" s="1"/>
      <c r="B684" s="1"/>
      <c r="C684" s="1"/>
      <c r="D684" s="2"/>
      <c r="E684" s="3"/>
      <c r="F684" s="2"/>
      <c r="G684" s="2"/>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row>
    <row r="685" spans="1:46" ht="14.25" customHeight="1">
      <c r="A685" s="1"/>
      <c r="B685" s="1"/>
      <c r="C685" s="1"/>
      <c r="D685" s="2"/>
      <c r="E685" s="3"/>
      <c r="F685" s="2"/>
      <c r="G685" s="2"/>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row>
    <row r="686" spans="1:46" ht="14.25" customHeight="1">
      <c r="A686" s="1"/>
      <c r="B686" s="1"/>
      <c r="C686" s="1"/>
      <c r="D686" s="2"/>
      <c r="E686" s="3"/>
      <c r="F686" s="2"/>
      <c r="G686" s="2"/>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row>
    <row r="687" spans="1:46" ht="14.25" customHeight="1">
      <c r="A687" s="1"/>
      <c r="B687" s="1"/>
      <c r="C687" s="1"/>
      <c r="D687" s="2"/>
      <c r="E687" s="3"/>
      <c r="F687" s="2"/>
      <c r="G687" s="2"/>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row>
    <row r="688" spans="1:46" ht="14.25" customHeight="1">
      <c r="A688" s="1"/>
      <c r="B688" s="1"/>
      <c r="C688" s="1"/>
      <c r="D688" s="2"/>
      <c r="E688" s="3"/>
      <c r="F688" s="2"/>
      <c r="G688" s="2"/>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row>
    <row r="689" spans="1:46" ht="14.25" customHeight="1">
      <c r="A689" s="1"/>
      <c r="B689" s="1"/>
      <c r="C689" s="1"/>
      <c r="D689" s="2"/>
      <c r="E689" s="3"/>
      <c r="F689" s="2"/>
      <c r="G689" s="2"/>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row>
    <row r="690" spans="1:46" ht="14.25" customHeight="1">
      <c r="A690" s="1"/>
      <c r="B690" s="1"/>
      <c r="C690" s="1"/>
      <c r="D690" s="2"/>
      <c r="E690" s="3"/>
      <c r="F690" s="2"/>
      <c r="G690" s="2"/>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row>
    <row r="691" spans="1:46" ht="14.25" customHeight="1">
      <c r="A691" s="1"/>
      <c r="B691" s="1"/>
      <c r="C691" s="1"/>
      <c r="D691" s="2"/>
      <c r="E691" s="3"/>
      <c r="F691" s="2"/>
      <c r="G691" s="2"/>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row>
    <row r="692" spans="1:46" ht="14.25" customHeight="1">
      <c r="A692" s="1"/>
      <c r="B692" s="1"/>
      <c r="C692" s="1"/>
      <c r="D692" s="2"/>
      <c r="E692" s="3"/>
      <c r="F692" s="2"/>
      <c r="G692" s="2"/>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row>
    <row r="693" spans="1:46" ht="14.25" customHeight="1">
      <c r="A693" s="1"/>
      <c r="B693" s="1"/>
      <c r="C693" s="1"/>
      <c r="D693" s="2"/>
      <c r="E693" s="3"/>
      <c r="F693" s="2"/>
      <c r="G693" s="2"/>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row>
    <row r="694" spans="1:46" ht="14.25" customHeight="1">
      <c r="A694" s="1"/>
      <c r="B694" s="1"/>
      <c r="C694" s="1"/>
      <c r="D694" s="2"/>
      <c r="E694" s="3"/>
      <c r="F694" s="2"/>
      <c r="G694" s="2"/>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row>
    <row r="695" spans="1:46" ht="14.25" customHeight="1">
      <c r="A695" s="1"/>
      <c r="B695" s="1"/>
      <c r="C695" s="1"/>
      <c r="D695" s="2"/>
      <c r="E695" s="3"/>
      <c r="F695" s="2"/>
      <c r="G695" s="2"/>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row>
    <row r="696" spans="1:46" ht="14.25" customHeight="1">
      <c r="A696" s="1"/>
      <c r="B696" s="1"/>
      <c r="C696" s="1"/>
      <c r="D696" s="2"/>
      <c r="E696" s="3"/>
      <c r="F696" s="2"/>
      <c r="G696" s="2"/>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row>
    <row r="697" spans="1:46" ht="14.25" customHeight="1">
      <c r="A697" s="1"/>
      <c r="B697" s="1"/>
      <c r="C697" s="1"/>
      <c r="D697" s="2"/>
      <c r="E697" s="3"/>
      <c r="F697" s="2"/>
      <c r="G697" s="2"/>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row>
    <row r="698" spans="1:46" ht="14.25" customHeight="1">
      <c r="A698" s="1"/>
      <c r="B698" s="1"/>
      <c r="C698" s="1"/>
      <c r="D698" s="2"/>
      <c r="E698" s="3"/>
      <c r="F698" s="2"/>
      <c r="G698" s="2"/>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row>
    <row r="699" spans="1:46" ht="14.25" customHeight="1">
      <c r="A699" s="1"/>
      <c r="B699" s="1"/>
      <c r="C699" s="1"/>
      <c r="D699" s="2"/>
      <c r="E699" s="3"/>
      <c r="F699" s="2"/>
      <c r="G699" s="2"/>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row>
    <row r="700" spans="1:46" ht="14.25" customHeight="1">
      <c r="A700" s="1"/>
      <c r="B700" s="1"/>
      <c r="C700" s="1"/>
      <c r="D700" s="2"/>
      <c r="E700" s="3"/>
      <c r="F700" s="2"/>
      <c r="G700" s="2"/>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row>
    <row r="701" spans="1:46" ht="14.25" customHeight="1">
      <c r="A701" s="1"/>
      <c r="B701" s="1"/>
      <c r="C701" s="1"/>
      <c r="D701" s="2"/>
      <c r="E701" s="3"/>
      <c r="F701" s="2"/>
      <c r="G701" s="2"/>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row>
    <row r="702" spans="1:46" ht="14.25" customHeight="1">
      <c r="A702" s="1"/>
      <c r="B702" s="1"/>
      <c r="C702" s="1"/>
      <c r="D702" s="2"/>
      <c r="E702" s="3"/>
      <c r="F702" s="2"/>
      <c r="G702" s="2"/>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row>
    <row r="703" spans="1:46" ht="14.25" customHeight="1">
      <c r="A703" s="1"/>
      <c r="B703" s="1"/>
      <c r="C703" s="1"/>
      <c r="D703" s="2"/>
      <c r="E703" s="3"/>
      <c r="F703" s="2"/>
      <c r="G703" s="2"/>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row>
    <row r="704" spans="1:46" ht="14.25" customHeight="1">
      <c r="A704" s="1"/>
      <c r="B704" s="1"/>
      <c r="C704" s="1"/>
      <c r="D704" s="2"/>
      <c r="E704" s="3"/>
      <c r="F704" s="2"/>
      <c r="G704" s="2"/>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row>
    <row r="705" spans="1:46" ht="14.25" customHeight="1">
      <c r="A705" s="1"/>
      <c r="B705" s="1"/>
      <c r="C705" s="1"/>
      <c r="D705" s="2"/>
      <c r="E705" s="3"/>
      <c r="F705" s="2"/>
      <c r="G705" s="2"/>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row>
    <row r="706" spans="1:46" ht="14.25" customHeight="1">
      <c r="A706" s="1"/>
      <c r="B706" s="1"/>
      <c r="C706" s="1"/>
      <c r="D706" s="2"/>
      <c r="E706" s="3"/>
      <c r="F706" s="2"/>
      <c r="G706" s="2"/>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row>
    <row r="707" spans="1:46" ht="14.25" customHeight="1">
      <c r="A707" s="1"/>
      <c r="B707" s="1"/>
      <c r="C707" s="1"/>
      <c r="D707" s="2"/>
      <c r="E707" s="3"/>
      <c r="F707" s="2"/>
      <c r="G707" s="2"/>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row>
    <row r="708" spans="1:46" ht="14.25" customHeight="1">
      <c r="A708" s="1"/>
      <c r="B708" s="1"/>
      <c r="C708" s="1"/>
      <c r="D708" s="2"/>
      <c r="E708" s="3"/>
      <c r="F708" s="2"/>
      <c r="G708" s="2"/>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row>
    <row r="709" spans="1:46" ht="14.25" customHeight="1">
      <c r="A709" s="1"/>
      <c r="B709" s="1"/>
      <c r="C709" s="1"/>
      <c r="D709" s="2"/>
      <c r="E709" s="3"/>
      <c r="F709" s="2"/>
      <c r="G709" s="2"/>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row>
    <row r="710" spans="1:46" ht="14.25" customHeight="1">
      <c r="A710" s="1"/>
      <c r="B710" s="1"/>
      <c r="C710" s="1"/>
      <c r="D710" s="2"/>
      <c r="E710" s="3"/>
      <c r="F710" s="2"/>
      <c r="G710" s="2"/>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row>
    <row r="711" spans="1:46" ht="14.25" customHeight="1">
      <c r="A711" s="1"/>
      <c r="B711" s="1"/>
      <c r="C711" s="1"/>
      <c r="D711" s="2"/>
      <c r="E711" s="3"/>
      <c r="F711" s="2"/>
      <c r="G711" s="2"/>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row>
    <row r="712" spans="1:46" ht="14.25" customHeight="1">
      <c r="A712" s="1"/>
      <c r="B712" s="1"/>
      <c r="C712" s="1"/>
      <c r="D712" s="2"/>
      <c r="E712" s="3"/>
      <c r="F712" s="2"/>
      <c r="G712" s="2"/>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row>
    <row r="713" spans="1:46" ht="14.25" customHeight="1">
      <c r="A713" s="1"/>
      <c r="B713" s="1"/>
      <c r="C713" s="1"/>
      <c r="D713" s="2"/>
      <c r="E713" s="3"/>
      <c r="F713" s="2"/>
      <c r="G713" s="2"/>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row>
    <row r="714" spans="1:46" ht="14.25" customHeight="1">
      <c r="A714" s="1"/>
      <c r="B714" s="1"/>
      <c r="C714" s="1"/>
      <c r="D714" s="2"/>
      <c r="E714" s="3"/>
      <c r="F714" s="2"/>
      <c r="G714" s="2"/>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row>
    <row r="715" spans="1:46" ht="14.25" customHeight="1">
      <c r="A715" s="1"/>
      <c r="B715" s="1"/>
      <c r="C715" s="1"/>
      <c r="D715" s="2"/>
      <c r="E715" s="3"/>
      <c r="F715" s="2"/>
      <c r="G715" s="2"/>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row>
    <row r="716" spans="1:46" ht="14.25" customHeight="1">
      <c r="A716" s="1"/>
      <c r="B716" s="1"/>
      <c r="C716" s="1"/>
      <c r="D716" s="2"/>
      <c r="E716" s="3"/>
      <c r="F716" s="2"/>
      <c r="G716" s="2"/>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row>
    <row r="717" spans="1:46" ht="14.25" customHeight="1">
      <c r="A717" s="1"/>
      <c r="B717" s="1"/>
      <c r="C717" s="1"/>
      <c r="D717" s="2"/>
      <c r="E717" s="3"/>
      <c r="F717" s="2"/>
      <c r="G717" s="2"/>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row>
    <row r="718" spans="1:46" ht="14.25" customHeight="1">
      <c r="A718" s="1"/>
      <c r="B718" s="1"/>
      <c r="C718" s="1"/>
      <c r="D718" s="2"/>
      <c r="E718" s="3"/>
      <c r="F718" s="2"/>
      <c r="G718" s="2"/>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row>
    <row r="719" spans="1:46" ht="14.25" customHeight="1">
      <c r="A719" s="1"/>
      <c r="B719" s="1"/>
      <c r="C719" s="1"/>
      <c r="D719" s="2"/>
      <c r="E719" s="3"/>
      <c r="F719" s="2"/>
      <c r="G719" s="2"/>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row>
    <row r="720" spans="1:46" ht="14.25" customHeight="1">
      <c r="A720" s="1"/>
      <c r="B720" s="1"/>
      <c r="C720" s="1"/>
      <c r="D720" s="2"/>
      <c r="E720" s="3"/>
      <c r="F720" s="2"/>
      <c r="G720" s="2"/>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row>
    <row r="721" spans="1:46" ht="14.25" customHeight="1">
      <c r="A721" s="1"/>
      <c r="B721" s="1"/>
      <c r="C721" s="1"/>
      <c r="D721" s="2"/>
      <c r="E721" s="3"/>
      <c r="F721" s="2"/>
      <c r="G721" s="2"/>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row>
    <row r="722" spans="1:46" ht="14.25" customHeight="1">
      <c r="A722" s="1"/>
      <c r="B722" s="1"/>
      <c r="C722" s="1"/>
      <c r="D722" s="2"/>
      <c r="E722" s="3"/>
      <c r="F722" s="2"/>
      <c r="G722" s="2"/>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row>
    <row r="723" spans="1:46" ht="14.25" customHeight="1">
      <c r="A723" s="1"/>
      <c r="B723" s="1"/>
      <c r="C723" s="1"/>
      <c r="D723" s="2"/>
      <c r="E723" s="3"/>
      <c r="F723" s="2"/>
      <c r="G723" s="2"/>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row>
    <row r="724" spans="1:46" ht="14.25" customHeight="1">
      <c r="A724" s="1"/>
      <c r="B724" s="1"/>
      <c r="C724" s="1"/>
      <c r="D724" s="2"/>
      <c r="E724" s="3"/>
      <c r="F724" s="2"/>
      <c r="G724" s="2"/>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row>
    <row r="725" spans="1:46" ht="14.25" customHeight="1">
      <c r="A725" s="1"/>
      <c r="B725" s="1"/>
      <c r="C725" s="1"/>
      <c r="D725" s="2"/>
      <c r="E725" s="3"/>
      <c r="F725" s="2"/>
      <c r="G725" s="2"/>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row>
    <row r="726" spans="1:46" ht="14.25" customHeight="1">
      <c r="A726" s="1"/>
      <c r="B726" s="1"/>
      <c r="C726" s="1"/>
      <c r="D726" s="2"/>
      <c r="E726" s="3"/>
      <c r="F726" s="2"/>
      <c r="G726" s="2"/>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row>
    <row r="727" spans="1:46" ht="14.25" customHeight="1">
      <c r="A727" s="1"/>
      <c r="B727" s="1"/>
      <c r="C727" s="1"/>
      <c r="D727" s="2"/>
      <c r="E727" s="3"/>
      <c r="F727" s="2"/>
      <c r="G727" s="2"/>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row>
    <row r="728" spans="1:46" ht="14.25" customHeight="1">
      <c r="A728" s="1"/>
      <c r="B728" s="1"/>
      <c r="C728" s="1"/>
      <c r="D728" s="2"/>
      <c r="E728" s="3"/>
      <c r="F728" s="2"/>
      <c r="G728" s="2"/>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row>
    <row r="729" spans="1:46" ht="14.25" customHeight="1">
      <c r="A729" s="1"/>
      <c r="B729" s="1"/>
      <c r="C729" s="1"/>
      <c r="D729" s="2"/>
      <c r="E729" s="3"/>
      <c r="F729" s="2"/>
      <c r="G729" s="2"/>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row>
    <row r="730" spans="1:46" ht="14.25" customHeight="1">
      <c r="A730" s="1"/>
      <c r="B730" s="1"/>
      <c r="C730" s="1"/>
      <c r="D730" s="2"/>
      <c r="E730" s="3"/>
      <c r="F730" s="2"/>
      <c r="G730" s="2"/>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row>
    <row r="731" spans="1:46" ht="14.25" customHeight="1">
      <c r="A731" s="1"/>
      <c r="B731" s="1"/>
      <c r="C731" s="1"/>
      <c r="D731" s="2"/>
      <c r="E731" s="3"/>
      <c r="F731" s="2"/>
      <c r="G731" s="2"/>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row>
    <row r="732" spans="1:46" ht="14.25" customHeight="1">
      <c r="A732" s="1"/>
      <c r="B732" s="1"/>
      <c r="C732" s="1"/>
      <c r="D732" s="2"/>
      <c r="E732" s="3"/>
      <c r="F732" s="2"/>
      <c r="G732" s="2"/>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row>
    <row r="733" spans="1:46" ht="14.25" customHeight="1">
      <c r="A733" s="1"/>
      <c r="B733" s="1"/>
      <c r="C733" s="1"/>
      <c r="D733" s="2"/>
      <c r="E733" s="3"/>
      <c r="F733" s="2"/>
      <c r="G733" s="2"/>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row>
    <row r="734" spans="1:46" ht="14.25" customHeight="1">
      <c r="A734" s="1"/>
      <c r="B734" s="1"/>
      <c r="C734" s="1"/>
      <c r="D734" s="2"/>
      <c r="E734" s="3"/>
      <c r="F734" s="2"/>
      <c r="G734" s="2"/>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row>
    <row r="735" spans="1:46" ht="14.25" customHeight="1">
      <c r="A735" s="1"/>
      <c r="B735" s="1"/>
      <c r="C735" s="1"/>
      <c r="D735" s="2"/>
      <c r="E735" s="3"/>
      <c r="F735" s="2"/>
      <c r="G735" s="2"/>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row>
    <row r="736" spans="1:46" ht="14.25" customHeight="1">
      <c r="A736" s="1"/>
      <c r="B736" s="1"/>
      <c r="C736" s="1"/>
      <c r="D736" s="2"/>
      <c r="E736" s="3"/>
      <c r="F736" s="2"/>
      <c r="G736" s="2"/>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row>
    <row r="737" spans="1:46" ht="14.25" customHeight="1">
      <c r="A737" s="1"/>
      <c r="B737" s="1"/>
      <c r="C737" s="1"/>
      <c r="D737" s="2"/>
      <c r="E737" s="3"/>
      <c r="F737" s="2"/>
      <c r="G737" s="2"/>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row>
    <row r="738" spans="1:46" ht="14.25" customHeight="1">
      <c r="A738" s="1"/>
      <c r="B738" s="1"/>
      <c r="C738" s="1"/>
      <c r="D738" s="2"/>
      <c r="E738" s="3"/>
      <c r="F738" s="2"/>
      <c r="G738" s="2"/>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row>
    <row r="739" spans="1:46" ht="14.25" customHeight="1">
      <c r="A739" s="1"/>
      <c r="B739" s="1"/>
      <c r="C739" s="1"/>
      <c r="D739" s="2"/>
      <c r="E739" s="3"/>
      <c r="F739" s="2"/>
      <c r="G739" s="2"/>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row>
    <row r="740" spans="1:46" ht="14.25" customHeight="1">
      <c r="A740" s="1"/>
      <c r="B740" s="1"/>
      <c r="C740" s="1"/>
      <c r="D740" s="2"/>
      <c r="E740" s="3"/>
      <c r="F740" s="2"/>
      <c r="G740" s="2"/>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row>
    <row r="741" spans="1:46" ht="14.25" customHeight="1">
      <c r="A741" s="1"/>
      <c r="B741" s="1"/>
      <c r="C741" s="1"/>
      <c r="D741" s="2"/>
      <c r="E741" s="3"/>
      <c r="F741" s="2"/>
      <c r="G741" s="2"/>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row>
    <row r="742" spans="1:46" ht="14.25" customHeight="1">
      <c r="A742" s="1"/>
      <c r="B742" s="1"/>
      <c r="C742" s="1"/>
      <c r="D742" s="2"/>
      <c r="E742" s="3"/>
      <c r="F742" s="2"/>
      <c r="G742" s="2"/>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row>
    <row r="743" spans="1:46" ht="14.25" customHeight="1">
      <c r="A743" s="1"/>
      <c r="B743" s="1"/>
      <c r="C743" s="1"/>
      <c r="D743" s="2"/>
      <c r="E743" s="3"/>
      <c r="F743" s="2"/>
      <c r="G743" s="2"/>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row>
    <row r="744" spans="1:46" ht="14.25" customHeight="1">
      <c r="A744" s="1"/>
      <c r="B744" s="1"/>
      <c r="C744" s="1"/>
      <c r="D744" s="2"/>
      <c r="E744" s="3"/>
      <c r="F744" s="2"/>
      <c r="G744" s="2"/>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row>
    <row r="745" spans="1:46" ht="14.25" customHeight="1">
      <c r="A745" s="1"/>
      <c r="B745" s="1"/>
      <c r="C745" s="1"/>
      <c r="D745" s="2"/>
      <c r="E745" s="3"/>
      <c r="F745" s="2"/>
      <c r="G745" s="2"/>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row>
    <row r="746" spans="1:46" ht="14.25" customHeight="1">
      <c r="A746" s="1"/>
      <c r="B746" s="1"/>
      <c r="C746" s="1"/>
      <c r="D746" s="2"/>
      <c r="E746" s="3"/>
      <c r="F746" s="2"/>
      <c r="G746" s="2"/>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row>
    <row r="747" spans="1:46" ht="14.25" customHeight="1">
      <c r="A747" s="1"/>
      <c r="B747" s="1"/>
      <c r="C747" s="1"/>
      <c r="D747" s="2"/>
      <c r="E747" s="3"/>
      <c r="F747" s="2"/>
      <c r="G747" s="2"/>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row>
    <row r="748" spans="1:46" ht="14.25" customHeight="1">
      <c r="A748" s="1"/>
      <c r="B748" s="1"/>
      <c r="C748" s="1"/>
      <c r="D748" s="2"/>
      <c r="E748" s="3"/>
      <c r="F748" s="2"/>
      <c r="G748" s="2"/>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row>
    <row r="749" spans="1:46" ht="14.25" customHeight="1">
      <c r="A749" s="1"/>
      <c r="B749" s="1"/>
      <c r="C749" s="1"/>
      <c r="D749" s="2"/>
      <c r="E749" s="3"/>
      <c r="F749" s="2"/>
      <c r="G749" s="2"/>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row>
    <row r="750" spans="1:46" ht="14.25" customHeight="1">
      <c r="A750" s="1"/>
      <c r="B750" s="1"/>
      <c r="C750" s="1"/>
      <c r="D750" s="2"/>
      <c r="E750" s="3"/>
      <c r="F750" s="2"/>
      <c r="G750" s="2"/>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row>
    <row r="751" spans="1:46" ht="14.25" customHeight="1">
      <c r="A751" s="1"/>
      <c r="B751" s="1"/>
      <c r="C751" s="1"/>
      <c r="D751" s="2"/>
      <c r="E751" s="3"/>
      <c r="F751" s="2"/>
      <c r="G751" s="2"/>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row>
    <row r="752" spans="1:46" ht="14.25" customHeight="1">
      <c r="A752" s="1"/>
      <c r="B752" s="1"/>
      <c r="C752" s="1"/>
      <c r="D752" s="2"/>
      <c r="E752" s="3"/>
      <c r="F752" s="2"/>
      <c r="G752" s="2"/>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row>
    <row r="753" spans="1:46" ht="14.25" customHeight="1">
      <c r="A753" s="1"/>
      <c r="B753" s="1"/>
      <c r="C753" s="1"/>
      <c r="D753" s="2"/>
      <c r="E753" s="3"/>
      <c r="F753" s="2"/>
      <c r="G753" s="2"/>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row>
    <row r="754" spans="1:46" ht="14.25" customHeight="1">
      <c r="A754" s="1"/>
      <c r="B754" s="1"/>
      <c r="C754" s="1"/>
      <c r="D754" s="2"/>
      <c r="E754" s="3"/>
      <c r="F754" s="2"/>
      <c r="G754" s="2"/>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row>
    <row r="755" spans="1:46" ht="14.25" customHeight="1">
      <c r="A755" s="1"/>
      <c r="B755" s="1"/>
      <c r="C755" s="1"/>
      <c r="D755" s="2"/>
      <c r="E755" s="3"/>
      <c r="F755" s="2"/>
      <c r="G755" s="2"/>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row>
    <row r="756" spans="1:46" ht="14.25" customHeight="1">
      <c r="A756" s="1"/>
      <c r="B756" s="1"/>
      <c r="C756" s="1"/>
      <c r="D756" s="2"/>
      <c r="E756" s="3"/>
      <c r="F756" s="2"/>
      <c r="G756" s="2"/>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row>
    <row r="757" spans="1:46" ht="14.25" customHeight="1">
      <c r="A757" s="1"/>
      <c r="B757" s="1"/>
      <c r="C757" s="1"/>
      <c r="D757" s="2"/>
      <c r="E757" s="3"/>
      <c r="F757" s="2"/>
      <c r="G757" s="2"/>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row>
    <row r="758" spans="1:46" ht="14.25" customHeight="1">
      <c r="A758" s="1"/>
      <c r="B758" s="1"/>
      <c r="C758" s="1"/>
      <c r="D758" s="2"/>
      <c r="E758" s="3"/>
      <c r="F758" s="2"/>
      <c r="G758" s="2"/>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row>
    <row r="759" spans="1:46" ht="14.25" customHeight="1">
      <c r="A759" s="1"/>
      <c r="B759" s="1"/>
      <c r="C759" s="1"/>
      <c r="D759" s="2"/>
      <c r="E759" s="3"/>
      <c r="F759" s="2"/>
      <c r="G759" s="2"/>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row>
    <row r="760" spans="1:46" ht="14.25" customHeight="1">
      <c r="A760" s="1"/>
      <c r="B760" s="1"/>
      <c r="C760" s="1"/>
      <c r="D760" s="2"/>
      <c r="E760" s="3"/>
      <c r="F760" s="2"/>
      <c r="G760" s="2"/>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row>
    <row r="761" spans="1:46" ht="14.25" customHeight="1">
      <c r="A761" s="1"/>
      <c r="B761" s="1"/>
      <c r="C761" s="1"/>
      <c r="D761" s="2"/>
      <c r="E761" s="3"/>
      <c r="F761" s="2"/>
      <c r="G761" s="2"/>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row>
    <row r="762" spans="1:46" ht="14.25" customHeight="1">
      <c r="A762" s="1"/>
      <c r="B762" s="1"/>
      <c r="C762" s="1"/>
      <c r="D762" s="2"/>
      <c r="E762" s="3"/>
      <c r="F762" s="2"/>
      <c r="G762" s="2"/>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row>
    <row r="763" spans="1:46" ht="14.25" customHeight="1">
      <c r="A763" s="1"/>
      <c r="B763" s="1"/>
      <c r="C763" s="1"/>
      <c r="D763" s="2"/>
      <c r="E763" s="3"/>
      <c r="F763" s="2"/>
      <c r="G763" s="2"/>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row>
    <row r="764" spans="1:46" ht="14.25" customHeight="1">
      <c r="A764" s="1"/>
      <c r="B764" s="1"/>
      <c r="C764" s="1"/>
      <c r="D764" s="2"/>
      <c r="E764" s="3"/>
      <c r="F764" s="2"/>
      <c r="G764" s="2"/>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row>
    <row r="765" spans="1:46" ht="14.25" customHeight="1">
      <c r="A765" s="1"/>
      <c r="B765" s="1"/>
      <c r="C765" s="1"/>
      <c r="D765" s="2"/>
      <c r="E765" s="3"/>
      <c r="F765" s="2"/>
      <c r="G765" s="2"/>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row>
    <row r="766" spans="1:46" ht="14.25" customHeight="1">
      <c r="A766" s="1"/>
      <c r="B766" s="1"/>
      <c r="C766" s="1"/>
      <c r="D766" s="2"/>
      <c r="E766" s="3"/>
      <c r="F766" s="2"/>
      <c r="G766" s="2"/>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row>
    <row r="767" spans="1:46" ht="14.25" customHeight="1">
      <c r="A767" s="1"/>
      <c r="B767" s="1"/>
      <c r="C767" s="1"/>
      <c r="D767" s="2"/>
      <c r="E767" s="3"/>
      <c r="F767" s="2"/>
      <c r="G767" s="2"/>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row>
    <row r="768" spans="1:46" ht="14.25" customHeight="1">
      <c r="A768" s="1"/>
      <c r="B768" s="1"/>
      <c r="C768" s="1"/>
      <c r="D768" s="2"/>
      <c r="E768" s="3"/>
      <c r="F768" s="2"/>
      <c r="G768" s="2"/>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row>
    <row r="769" spans="1:46" ht="14.25" customHeight="1">
      <c r="A769" s="1"/>
      <c r="B769" s="1"/>
      <c r="C769" s="1"/>
      <c r="D769" s="2"/>
      <c r="E769" s="3"/>
      <c r="F769" s="2"/>
      <c r="G769" s="2"/>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row>
    <row r="770" spans="1:46" ht="14.25" customHeight="1">
      <c r="A770" s="1"/>
      <c r="B770" s="1"/>
      <c r="C770" s="1"/>
      <c r="D770" s="2"/>
      <c r="E770" s="3"/>
      <c r="F770" s="2"/>
      <c r="G770" s="2"/>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row>
    <row r="771" spans="1:46" ht="14.25" customHeight="1">
      <c r="A771" s="1"/>
      <c r="B771" s="1"/>
      <c r="C771" s="1"/>
      <c r="D771" s="2"/>
      <c r="E771" s="3"/>
      <c r="F771" s="2"/>
      <c r="G771" s="2"/>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row>
    <row r="772" spans="1:46" ht="14.25" customHeight="1">
      <c r="A772" s="1"/>
      <c r="B772" s="1"/>
      <c r="C772" s="1"/>
      <c r="D772" s="2"/>
      <c r="E772" s="3"/>
      <c r="F772" s="2"/>
      <c r="G772" s="2"/>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row>
    <row r="773" spans="1:46" ht="14.25" customHeight="1">
      <c r="A773" s="1"/>
      <c r="B773" s="1"/>
      <c r="C773" s="1"/>
      <c r="D773" s="2"/>
      <c r="E773" s="3"/>
      <c r="F773" s="2"/>
      <c r="G773" s="2"/>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row>
    <row r="774" spans="1:46" ht="14.25" customHeight="1">
      <c r="A774" s="1"/>
      <c r="B774" s="1"/>
      <c r="C774" s="1"/>
      <c r="D774" s="2"/>
      <c r="E774" s="3"/>
      <c r="F774" s="2"/>
      <c r="G774" s="2"/>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row>
    <row r="775" spans="1:46" ht="14.25" customHeight="1">
      <c r="A775" s="1"/>
      <c r="B775" s="1"/>
      <c r="C775" s="1"/>
      <c r="D775" s="2"/>
      <c r="E775" s="3"/>
      <c r="F775" s="2"/>
      <c r="G775" s="2"/>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row>
    <row r="776" spans="1:46" ht="14.25" customHeight="1">
      <c r="A776" s="1"/>
      <c r="B776" s="1"/>
      <c r="C776" s="1"/>
      <c r="D776" s="2"/>
      <c r="E776" s="3"/>
      <c r="F776" s="2"/>
      <c r="G776" s="2"/>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row>
    <row r="777" spans="1:46" ht="14.25" customHeight="1">
      <c r="A777" s="1"/>
      <c r="B777" s="1"/>
      <c r="C777" s="1"/>
      <c r="D777" s="2"/>
      <c r="E777" s="3"/>
      <c r="F777" s="2"/>
      <c r="G777" s="2"/>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row>
    <row r="778" spans="1:46" ht="14.25" customHeight="1">
      <c r="A778" s="1"/>
      <c r="B778" s="1"/>
      <c r="C778" s="1"/>
      <c r="D778" s="2"/>
      <c r="E778" s="3"/>
      <c r="F778" s="2"/>
      <c r="G778" s="2"/>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row>
    <row r="779" spans="1:46" ht="14.25" customHeight="1">
      <c r="A779" s="1"/>
      <c r="B779" s="1"/>
      <c r="C779" s="1"/>
      <c r="D779" s="2"/>
      <c r="E779" s="3"/>
      <c r="F779" s="2"/>
      <c r="G779" s="2"/>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row>
    <row r="780" spans="1:46" ht="14.25" customHeight="1">
      <c r="A780" s="1"/>
      <c r="B780" s="1"/>
      <c r="C780" s="1"/>
      <c r="D780" s="2"/>
      <c r="E780" s="3"/>
      <c r="F780" s="2"/>
      <c r="G780" s="2"/>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row>
    <row r="781" spans="1:46" ht="14.25" customHeight="1">
      <c r="A781" s="1"/>
      <c r="B781" s="1"/>
      <c r="C781" s="1"/>
      <c r="D781" s="2"/>
      <c r="E781" s="3"/>
      <c r="F781" s="2"/>
      <c r="G781" s="2"/>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row>
    <row r="782" spans="1:46" ht="14.25" customHeight="1">
      <c r="A782" s="1"/>
      <c r="B782" s="1"/>
      <c r="C782" s="1"/>
      <c r="D782" s="2"/>
      <c r="E782" s="3"/>
      <c r="F782" s="2"/>
      <c r="G782" s="2"/>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row>
    <row r="783" spans="1:46" ht="14.25" customHeight="1">
      <c r="A783" s="1"/>
      <c r="B783" s="1"/>
      <c r="C783" s="1"/>
      <c r="D783" s="2"/>
      <c r="E783" s="3"/>
      <c r="F783" s="2"/>
      <c r="G783" s="2"/>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row>
    <row r="784" spans="1:46" ht="14.25" customHeight="1">
      <c r="A784" s="1"/>
      <c r="B784" s="1"/>
      <c r="C784" s="1"/>
      <c r="D784" s="2"/>
      <c r="E784" s="3"/>
      <c r="F784" s="2"/>
      <c r="G784" s="2"/>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row>
    <row r="785" spans="1:46" ht="14.25" customHeight="1">
      <c r="A785" s="1"/>
      <c r="B785" s="1"/>
      <c r="C785" s="1"/>
      <c r="D785" s="2"/>
      <c r="E785" s="3"/>
      <c r="F785" s="2"/>
      <c r="G785" s="2"/>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row>
    <row r="786" spans="1:46" ht="14.25" customHeight="1">
      <c r="A786" s="1"/>
      <c r="B786" s="1"/>
      <c r="C786" s="1"/>
      <c r="D786" s="2"/>
      <c r="E786" s="3"/>
      <c r="F786" s="2"/>
      <c r="G786" s="2"/>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row>
    <row r="787" spans="1:46" ht="14.25" customHeight="1">
      <c r="A787" s="1"/>
      <c r="B787" s="1"/>
      <c r="C787" s="1"/>
      <c r="D787" s="2"/>
      <c r="E787" s="3"/>
      <c r="F787" s="2"/>
      <c r="G787" s="2"/>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row>
    <row r="788" spans="1:46" ht="14.25" customHeight="1">
      <c r="A788" s="1"/>
      <c r="B788" s="1"/>
      <c r="C788" s="1"/>
      <c r="D788" s="2"/>
      <c r="E788" s="3"/>
      <c r="F788" s="2"/>
      <c r="G788" s="2"/>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row>
    <row r="789" spans="1:46" ht="14.25" customHeight="1">
      <c r="A789" s="1"/>
      <c r="B789" s="1"/>
      <c r="C789" s="1"/>
      <c r="D789" s="2"/>
      <c r="E789" s="3"/>
      <c r="F789" s="2"/>
      <c r="G789" s="2"/>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row>
    <row r="790" spans="1:46" ht="14.25" customHeight="1">
      <c r="A790" s="1"/>
      <c r="B790" s="1"/>
      <c r="C790" s="1"/>
      <c r="D790" s="2"/>
      <c r="E790" s="3"/>
      <c r="F790" s="2"/>
      <c r="G790" s="2"/>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row>
    <row r="791" spans="1:46" ht="14.25" customHeight="1">
      <c r="A791" s="1"/>
      <c r="B791" s="1"/>
      <c r="C791" s="1"/>
      <c r="D791" s="2"/>
      <c r="E791" s="3"/>
      <c r="F791" s="2"/>
      <c r="G791" s="2"/>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row>
    <row r="792" spans="1:46" ht="14.25" customHeight="1">
      <c r="A792" s="1"/>
      <c r="B792" s="1"/>
      <c r="C792" s="1"/>
      <c r="D792" s="2"/>
      <c r="E792" s="3"/>
      <c r="F792" s="2"/>
      <c r="G792" s="2"/>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row>
    <row r="793" spans="1:46" ht="14.25" customHeight="1">
      <c r="A793" s="1"/>
      <c r="B793" s="1"/>
      <c r="C793" s="1"/>
      <c r="D793" s="2"/>
      <c r="E793" s="3"/>
      <c r="F793" s="2"/>
      <c r="G793" s="2"/>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row>
    <row r="794" spans="1:46" ht="14.25" customHeight="1">
      <c r="A794" s="1"/>
      <c r="B794" s="1"/>
      <c r="C794" s="1"/>
      <c r="D794" s="2"/>
      <c r="E794" s="3"/>
      <c r="F794" s="2"/>
      <c r="G794" s="2"/>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row>
    <row r="795" spans="1:46" ht="14.25" customHeight="1">
      <c r="A795" s="1"/>
      <c r="B795" s="1"/>
      <c r="C795" s="1"/>
      <c r="D795" s="2"/>
      <c r="E795" s="3"/>
      <c r="F795" s="2"/>
      <c r="G795" s="2"/>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row>
    <row r="796" spans="1:46" ht="14.25" customHeight="1">
      <c r="A796" s="1"/>
      <c r="B796" s="1"/>
      <c r="C796" s="1"/>
      <c r="D796" s="2"/>
      <c r="E796" s="3"/>
      <c r="F796" s="2"/>
      <c r="G796" s="2"/>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row>
    <row r="797" spans="1:46" ht="14.25" customHeight="1">
      <c r="A797" s="1"/>
      <c r="B797" s="1"/>
      <c r="C797" s="1"/>
      <c r="D797" s="2"/>
      <c r="E797" s="3"/>
      <c r="F797" s="2"/>
      <c r="G797" s="2"/>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row>
    <row r="798" spans="1:46" ht="14.25" customHeight="1">
      <c r="A798" s="1"/>
      <c r="B798" s="1"/>
      <c r="C798" s="1"/>
      <c r="D798" s="2"/>
      <c r="E798" s="3"/>
      <c r="F798" s="2"/>
      <c r="G798" s="2"/>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row>
    <row r="799" spans="1:46" ht="14.25" customHeight="1">
      <c r="A799" s="1"/>
      <c r="B799" s="1"/>
      <c r="C799" s="1"/>
      <c r="D799" s="2"/>
      <c r="E799" s="3"/>
      <c r="F799" s="2"/>
      <c r="G799" s="2"/>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row>
    <row r="800" spans="1:46" ht="14.25" customHeight="1">
      <c r="A800" s="1"/>
      <c r="B800" s="1"/>
      <c r="C800" s="1"/>
      <c r="D800" s="2"/>
      <c r="E800" s="3"/>
      <c r="F800" s="2"/>
      <c r="G800" s="2"/>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row>
    <row r="801" spans="1:46" ht="14.25" customHeight="1">
      <c r="A801" s="1"/>
      <c r="B801" s="1"/>
      <c r="C801" s="1"/>
      <c r="D801" s="2"/>
      <c r="E801" s="3"/>
      <c r="F801" s="2"/>
      <c r="G801" s="2"/>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row>
    <row r="802" spans="1:46" ht="14.25" customHeight="1">
      <c r="A802" s="1"/>
      <c r="B802" s="1"/>
      <c r="C802" s="1"/>
      <c r="D802" s="2"/>
      <c r="E802" s="3"/>
      <c r="F802" s="2"/>
      <c r="G802" s="2"/>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row>
    <row r="803" spans="1:46" ht="14.25" customHeight="1">
      <c r="A803" s="1"/>
      <c r="B803" s="1"/>
      <c r="C803" s="1"/>
      <c r="D803" s="2"/>
      <c r="E803" s="3"/>
      <c r="F803" s="2"/>
      <c r="G803" s="2"/>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row>
    <row r="804" spans="1:46" ht="14.25" customHeight="1">
      <c r="A804" s="1"/>
      <c r="B804" s="1"/>
      <c r="C804" s="1"/>
      <c r="D804" s="2"/>
      <c r="E804" s="3"/>
      <c r="F804" s="2"/>
      <c r="G804" s="2"/>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row>
    <row r="805" spans="1:46" ht="14.25" customHeight="1">
      <c r="A805" s="1"/>
      <c r="B805" s="1"/>
      <c r="C805" s="1"/>
      <c r="D805" s="2"/>
      <c r="E805" s="3"/>
      <c r="F805" s="2"/>
      <c r="G805" s="2"/>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row>
    <row r="806" spans="1:46" ht="14.25" customHeight="1">
      <c r="A806" s="1"/>
      <c r="B806" s="1"/>
      <c r="C806" s="1"/>
      <c r="D806" s="2"/>
      <c r="E806" s="3"/>
      <c r="F806" s="2"/>
      <c r="G806" s="2"/>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row>
    <row r="807" spans="1:46" ht="14.25" customHeight="1">
      <c r="A807" s="1"/>
      <c r="B807" s="1"/>
      <c r="C807" s="1"/>
      <c r="D807" s="2"/>
      <c r="E807" s="3"/>
      <c r="F807" s="2"/>
      <c r="G807" s="2"/>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row>
    <row r="808" spans="1:46" ht="14.25" customHeight="1">
      <c r="A808" s="1"/>
      <c r="B808" s="1"/>
      <c r="C808" s="1"/>
      <c r="D808" s="2"/>
      <c r="E808" s="3"/>
      <c r="F808" s="2"/>
      <c r="G808" s="2"/>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row>
    <row r="809" spans="1:46" ht="14.25" customHeight="1">
      <c r="A809" s="1"/>
      <c r="B809" s="1"/>
      <c r="C809" s="1"/>
      <c r="D809" s="2"/>
      <c r="E809" s="3"/>
      <c r="F809" s="2"/>
      <c r="G809" s="2"/>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row>
    <row r="810" spans="1:46" ht="14.25" customHeight="1">
      <c r="A810" s="1"/>
      <c r="B810" s="1"/>
      <c r="C810" s="1"/>
      <c r="D810" s="2"/>
      <c r="E810" s="3"/>
      <c r="F810" s="2"/>
      <c r="G810" s="2"/>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row>
    <row r="811" spans="1:46" ht="14.25" customHeight="1">
      <c r="A811" s="1"/>
      <c r="B811" s="1"/>
      <c r="C811" s="1"/>
      <c r="D811" s="2"/>
      <c r="E811" s="3"/>
      <c r="F811" s="2"/>
      <c r="G811" s="2"/>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row>
    <row r="812" spans="1:46" ht="14.25" customHeight="1">
      <c r="A812" s="1"/>
      <c r="B812" s="1"/>
      <c r="C812" s="1"/>
      <c r="D812" s="2"/>
      <c r="E812" s="3"/>
      <c r="F812" s="2"/>
      <c r="G812" s="2"/>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row>
    <row r="813" spans="1:46" ht="14.25" customHeight="1">
      <c r="A813" s="1"/>
      <c r="B813" s="1"/>
      <c r="C813" s="1"/>
      <c r="D813" s="2"/>
      <c r="E813" s="3"/>
      <c r="F813" s="2"/>
      <c r="G813" s="2"/>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row>
    <row r="814" spans="1:46" ht="14.25" customHeight="1">
      <c r="A814" s="1"/>
      <c r="B814" s="1"/>
      <c r="C814" s="1"/>
      <c r="D814" s="2"/>
      <c r="E814" s="3"/>
      <c r="F814" s="2"/>
      <c r="G814" s="2"/>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row>
    <row r="815" spans="1:46" ht="14.25" customHeight="1">
      <c r="A815" s="1"/>
      <c r="B815" s="1"/>
      <c r="C815" s="1"/>
      <c r="D815" s="2"/>
      <c r="E815" s="3"/>
      <c r="F815" s="2"/>
      <c r="G815" s="2"/>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row>
    <row r="816" spans="1:46" ht="14.25" customHeight="1">
      <c r="A816" s="1"/>
      <c r="B816" s="1"/>
      <c r="C816" s="1"/>
      <c r="D816" s="2"/>
      <c r="E816" s="3"/>
      <c r="F816" s="2"/>
      <c r="G816" s="2"/>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row>
    <row r="817" spans="1:46" ht="14.25" customHeight="1">
      <c r="A817" s="1"/>
      <c r="B817" s="1"/>
      <c r="C817" s="1"/>
      <c r="D817" s="2"/>
      <c r="E817" s="3"/>
      <c r="F817" s="2"/>
      <c r="G817" s="2"/>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row>
    <row r="818" spans="1:46" ht="14.25" customHeight="1">
      <c r="A818" s="1"/>
      <c r="B818" s="1"/>
      <c r="C818" s="1"/>
      <c r="D818" s="2"/>
      <c r="E818" s="3"/>
      <c r="F818" s="2"/>
      <c r="G818" s="2"/>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row>
    <row r="819" spans="1:46" ht="14.25" customHeight="1">
      <c r="A819" s="1"/>
      <c r="B819" s="1"/>
      <c r="C819" s="1"/>
      <c r="D819" s="2"/>
      <c r="E819" s="3"/>
      <c r="F819" s="2"/>
      <c r="G819" s="2"/>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row>
    <row r="820" spans="1:46" ht="14.25" customHeight="1">
      <c r="A820" s="1"/>
      <c r="B820" s="1"/>
      <c r="C820" s="1"/>
      <c r="D820" s="2"/>
      <c r="E820" s="3"/>
      <c r="F820" s="2"/>
      <c r="G820" s="2"/>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row>
    <row r="821" spans="1:46" ht="14.25" customHeight="1">
      <c r="A821" s="1"/>
      <c r="B821" s="1"/>
      <c r="C821" s="1"/>
      <c r="D821" s="2"/>
      <c r="E821" s="3"/>
      <c r="F821" s="2"/>
      <c r="G821" s="2"/>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row>
    <row r="822" spans="1:46" ht="14.25" customHeight="1">
      <c r="A822" s="1"/>
      <c r="B822" s="1"/>
      <c r="C822" s="1"/>
      <c r="D822" s="2"/>
      <c r="E822" s="3"/>
      <c r="F822" s="2"/>
      <c r="G822" s="2"/>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row>
    <row r="823" spans="1:46" ht="14.25" customHeight="1">
      <c r="A823" s="1"/>
      <c r="B823" s="1"/>
      <c r="C823" s="1"/>
      <c r="D823" s="2"/>
      <c r="E823" s="3"/>
      <c r="F823" s="2"/>
      <c r="G823" s="2"/>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row>
    <row r="824" spans="1:46" ht="14.25" customHeight="1">
      <c r="A824" s="1"/>
      <c r="B824" s="1"/>
      <c r="C824" s="1"/>
      <c r="D824" s="2"/>
      <c r="E824" s="3"/>
      <c r="F824" s="2"/>
      <c r="G824" s="2"/>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row>
    <row r="825" spans="1:46" ht="14.25" customHeight="1">
      <c r="A825" s="1"/>
      <c r="B825" s="1"/>
      <c r="C825" s="1"/>
      <c r="D825" s="2"/>
      <c r="E825" s="3"/>
      <c r="F825" s="2"/>
      <c r="G825" s="2"/>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row>
    <row r="826" spans="1:46" ht="14.25" customHeight="1">
      <c r="A826" s="1"/>
      <c r="B826" s="1"/>
      <c r="C826" s="1"/>
      <c r="D826" s="2"/>
      <c r="E826" s="3"/>
      <c r="F826" s="2"/>
      <c r="G826" s="2"/>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row>
    <row r="827" spans="1:46" ht="14.25" customHeight="1">
      <c r="A827" s="1"/>
      <c r="B827" s="1"/>
      <c r="C827" s="1"/>
      <c r="D827" s="2"/>
      <c r="E827" s="3"/>
      <c r="F827" s="2"/>
      <c r="G827" s="2"/>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row>
    <row r="828" spans="1:46" ht="14.25" customHeight="1">
      <c r="A828" s="1"/>
      <c r="B828" s="1"/>
      <c r="C828" s="1"/>
      <c r="D828" s="2"/>
      <c r="E828" s="3"/>
      <c r="F828" s="2"/>
      <c r="G828" s="2"/>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row>
    <row r="829" spans="1:46" ht="14.25" customHeight="1">
      <c r="A829" s="1"/>
      <c r="B829" s="1"/>
      <c r="C829" s="1"/>
      <c r="D829" s="2"/>
      <c r="E829" s="3"/>
      <c r="F829" s="2"/>
      <c r="G829" s="2"/>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row>
    <row r="830" spans="1:46" ht="14.25" customHeight="1">
      <c r="A830" s="1"/>
      <c r="B830" s="1"/>
      <c r="C830" s="1"/>
      <c r="D830" s="2"/>
      <c r="E830" s="3"/>
      <c r="F830" s="2"/>
      <c r="G830" s="2"/>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row>
    <row r="831" spans="1:46" ht="14.25" customHeight="1">
      <c r="A831" s="1"/>
      <c r="B831" s="1"/>
      <c r="C831" s="1"/>
      <c r="D831" s="2"/>
      <c r="E831" s="3"/>
      <c r="F831" s="2"/>
      <c r="G831" s="2"/>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row>
    <row r="832" spans="1:46" ht="14.25" customHeight="1">
      <c r="A832" s="1"/>
      <c r="B832" s="1"/>
      <c r="C832" s="1"/>
      <c r="D832" s="2"/>
      <c r="E832" s="3"/>
      <c r="F832" s="2"/>
      <c r="G832" s="2"/>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row>
    <row r="833" spans="1:46" ht="14.25" customHeight="1">
      <c r="A833" s="1"/>
      <c r="B833" s="1"/>
      <c r="C833" s="1"/>
      <c r="D833" s="2"/>
      <c r="E833" s="3"/>
      <c r="F833" s="2"/>
      <c r="G833" s="2"/>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row>
    <row r="834" spans="1:46" ht="14.25" customHeight="1">
      <c r="A834" s="1"/>
      <c r="B834" s="1"/>
      <c r="C834" s="1"/>
      <c r="D834" s="2"/>
      <c r="E834" s="3"/>
      <c r="F834" s="2"/>
      <c r="G834" s="2"/>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row>
    <row r="835" spans="1:46" ht="14.25" customHeight="1">
      <c r="A835" s="1"/>
      <c r="B835" s="1"/>
      <c r="C835" s="1"/>
      <c r="D835" s="2"/>
      <c r="E835" s="3"/>
      <c r="F835" s="2"/>
      <c r="G835" s="2"/>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row>
    <row r="836" spans="1:46" ht="14.25" customHeight="1">
      <c r="A836" s="1"/>
      <c r="B836" s="1"/>
      <c r="C836" s="1"/>
      <c r="D836" s="2"/>
      <c r="E836" s="3"/>
      <c r="F836" s="2"/>
      <c r="G836" s="2"/>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row>
    <row r="837" spans="1:46" ht="14.25" customHeight="1">
      <c r="A837" s="1"/>
      <c r="B837" s="1"/>
      <c r="C837" s="1"/>
      <c r="D837" s="2"/>
      <c r="E837" s="3"/>
      <c r="F837" s="2"/>
      <c r="G837" s="2"/>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row>
    <row r="838" spans="1:46" ht="14.25" customHeight="1">
      <c r="A838" s="1"/>
      <c r="B838" s="1"/>
      <c r="C838" s="1"/>
      <c r="D838" s="2"/>
      <c r="E838" s="3"/>
      <c r="F838" s="2"/>
      <c r="G838" s="2"/>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row>
    <row r="839" spans="1:46" ht="14.25" customHeight="1">
      <c r="A839" s="1"/>
      <c r="B839" s="1"/>
      <c r="C839" s="1"/>
      <c r="D839" s="2"/>
      <c r="E839" s="3"/>
      <c r="F839" s="2"/>
      <c r="G839" s="2"/>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row>
    <row r="840" spans="1:46" ht="14.25" customHeight="1">
      <c r="A840" s="1"/>
      <c r="B840" s="1"/>
      <c r="C840" s="1"/>
      <c r="D840" s="2"/>
      <c r="E840" s="3"/>
      <c r="F840" s="2"/>
      <c r="G840" s="2"/>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row>
    <row r="841" spans="1:46" ht="14.25" customHeight="1">
      <c r="A841" s="1"/>
      <c r="B841" s="1"/>
      <c r="C841" s="1"/>
      <c r="D841" s="2"/>
      <c r="E841" s="3"/>
      <c r="F841" s="2"/>
      <c r="G841" s="2"/>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row>
    <row r="842" spans="1:46" ht="14.25" customHeight="1">
      <c r="A842" s="1"/>
      <c r="B842" s="1"/>
      <c r="C842" s="1"/>
      <c r="D842" s="2"/>
      <c r="E842" s="3"/>
      <c r="F842" s="2"/>
      <c r="G842" s="2"/>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row>
    <row r="843" spans="1:46" ht="14.25" customHeight="1">
      <c r="A843" s="1"/>
      <c r="B843" s="1"/>
      <c r="C843" s="1"/>
      <c r="D843" s="2"/>
      <c r="E843" s="3"/>
      <c r="F843" s="2"/>
      <c r="G843" s="2"/>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row>
    <row r="844" spans="1:46" ht="14.25" customHeight="1">
      <c r="A844" s="1"/>
      <c r="B844" s="1"/>
      <c r="C844" s="1"/>
      <c r="D844" s="2"/>
      <c r="E844" s="3"/>
      <c r="F844" s="2"/>
      <c r="G844" s="2"/>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row>
    <row r="845" spans="1:46" ht="14.25" customHeight="1">
      <c r="A845" s="1"/>
      <c r="B845" s="1"/>
      <c r="C845" s="1"/>
      <c r="D845" s="2"/>
      <c r="E845" s="3"/>
      <c r="F845" s="2"/>
      <c r="G845" s="2"/>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row>
    <row r="846" spans="1:46" ht="14.25" customHeight="1">
      <c r="A846" s="1"/>
      <c r="B846" s="1"/>
      <c r="C846" s="1"/>
      <c r="D846" s="2"/>
      <c r="E846" s="3"/>
      <c r="F846" s="2"/>
      <c r="G846" s="2"/>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row>
    <row r="847" spans="1:46" ht="14.25" customHeight="1">
      <c r="A847" s="1"/>
      <c r="B847" s="1"/>
      <c r="C847" s="1"/>
      <c r="D847" s="2"/>
      <c r="E847" s="3"/>
      <c r="F847" s="2"/>
      <c r="G847" s="2"/>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row>
    <row r="848" spans="1:46" ht="14.25" customHeight="1">
      <c r="A848" s="1"/>
      <c r="B848" s="1"/>
      <c r="C848" s="1"/>
      <c r="D848" s="2"/>
      <c r="E848" s="3"/>
      <c r="F848" s="2"/>
      <c r="G848" s="2"/>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row>
    <row r="849" spans="1:46" ht="14.25" customHeight="1">
      <c r="A849" s="1"/>
      <c r="B849" s="1"/>
      <c r="C849" s="1"/>
      <c r="D849" s="2"/>
      <c r="E849" s="3"/>
      <c r="F849" s="2"/>
      <c r="G849" s="2"/>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row>
    <row r="850" spans="1:46" ht="14.25" customHeight="1">
      <c r="A850" s="1"/>
      <c r="B850" s="1"/>
      <c r="C850" s="1"/>
      <c r="D850" s="2"/>
      <c r="E850" s="3"/>
      <c r="F850" s="2"/>
      <c r="G850" s="2"/>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row>
    <row r="851" spans="1:46" ht="14.25" customHeight="1">
      <c r="A851" s="1"/>
      <c r="B851" s="1"/>
      <c r="C851" s="1"/>
      <c r="D851" s="2"/>
      <c r="E851" s="3"/>
      <c r="F851" s="2"/>
      <c r="G851" s="2"/>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row>
    <row r="852" spans="1:46" ht="14.25" customHeight="1">
      <c r="A852" s="1"/>
      <c r="B852" s="1"/>
      <c r="C852" s="1"/>
      <c r="D852" s="2"/>
      <c r="E852" s="3"/>
      <c r="F852" s="2"/>
      <c r="G852" s="2"/>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row>
    <row r="853" spans="1:46" ht="14.25" customHeight="1">
      <c r="A853" s="1"/>
      <c r="B853" s="1"/>
      <c r="C853" s="1"/>
      <c r="D853" s="2"/>
      <c r="E853" s="3"/>
      <c r="F853" s="2"/>
      <c r="G853" s="2"/>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row>
    <row r="854" spans="1:46" ht="14.25" customHeight="1">
      <c r="A854" s="1"/>
      <c r="B854" s="1"/>
      <c r="C854" s="1"/>
      <c r="D854" s="2"/>
      <c r="E854" s="3"/>
      <c r="F854" s="2"/>
      <c r="G854" s="2"/>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row>
    <row r="855" spans="1:46" ht="14.25" customHeight="1">
      <c r="A855" s="1"/>
      <c r="B855" s="1"/>
      <c r="C855" s="1"/>
      <c r="D855" s="2"/>
      <c r="E855" s="3"/>
      <c r="F855" s="2"/>
      <c r="G855" s="2"/>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row>
    <row r="856" spans="1:46" ht="14.25" customHeight="1">
      <c r="A856" s="1"/>
      <c r="B856" s="1"/>
      <c r="C856" s="1"/>
      <c r="D856" s="2"/>
      <c r="E856" s="3"/>
      <c r="F856" s="2"/>
      <c r="G856" s="2"/>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row>
    <row r="857" spans="1:46" ht="14.25" customHeight="1">
      <c r="A857" s="1"/>
      <c r="B857" s="1"/>
      <c r="C857" s="1"/>
      <c r="D857" s="2"/>
      <c r="E857" s="3"/>
      <c r="F857" s="2"/>
      <c r="G857" s="2"/>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row>
    <row r="858" spans="1:46" ht="14.25" customHeight="1">
      <c r="A858" s="1"/>
      <c r="B858" s="1"/>
      <c r="C858" s="1"/>
      <c r="D858" s="2"/>
      <c r="E858" s="3"/>
      <c r="F858" s="2"/>
      <c r="G858" s="2"/>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row>
    <row r="859" spans="1:46" ht="14.25" customHeight="1">
      <c r="A859" s="1"/>
      <c r="B859" s="1"/>
      <c r="C859" s="1"/>
      <c r="D859" s="2"/>
      <c r="E859" s="3"/>
      <c r="F859" s="2"/>
      <c r="G859" s="2"/>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row>
    <row r="860" spans="1:46" ht="14.25" customHeight="1">
      <c r="A860" s="1"/>
      <c r="B860" s="1"/>
      <c r="C860" s="1"/>
      <c r="D860" s="2"/>
      <c r="E860" s="3"/>
      <c r="F860" s="2"/>
      <c r="G860" s="2"/>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row>
    <row r="861" spans="1:46" ht="14.25" customHeight="1">
      <c r="A861" s="1"/>
      <c r="B861" s="1"/>
      <c r="C861" s="1"/>
      <c r="D861" s="2"/>
      <c r="E861" s="3"/>
      <c r="F861" s="2"/>
      <c r="G861" s="2"/>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row>
    <row r="862" spans="1:46" ht="14.25" customHeight="1">
      <c r="A862" s="1"/>
      <c r="B862" s="1"/>
      <c r="C862" s="1"/>
      <c r="D862" s="2"/>
      <c r="E862" s="3"/>
      <c r="F862" s="2"/>
      <c r="G862" s="2"/>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row>
    <row r="863" spans="1:46" ht="14.25" customHeight="1">
      <c r="A863" s="1"/>
      <c r="B863" s="1"/>
      <c r="C863" s="1"/>
      <c r="D863" s="2"/>
      <c r="E863" s="3"/>
      <c r="F863" s="2"/>
      <c r="G863" s="2"/>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row>
    <row r="864" spans="1:46" ht="14.25" customHeight="1">
      <c r="A864" s="1"/>
      <c r="B864" s="1"/>
      <c r="C864" s="1"/>
      <c r="D864" s="2"/>
      <c r="E864" s="3"/>
      <c r="F864" s="2"/>
      <c r="G864" s="2"/>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row>
    <row r="865" spans="1:46" ht="14.25" customHeight="1">
      <c r="A865" s="1"/>
      <c r="B865" s="1"/>
      <c r="C865" s="1"/>
      <c r="D865" s="2"/>
      <c r="E865" s="3"/>
      <c r="F865" s="2"/>
      <c r="G865" s="2"/>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row>
    <row r="866" spans="1:46" ht="14.25" customHeight="1">
      <c r="A866" s="1"/>
      <c r="B866" s="1"/>
      <c r="C866" s="1"/>
      <c r="D866" s="2"/>
      <c r="E866" s="3"/>
      <c r="F866" s="2"/>
      <c r="G866" s="2"/>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row>
    <row r="867" spans="1:46" ht="14.25" customHeight="1">
      <c r="A867" s="1"/>
      <c r="B867" s="1"/>
      <c r="C867" s="1"/>
      <c r="D867" s="2"/>
      <c r="E867" s="3"/>
      <c r="F867" s="2"/>
      <c r="G867" s="2"/>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row>
    <row r="868" spans="1:46" ht="14.25" customHeight="1">
      <c r="A868" s="1"/>
      <c r="B868" s="1"/>
      <c r="C868" s="1"/>
      <c r="D868" s="2"/>
      <c r="E868" s="3"/>
      <c r="F868" s="2"/>
      <c r="G868" s="2"/>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row>
    <row r="869" spans="1:46" ht="14.25" customHeight="1">
      <c r="A869" s="1"/>
      <c r="B869" s="1"/>
      <c r="C869" s="1"/>
      <c r="D869" s="2"/>
      <c r="E869" s="3"/>
      <c r="F869" s="2"/>
      <c r="G869" s="2"/>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row>
    <row r="870" spans="1:46" ht="14.25" customHeight="1">
      <c r="A870" s="1"/>
      <c r="B870" s="1"/>
      <c r="C870" s="1"/>
      <c r="D870" s="2"/>
      <c r="E870" s="3"/>
      <c r="F870" s="2"/>
      <c r="G870" s="2"/>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row>
    <row r="871" spans="1:46" ht="14.25" customHeight="1">
      <c r="A871" s="1"/>
      <c r="B871" s="1"/>
      <c r="C871" s="1"/>
      <c r="D871" s="2"/>
      <c r="E871" s="3"/>
      <c r="F871" s="2"/>
      <c r="G871" s="2"/>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row>
    <row r="872" spans="1:46" ht="14.25" customHeight="1">
      <c r="A872" s="1"/>
      <c r="B872" s="1"/>
      <c r="C872" s="1"/>
      <c r="D872" s="2"/>
      <c r="E872" s="3"/>
      <c r="F872" s="2"/>
      <c r="G872" s="2"/>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row>
    <row r="873" spans="1:46" ht="14.25" customHeight="1">
      <c r="A873" s="1"/>
      <c r="B873" s="1"/>
      <c r="C873" s="1"/>
      <c r="D873" s="2"/>
      <c r="E873" s="3"/>
      <c r="F873" s="2"/>
      <c r="G873" s="2"/>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row>
    <row r="874" spans="1:46" ht="14.25" customHeight="1">
      <c r="A874" s="1"/>
      <c r="B874" s="1"/>
      <c r="C874" s="1"/>
      <c r="D874" s="2"/>
      <c r="E874" s="3"/>
      <c r="F874" s="2"/>
      <c r="G874" s="2"/>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row>
    <row r="875" spans="1:46" ht="14.25" customHeight="1">
      <c r="A875" s="1"/>
      <c r="B875" s="1"/>
      <c r="C875" s="1"/>
      <c r="D875" s="2"/>
      <c r="E875" s="3"/>
      <c r="F875" s="2"/>
      <c r="G875" s="2"/>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row>
    <row r="876" spans="1:46" ht="14.25" customHeight="1">
      <c r="A876" s="1"/>
      <c r="B876" s="1"/>
      <c r="C876" s="1"/>
      <c r="D876" s="2"/>
      <c r="E876" s="3"/>
      <c r="F876" s="2"/>
      <c r="G876" s="2"/>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row>
    <row r="877" spans="1:46" ht="14.25" customHeight="1">
      <c r="A877" s="1"/>
      <c r="B877" s="1"/>
      <c r="C877" s="1"/>
      <c r="D877" s="2"/>
      <c r="E877" s="3"/>
      <c r="F877" s="2"/>
      <c r="G877" s="2"/>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row>
    <row r="878" spans="1:46" ht="14.25" customHeight="1">
      <c r="A878" s="1"/>
      <c r="B878" s="1"/>
      <c r="C878" s="1"/>
      <c r="D878" s="2"/>
      <c r="E878" s="3"/>
      <c r="F878" s="2"/>
      <c r="G878" s="2"/>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row>
    <row r="879" spans="1:46" ht="14.25" customHeight="1">
      <c r="A879" s="1"/>
      <c r="B879" s="1"/>
      <c r="C879" s="1"/>
      <c r="D879" s="2"/>
      <c r="E879" s="3"/>
      <c r="F879" s="2"/>
      <c r="G879" s="2"/>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row>
    <row r="880" spans="1:46" ht="14.25" customHeight="1">
      <c r="A880" s="1"/>
      <c r="B880" s="1"/>
      <c r="C880" s="1"/>
      <c r="D880" s="2"/>
      <c r="E880" s="3"/>
      <c r="F880" s="2"/>
      <c r="G880" s="2"/>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row>
    <row r="881" spans="1:46" ht="14.25" customHeight="1">
      <c r="A881" s="1"/>
      <c r="B881" s="1"/>
      <c r="C881" s="1"/>
      <c r="D881" s="2"/>
      <c r="E881" s="3"/>
      <c r="F881" s="2"/>
      <c r="G881" s="2"/>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row>
    <row r="882" spans="1:46" ht="14.25" customHeight="1">
      <c r="A882" s="1"/>
      <c r="B882" s="1"/>
      <c r="C882" s="1"/>
      <c r="D882" s="2"/>
      <c r="E882" s="3"/>
      <c r="F882" s="2"/>
      <c r="G882" s="2"/>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row>
    <row r="883" spans="1:46" ht="14.25" customHeight="1">
      <c r="A883" s="1"/>
      <c r="B883" s="1"/>
      <c r="C883" s="1"/>
      <c r="D883" s="2"/>
      <c r="E883" s="3"/>
      <c r="F883" s="2"/>
      <c r="G883" s="2"/>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row>
    <row r="884" spans="1:46" ht="14.25" customHeight="1">
      <c r="A884" s="1"/>
      <c r="B884" s="1"/>
      <c r="C884" s="1"/>
      <c r="D884" s="2"/>
      <c r="E884" s="3"/>
      <c r="F884" s="2"/>
      <c r="G884" s="2"/>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row>
    <row r="885" spans="1:46" ht="14.25" customHeight="1">
      <c r="A885" s="1"/>
      <c r="B885" s="1"/>
      <c r="C885" s="1"/>
      <c r="D885" s="2"/>
      <c r="E885" s="3"/>
      <c r="F885" s="2"/>
      <c r="G885" s="2"/>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row>
    <row r="886" spans="1:46" ht="14.25" customHeight="1">
      <c r="A886" s="1"/>
      <c r="B886" s="1"/>
      <c r="C886" s="1"/>
      <c r="D886" s="2"/>
      <c r="E886" s="3"/>
      <c r="F886" s="2"/>
      <c r="G886" s="2"/>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row>
    <row r="887" spans="1:46" ht="14.25" customHeight="1">
      <c r="A887" s="1"/>
      <c r="B887" s="1"/>
      <c r="C887" s="1"/>
      <c r="D887" s="2"/>
      <c r="E887" s="3"/>
      <c r="F887" s="2"/>
      <c r="G887" s="2"/>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row>
    <row r="888" spans="1:46" ht="14.25" customHeight="1">
      <c r="A888" s="1"/>
      <c r="B888" s="1"/>
      <c r="C888" s="1"/>
      <c r="D888" s="2"/>
      <c r="E888" s="3"/>
      <c r="F888" s="2"/>
      <c r="G888" s="2"/>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row>
    <row r="889" spans="1:46" ht="14.25" customHeight="1">
      <c r="A889" s="1"/>
      <c r="B889" s="1"/>
      <c r="C889" s="1"/>
      <c r="D889" s="2"/>
      <c r="E889" s="3"/>
      <c r="F889" s="2"/>
      <c r="G889" s="2"/>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row>
    <row r="890" spans="1:46" ht="14.25" customHeight="1">
      <c r="A890" s="1"/>
      <c r="B890" s="1"/>
      <c r="C890" s="1"/>
      <c r="D890" s="2"/>
      <c r="E890" s="3"/>
      <c r="F890" s="2"/>
      <c r="G890" s="2"/>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row>
    <row r="891" spans="1:46" ht="14.25" customHeight="1">
      <c r="A891" s="1"/>
      <c r="B891" s="1"/>
      <c r="C891" s="1"/>
      <c r="D891" s="2"/>
      <c r="E891" s="3"/>
      <c r="F891" s="2"/>
      <c r="G891" s="2"/>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row>
    <row r="892" spans="1:46" ht="14.25" customHeight="1">
      <c r="A892" s="1"/>
      <c r="B892" s="1"/>
      <c r="C892" s="1"/>
      <c r="D892" s="2"/>
      <c r="E892" s="3"/>
      <c r="F892" s="2"/>
      <c r="G892" s="2"/>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row>
    <row r="893" spans="1:46" ht="14.25" customHeight="1">
      <c r="A893" s="1"/>
      <c r="B893" s="1"/>
      <c r="C893" s="1"/>
      <c r="D893" s="2"/>
      <c r="E893" s="3"/>
      <c r="F893" s="2"/>
      <c r="G893" s="2"/>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row>
    <row r="894" spans="1:46" ht="14.25" customHeight="1">
      <c r="A894" s="1"/>
      <c r="B894" s="1"/>
      <c r="C894" s="1"/>
      <c r="D894" s="2"/>
      <c r="E894" s="3"/>
      <c r="F894" s="2"/>
      <c r="G894" s="2"/>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row>
    <row r="895" spans="1:46" ht="14.25" customHeight="1">
      <c r="A895" s="1"/>
      <c r="B895" s="1"/>
      <c r="C895" s="1"/>
      <c r="D895" s="2"/>
      <c r="E895" s="3"/>
      <c r="F895" s="2"/>
      <c r="G895" s="2"/>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row>
    <row r="896" spans="1:46" ht="14.25" customHeight="1">
      <c r="A896" s="1"/>
      <c r="B896" s="1"/>
      <c r="C896" s="1"/>
      <c r="D896" s="2"/>
      <c r="E896" s="3"/>
      <c r="F896" s="2"/>
      <c r="G896" s="2"/>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row>
    <row r="897" spans="1:46" ht="14.25" customHeight="1">
      <c r="A897" s="1"/>
      <c r="B897" s="1"/>
      <c r="C897" s="1"/>
      <c r="D897" s="2"/>
      <c r="E897" s="3"/>
      <c r="F897" s="2"/>
      <c r="G897" s="2"/>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row>
    <row r="898" spans="1:46" ht="14.25" customHeight="1">
      <c r="A898" s="1"/>
      <c r="B898" s="1"/>
      <c r="C898" s="1"/>
      <c r="D898" s="2"/>
      <c r="E898" s="3"/>
      <c r="F898" s="2"/>
      <c r="G898" s="2"/>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row>
    <row r="899" spans="1:46" ht="14.25" customHeight="1">
      <c r="A899" s="1"/>
      <c r="B899" s="1"/>
      <c r="C899" s="1"/>
      <c r="D899" s="2"/>
      <c r="E899" s="3"/>
      <c r="F899" s="2"/>
      <c r="G899" s="2"/>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row>
    <row r="900" spans="1:46" ht="14.25" customHeight="1">
      <c r="A900" s="1"/>
      <c r="B900" s="1"/>
      <c r="C900" s="1"/>
      <c r="D900" s="2"/>
      <c r="E900" s="3"/>
      <c r="F900" s="2"/>
      <c r="G900" s="2"/>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row>
    <row r="901" spans="1:46" ht="14.25" customHeight="1">
      <c r="A901" s="1"/>
      <c r="B901" s="1"/>
      <c r="C901" s="1"/>
      <c r="D901" s="2"/>
      <c r="E901" s="3"/>
      <c r="F901" s="2"/>
      <c r="G901" s="2"/>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row>
    <row r="902" spans="1:46" ht="14.25" customHeight="1">
      <c r="A902" s="1"/>
      <c r="B902" s="1"/>
      <c r="C902" s="1"/>
      <c r="D902" s="2"/>
      <c r="E902" s="3"/>
      <c r="F902" s="2"/>
      <c r="G902" s="2"/>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row>
    <row r="903" spans="1:46" ht="14.25" customHeight="1">
      <c r="A903" s="1"/>
      <c r="B903" s="1"/>
      <c r="C903" s="1"/>
      <c r="D903" s="2"/>
      <c r="E903" s="3"/>
      <c r="F903" s="2"/>
      <c r="G903" s="2"/>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row>
    <row r="904" spans="1:46" ht="14.25" customHeight="1">
      <c r="A904" s="1"/>
      <c r="B904" s="1"/>
      <c r="C904" s="1"/>
      <c r="D904" s="2"/>
      <c r="E904" s="3"/>
      <c r="F904" s="2"/>
      <c r="G904" s="2"/>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row>
    <row r="905" spans="1:46" ht="14.25" customHeight="1">
      <c r="A905" s="1"/>
      <c r="B905" s="1"/>
      <c r="C905" s="1"/>
      <c r="D905" s="2"/>
      <c r="E905" s="3"/>
      <c r="F905" s="2"/>
      <c r="G905" s="2"/>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row>
    <row r="906" spans="1:46" ht="14.25" customHeight="1">
      <c r="A906" s="1"/>
      <c r="B906" s="1"/>
      <c r="C906" s="1"/>
      <c r="D906" s="2"/>
      <c r="E906" s="3"/>
      <c r="F906" s="2"/>
      <c r="G906" s="2"/>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row>
    <row r="907" spans="1:46" ht="14.25" customHeight="1">
      <c r="A907" s="1"/>
      <c r="B907" s="1"/>
      <c r="C907" s="1"/>
      <c r="D907" s="2"/>
      <c r="E907" s="3"/>
      <c r="F907" s="2"/>
      <c r="G907" s="2"/>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row>
    <row r="908" spans="1:46" ht="14.25" customHeight="1">
      <c r="A908" s="1"/>
      <c r="B908" s="1"/>
      <c r="C908" s="1"/>
      <c r="D908" s="2"/>
      <c r="E908" s="3"/>
      <c r="F908" s="2"/>
      <c r="G908" s="2"/>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row>
    <row r="909" spans="1:46" ht="14.25" customHeight="1">
      <c r="A909" s="1"/>
      <c r="B909" s="1"/>
      <c r="C909" s="1"/>
      <c r="D909" s="2"/>
      <c r="E909" s="3"/>
      <c r="F909" s="2"/>
      <c r="G909" s="2"/>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row>
    <row r="910" spans="1:46" ht="14.25" customHeight="1">
      <c r="A910" s="1"/>
      <c r="B910" s="1"/>
      <c r="C910" s="1"/>
      <c r="D910" s="2"/>
      <c r="E910" s="3"/>
      <c r="F910" s="2"/>
      <c r="G910" s="2"/>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row>
    <row r="911" spans="1:46" ht="14.25" customHeight="1">
      <c r="A911" s="1"/>
      <c r="B911" s="1"/>
      <c r="C911" s="1"/>
      <c r="D911" s="2"/>
      <c r="E911" s="3"/>
      <c r="F911" s="2"/>
      <c r="G911" s="2"/>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row>
    <row r="912" spans="1:46" ht="14.25" customHeight="1">
      <c r="A912" s="1"/>
      <c r="B912" s="1"/>
      <c r="C912" s="1"/>
      <c r="D912" s="2"/>
      <c r="E912" s="3"/>
      <c r="F912" s="2"/>
      <c r="G912" s="2"/>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row>
    <row r="913" spans="1:46" ht="14.25" customHeight="1">
      <c r="A913" s="1"/>
      <c r="B913" s="1"/>
      <c r="C913" s="1"/>
      <c r="D913" s="2"/>
      <c r="E913" s="3"/>
      <c r="F913" s="2"/>
      <c r="G913" s="2"/>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row>
    <row r="914" spans="1:46" ht="14.25" customHeight="1">
      <c r="A914" s="1"/>
      <c r="B914" s="1"/>
      <c r="C914" s="1"/>
      <c r="D914" s="2"/>
      <c r="E914" s="3"/>
      <c r="F914" s="2"/>
      <c r="G914" s="2"/>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row>
    <row r="915" spans="1:46" ht="14.25" customHeight="1">
      <c r="A915" s="1"/>
      <c r="B915" s="1"/>
      <c r="C915" s="1"/>
      <c r="D915" s="2"/>
      <c r="E915" s="3"/>
      <c r="F915" s="2"/>
      <c r="G915" s="2"/>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row>
    <row r="916" spans="1:46" ht="14.25" customHeight="1">
      <c r="A916" s="1"/>
      <c r="B916" s="1"/>
      <c r="C916" s="1"/>
      <c r="D916" s="2"/>
      <c r="E916" s="3"/>
      <c r="F916" s="2"/>
      <c r="G916" s="2"/>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row>
    <row r="917" spans="1:46" ht="14.25" customHeight="1">
      <c r="A917" s="1"/>
      <c r="B917" s="1"/>
      <c r="C917" s="1"/>
      <c r="D917" s="2"/>
      <c r="E917" s="3"/>
      <c r="F917" s="2"/>
      <c r="G917" s="2"/>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row>
    <row r="918" spans="1:46" ht="14.25" customHeight="1">
      <c r="A918" s="1"/>
      <c r="B918" s="1"/>
      <c r="C918" s="1"/>
      <c r="D918" s="2"/>
      <c r="E918" s="3"/>
      <c r="F918" s="2"/>
      <c r="G918" s="2"/>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row>
    <row r="919" spans="1:46" ht="14.25" customHeight="1">
      <c r="A919" s="1"/>
      <c r="B919" s="1"/>
      <c r="C919" s="1"/>
      <c r="D919" s="2"/>
      <c r="E919" s="3"/>
      <c r="F919" s="2"/>
      <c r="G919" s="2"/>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row>
    <row r="920" spans="1:46" ht="14.25" customHeight="1">
      <c r="A920" s="1"/>
      <c r="B920" s="1"/>
      <c r="C920" s="1"/>
      <c r="D920" s="2"/>
      <c r="E920" s="3"/>
      <c r="F920" s="2"/>
      <c r="G920" s="2"/>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row>
    <row r="921" spans="1:46" ht="14.25" customHeight="1">
      <c r="A921" s="1"/>
      <c r="B921" s="1"/>
      <c r="C921" s="1"/>
      <c r="D921" s="2"/>
      <c r="E921" s="3"/>
      <c r="F921" s="2"/>
      <c r="G921" s="2"/>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row>
    <row r="922" spans="1:46" ht="14.25" customHeight="1">
      <c r="A922" s="1"/>
      <c r="B922" s="1"/>
      <c r="C922" s="1"/>
      <c r="D922" s="2"/>
      <c r="E922" s="3"/>
      <c r="F922" s="2"/>
      <c r="G922" s="2"/>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row>
    <row r="923" spans="1:46" ht="14.25" customHeight="1">
      <c r="A923" s="1"/>
      <c r="B923" s="1"/>
      <c r="C923" s="1"/>
      <c r="D923" s="2"/>
      <c r="E923" s="3"/>
      <c r="F923" s="2"/>
      <c r="G923" s="2"/>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row>
    <row r="924" spans="1:46" ht="14.25" customHeight="1">
      <c r="A924" s="1"/>
      <c r="B924" s="1"/>
      <c r="C924" s="1"/>
      <c r="D924" s="2"/>
      <c r="E924" s="3"/>
      <c r="F924" s="2"/>
      <c r="G924" s="2"/>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row>
    <row r="925" spans="1:46" ht="14.25" customHeight="1">
      <c r="A925" s="1"/>
      <c r="B925" s="1"/>
      <c r="C925" s="1"/>
      <c r="D925" s="2"/>
      <c r="E925" s="3"/>
      <c r="F925" s="2"/>
      <c r="G925" s="2"/>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row>
    <row r="926" spans="1:46" ht="14.25" customHeight="1">
      <c r="A926" s="1"/>
      <c r="B926" s="1"/>
      <c r="C926" s="1"/>
      <c r="D926" s="2"/>
      <c r="E926" s="3"/>
      <c r="F926" s="2"/>
      <c r="G926" s="2"/>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row>
    <row r="927" spans="1:46" ht="14.25" customHeight="1">
      <c r="A927" s="1"/>
      <c r="B927" s="1"/>
      <c r="C927" s="1"/>
      <c r="D927" s="2"/>
      <c r="E927" s="3"/>
      <c r="F927" s="2"/>
      <c r="G927" s="2"/>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row>
    <row r="928" spans="1:46" ht="14.25" customHeight="1">
      <c r="A928" s="1"/>
      <c r="B928" s="1"/>
      <c r="C928" s="1"/>
      <c r="D928" s="2"/>
      <c r="E928" s="3"/>
      <c r="F928" s="2"/>
      <c r="G928" s="2"/>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row>
    <row r="929" spans="1:46" ht="14.25" customHeight="1">
      <c r="A929" s="1"/>
      <c r="B929" s="1"/>
      <c r="C929" s="1"/>
      <c r="D929" s="2"/>
      <c r="E929" s="3"/>
      <c r="F929" s="2"/>
      <c r="G929" s="2"/>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row>
    <row r="930" spans="1:46" ht="14.25" customHeight="1">
      <c r="A930" s="1"/>
      <c r="B930" s="1"/>
      <c r="C930" s="1"/>
      <c r="D930" s="2"/>
      <c r="E930" s="3"/>
      <c r="F930" s="2"/>
      <c r="G930" s="2"/>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row>
    <row r="931" spans="1:46" ht="14.25" customHeight="1">
      <c r="A931" s="1"/>
      <c r="B931" s="1"/>
      <c r="C931" s="1"/>
      <c r="D931" s="2"/>
      <c r="E931" s="3"/>
      <c r="F931" s="2"/>
      <c r="G931" s="2"/>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row>
    <row r="932" spans="1:46" ht="14.25" customHeight="1">
      <c r="A932" s="1"/>
      <c r="B932" s="1"/>
      <c r="C932" s="1"/>
      <c r="D932" s="2"/>
      <c r="E932" s="3"/>
      <c r="F932" s="2"/>
      <c r="G932" s="2"/>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row>
    <row r="933" spans="1:46" ht="14.25" customHeight="1">
      <c r="A933" s="1"/>
      <c r="B933" s="1"/>
      <c r="C933" s="1"/>
      <c r="D933" s="2"/>
      <c r="E933" s="3"/>
      <c r="F933" s="2"/>
      <c r="G933" s="2"/>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row>
    <row r="934" spans="1:46" ht="14.25" customHeight="1">
      <c r="A934" s="1"/>
      <c r="B934" s="1"/>
      <c r="C934" s="1"/>
      <c r="D934" s="2"/>
      <c r="E934" s="3"/>
      <c r="F934" s="2"/>
      <c r="G934" s="2"/>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row>
    <row r="935" spans="1:46" ht="14.25" customHeight="1">
      <c r="A935" s="1"/>
      <c r="B935" s="1"/>
      <c r="C935" s="1"/>
      <c r="D935" s="2"/>
      <c r="E935" s="3"/>
      <c r="F935" s="2"/>
      <c r="G935" s="2"/>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row>
    <row r="936" spans="1:46" ht="14.25" customHeight="1">
      <c r="A936" s="1"/>
      <c r="B936" s="1"/>
      <c r="C936" s="1"/>
      <c r="D936" s="2"/>
      <c r="E936" s="3"/>
      <c r="F936" s="2"/>
      <c r="G936" s="2"/>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row>
    <row r="937" spans="1:46" ht="14.25" customHeight="1">
      <c r="A937" s="1"/>
      <c r="B937" s="1"/>
      <c r="C937" s="1"/>
      <c r="D937" s="2"/>
      <c r="E937" s="3"/>
      <c r="F937" s="2"/>
      <c r="G937" s="2"/>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row>
    <row r="938" spans="1:46" ht="14.25" customHeight="1">
      <c r="A938" s="1"/>
      <c r="B938" s="1"/>
      <c r="C938" s="1"/>
      <c r="D938" s="2"/>
      <c r="E938" s="3"/>
      <c r="F938" s="2"/>
      <c r="G938" s="2"/>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row>
    <row r="939" spans="1:46" ht="14.25" customHeight="1">
      <c r="A939" s="1"/>
      <c r="B939" s="1"/>
      <c r="C939" s="1"/>
      <c r="D939" s="2"/>
      <c r="E939" s="3"/>
      <c r="F939" s="2"/>
      <c r="G939" s="2"/>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row>
    <row r="940" spans="1:46" ht="14.25" customHeight="1">
      <c r="A940" s="1"/>
      <c r="B940" s="1"/>
      <c r="C940" s="1"/>
      <c r="D940" s="2"/>
      <c r="E940" s="3"/>
      <c r="F940" s="2"/>
      <c r="G940" s="2"/>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row>
    <row r="941" spans="1:46" ht="14.25" customHeight="1">
      <c r="A941" s="1"/>
      <c r="B941" s="1"/>
      <c r="C941" s="1"/>
      <c r="D941" s="2"/>
      <c r="E941" s="3"/>
      <c r="F941" s="2"/>
      <c r="G941" s="2"/>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row>
    <row r="942" spans="1:46" ht="14.25" customHeight="1">
      <c r="A942" s="1"/>
      <c r="B942" s="1"/>
      <c r="C942" s="1"/>
      <c r="D942" s="2"/>
      <c r="E942" s="3"/>
      <c r="F942" s="2"/>
      <c r="G942" s="2"/>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row>
    <row r="943" spans="1:46" ht="14.25" customHeight="1">
      <c r="A943" s="1"/>
      <c r="B943" s="1"/>
      <c r="C943" s="1"/>
      <c r="D943" s="2"/>
      <c r="E943" s="3"/>
      <c r="F943" s="2"/>
      <c r="G943" s="2"/>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row>
    <row r="944" spans="1:46" ht="14.25" customHeight="1">
      <c r="A944" s="1"/>
      <c r="B944" s="1"/>
      <c r="C944" s="1"/>
      <c r="D944" s="2"/>
      <c r="E944" s="3"/>
      <c r="F944" s="2"/>
      <c r="G944" s="2"/>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row>
    <row r="945" spans="1:46" ht="14.25" customHeight="1">
      <c r="A945" s="1"/>
      <c r="B945" s="1"/>
      <c r="C945" s="1"/>
      <c r="D945" s="2"/>
      <c r="E945" s="3"/>
      <c r="F945" s="2"/>
      <c r="G945" s="2"/>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row>
    <row r="946" spans="1:46" ht="14.25" customHeight="1">
      <c r="A946" s="1"/>
      <c r="B946" s="1"/>
      <c r="C946" s="1"/>
      <c r="D946" s="2"/>
      <c r="E946" s="3"/>
      <c r="F946" s="2"/>
      <c r="G946" s="2"/>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row>
    <row r="947" spans="1:46" ht="14.25" customHeight="1">
      <c r="A947" s="1"/>
      <c r="B947" s="1"/>
      <c r="C947" s="1"/>
      <c r="D947" s="2"/>
      <c r="E947" s="3"/>
      <c r="F947" s="2"/>
      <c r="G947" s="2"/>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row>
    <row r="948" spans="1:46" ht="14.25" customHeight="1">
      <c r="A948" s="1"/>
      <c r="B948" s="1"/>
      <c r="C948" s="1"/>
      <c r="D948" s="2"/>
      <c r="E948" s="3"/>
      <c r="F948" s="2"/>
      <c r="G948" s="2"/>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row>
    <row r="949" spans="1:46" ht="14.25" customHeight="1">
      <c r="A949" s="1"/>
      <c r="B949" s="1"/>
      <c r="C949" s="1"/>
      <c r="D949" s="2"/>
      <c r="E949" s="3"/>
      <c r="F949" s="2"/>
      <c r="G949" s="2"/>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row>
    <row r="950" spans="1:46" ht="14.25" customHeight="1">
      <c r="A950" s="1"/>
      <c r="B950" s="1"/>
      <c r="C950" s="1"/>
      <c r="D950" s="2"/>
      <c r="E950" s="3"/>
      <c r="F950" s="2"/>
      <c r="G950" s="2"/>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row>
    <row r="951" spans="1:46" ht="14.25" customHeight="1">
      <c r="A951" s="1"/>
      <c r="B951" s="1"/>
      <c r="C951" s="1"/>
      <c r="D951" s="2"/>
      <c r="E951" s="3"/>
      <c r="F951" s="2"/>
      <c r="G951" s="2"/>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row>
    <row r="952" spans="1:46" ht="14.25" customHeight="1">
      <c r="A952" s="1"/>
      <c r="B952" s="1"/>
      <c r="C952" s="1"/>
      <c r="D952" s="2"/>
      <c r="E952" s="3"/>
      <c r="F952" s="2"/>
      <c r="G952" s="2"/>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row>
    <row r="953" spans="1:46" ht="14.25" customHeight="1">
      <c r="A953" s="1"/>
      <c r="B953" s="1"/>
      <c r="C953" s="1"/>
      <c r="D953" s="2"/>
      <c r="E953" s="3"/>
      <c r="F953" s="2"/>
      <c r="G953" s="2"/>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row>
    <row r="954" spans="1:46" ht="14.25" customHeight="1">
      <c r="A954" s="1"/>
      <c r="B954" s="1"/>
      <c r="C954" s="1"/>
      <c r="D954" s="2"/>
      <c r="E954" s="3"/>
      <c r="F954" s="2"/>
      <c r="G954" s="2"/>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row>
    <row r="955" spans="1:46" ht="14.25" customHeight="1">
      <c r="A955" s="1"/>
      <c r="B955" s="1"/>
      <c r="C955" s="1"/>
      <c r="D955" s="2"/>
      <c r="E955" s="3"/>
      <c r="F955" s="2"/>
      <c r="G955" s="2"/>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row>
    <row r="956" spans="1:46" ht="14.25" customHeight="1">
      <c r="A956" s="1"/>
      <c r="B956" s="1"/>
      <c r="C956" s="1"/>
      <c r="D956" s="2"/>
      <c r="E956" s="3"/>
      <c r="F956" s="2"/>
      <c r="G956" s="2"/>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row>
    <row r="957" spans="1:46" ht="14.25" customHeight="1">
      <c r="A957" s="1"/>
      <c r="B957" s="1"/>
      <c r="C957" s="1"/>
      <c r="D957" s="2"/>
      <c r="E957" s="3"/>
      <c r="F957" s="2"/>
      <c r="G957" s="2"/>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row>
    <row r="958" spans="1:46" ht="14.25" customHeight="1">
      <c r="A958" s="1"/>
      <c r="B958" s="1"/>
      <c r="C958" s="1"/>
      <c r="D958" s="2"/>
      <c r="E958" s="3"/>
      <c r="F958" s="2"/>
      <c r="G958" s="2"/>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row>
    <row r="959" spans="1:46" ht="14.25" customHeight="1">
      <c r="A959" s="1"/>
      <c r="B959" s="1"/>
      <c r="C959" s="1"/>
      <c r="D959" s="2"/>
      <c r="E959" s="3"/>
      <c r="F959" s="2"/>
      <c r="G959" s="2"/>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row>
    <row r="960" spans="1:46" ht="14.25" customHeight="1">
      <c r="A960" s="1"/>
      <c r="B960" s="1"/>
      <c r="C960" s="1"/>
      <c r="D960" s="2"/>
      <c r="E960" s="3"/>
      <c r="F960" s="2"/>
      <c r="G960" s="2"/>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row>
    <row r="961" spans="1:46" ht="14.25" customHeight="1">
      <c r="A961" s="1"/>
      <c r="B961" s="1"/>
      <c r="C961" s="1"/>
      <c r="D961" s="2"/>
      <c r="E961" s="3"/>
      <c r="F961" s="2"/>
      <c r="G961" s="2"/>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row>
    <row r="962" spans="1:46" ht="14.25" customHeight="1">
      <c r="A962" s="1"/>
      <c r="B962" s="1"/>
      <c r="C962" s="1"/>
      <c r="D962" s="2"/>
      <c r="E962" s="3"/>
      <c r="F962" s="2"/>
      <c r="G962" s="2"/>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row>
    <row r="963" spans="1:46" ht="14.25" customHeight="1">
      <c r="A963" s="1"/>
      <c r="B963" s="1"/>
      <c r="C963" s="1"/>
      <c r="D963" s="2"/>
      <c r="E963" s="3"/>
      <c r="F963" s="2"/>
      <c r="G963" s="2"/>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row>
    <row r="964" spans="1:46" ht="14.25" customHeight="1">
      <c r="A964" s="1"/>
      <c r="B964" s="1"/>
      <c r="C964" s="1"/>
      <c r="D964" s="2"/>
      <c r="E964" s="3"/>
      <c r="F964" s="2"/>
      <c r="G964" s="2"/>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row>
    <row r="965" spans="1:46" ht="14.25" customHeight="1">
      <c r="A965" s="1"/>
      <c r="B965" s="1"/>
      <c r="C965" s="1"/>
      <c r="D965" s="2"/>
      <c r="E965" s="3"/>
      <c r="F965" s="2"/>
      <c r="G965" s="2"/>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row>
    <row r="966" spans="1:46" ht="14.25" customHeight="1">
      <c r="A966" s="1"/>
      <c r="B966" s="1"/>
      <c r="C966" s="1"/>
      <c r="D966" s="2"/>
      <c r="E966" s="3"/>
      <c r="F966" s="2"/>
      <c r="G966" s="2"/>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row>
    <row r="967" spans="1:46" ht="14.25" customHeight="1">
      <c r="A967" s="1"/>
      <c r="B967" s="1"/>
      <c r="C967" s="1"/>
      <c r="D967" s="2"/>
      <c r="E967" s="3"/>
      <c r="F967" s="2"/>
      <c r="G967" s="2"/>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row>
    <row r="968" spans="1:46" ht="14.25" customHeight="1">
      <c r="A968" s="1"/>
      <c r="B968" s="1"/>
      <c r="C968" s="1"/>
      <c r="D968" s="2"/>
      <c r="E968" s="3"/>
      <c r="F968" s="2"/>
      <c r="G968" s="2"/>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row>
    <row r="969" spans="1:46" ht="14.25" customHeight="1">
      <c r="A969" s="1"/>
      <c r="B969" s="1"/>
      <c r="C969" s="1"/>
      <c r="D969" s="2"/>
      <c r="E969" s="3"/>
      <c r="F969" s="2"/>
      <c r="G969" s="2"/>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row>
    <row r="970" spans="1:46" ht="14.25" customHeight="1">
      <c r="A970" s="1"/>
      <c r="B970" s="1"/>
      <c r="C970" s="1"/>
      <c r="D970" s="2"/>
      <c r="E970" s="3"/>
      <c r="F970" s="2"/>
      <c r="G970" s="2"/>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row>
    <row r="971" spans="1:46" ht="14.25" customHeight="1">
      <c r="A971" s="1"/>
      <c r="B971" s="1"/>
      <c r="C971" s="1"/>
      <c r="D971" s="2"/>
      <c r="E971" s="3"/>
      <c r="F971" s="2"/>
      <c r="G971" s="2"/>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row>
    <row r="972" spans="1:46" ht="14.25" customHeight="1">
      <c r="A972" s="1"/>
      <c r="B972" s="1"/>
      <c r="C972" s="1"/>
      <c r="D972" s="2"/>
      <c r="E972" s="3"/>
      <c r="F972" s="2"/>
      <c r="G972" s="2"/>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row>
    <row r="973" spans="1:46" ht="14.25" customHeight="1">
      <c r="A973" s="1"/>
      <c r="B973" s="1"/>
      <c r="C973" s="1"/>
      <c r="D973" s="2"/>
      <c r="E973" s="3"/>
      <c r="F973" s="2"/>
      <c r="G973" s="2"/>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row>
    <row r="974" spans="1:46" ht="14.25" customHeight="1">
      <c r="A974" s="1"/>
      <c r="B974" s="1"/>
      <c r="C974" s="1"/>
      <c r="D974" s="2"/>
      <c r="E974" s="3"/>
      <c r="F974" s="2"/>
      <c r="G974" s="2"/>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row>
    <row r="975" spans="1:46" ht="14.25" customHeight="1">
      <c r="A975" s="1"/>
      <c r="B975" s="1"/>
      <c r="C975" s="1"/>
      <c r="D975" s="2"/>
      <c r="E975" s="3"/>
      <c r="F975" s="2"/>
      <c r="G975" s="2"/>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row>
    <row r="976" spans="1:46" ht="14.25" customHeight="1">
      <c r="A976" s="1"/>
      <c r="B976" s="1"/>
      <c r="C976" s="1"/>
      <c r="D976" s="2"/>
      <c r="E976" s="3"/>
      <c r="F976" s="2"/>
      <c r="G976" s="2"/>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row>
    <row r="977" spans="1:46" ht="14.25" customHeight="1">
      <c r="A977" s="1"/>
      <c r="B977" s="1"/>
      <c r="C977" s="1"/>
      <c r="D977" s="2"/>
      <c r="E977" s="3"/>
      <c r="F977" s="2"/>
      <c r="G977" s="2"/>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row>
    <row r="978" spans="1:46" ht="14.25" customHeight="1">
      <c r="A978" s="1"/>
      <c r="B978" s="1"/>
      <c r="C978" s="1"/>
      <c r="D978" s="2"/>
      <c r="E978" s="3"/>
      <c r="F978" s="2"/>
      <c r="G978" s="2"/>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row>
  </sheetData>
  <conditionalFormatting sqref="K5:K107">
    <cfRule type="cellIs" dxfId="11" priority="2" stopIfTrue="1" operator="greaterThan">
      <formula>1500</formula>
    </cfRule>
  </conditionalFormatting>
  <conditionalFormatting sqref="AR5:AS7 D114 AR89:AS107 AR8:AR88">
    <cfRule type="cellIs" dxfId="9" priority="9" stopIfTrue="1" operator="notEqual">
      <formula>0</formula>
    </cfRule>
  </conditionalFormatting>
  <dataValidations count="3">
    <dataValidation type="list" allowBlank="1" showErrorMessage="1" sqref="D53:D81" xr:uid="{00000000-0002-0000-0000-000000000000}">
      <formula1>$B$43:$B$50</formula1>
    </dataValidation>
    <dataValidation type="list" allowBlank="1" showErrorMessage="1" sqref="D5:D52" xr:uid="{00000000-0002-0000-0000-000001000000}">
      <formula1>$B$117:$B$124</formula1>
    </dataValidation>
    <dataValidation type="list" allowBlank="1" showErrorMessage="1" sqref="D82:D107" xr:uid="{00000000-0002-0000-0000-000002000000}">
      <formula1>$B$115:$B$122</formula1>
    </dataValidation>
  </dataValidation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AF1000"/>
  <sheetViews>
    <sheetView workbookViewId="0"/>
  </sheetViews>
  <sheetFormatPr defaultColWidth="14.3984375" defaultRowHeight="15" customHeight="1"/>
  <cols>
    <col min="1" max="1" width="23.73046875" customWidth="1"/>
    <col min="2" max="2" width="11.3984375" customWidth="1"/>
    <col min="3" max="3" width="19" customWidth="1"/>
    <col min="4" max="4" width="19.86328125" customWidth="1"/>
    <col min="5" max="5" width="18.1328125" customWidth="1"/>
    <col min="6" max="6" width="12.86328125" customWidth="1"/>
    <col min="7" max="7" width="11.3984375" customWidth="1"/>
    <col min="8" max="14" width="10.86328125" customWidth="1"/>
    <col min="15" max="15" width="8.86328125" customWidth="1"/>
    <col min="16" max="32" width="8" customWidth="1"/>
  </cols>
  <sheetData>
    <row r="1" spans="1:32" ht="14.25">
      <c r="A1" s="64"/>
      <c r="B1" s="65"/>
      <c r="C1" s="65"/>
      <c r="D1" s="1"/>
      <c r="E1" s="1"/>
      <c r="F1" s="1"/>
      <c r="G1" s="1"/>
      <c r="H1" s="1"/>
      <c r="I1" s="1"/>
      <c r="J1" s="1"/>
      <c r="K1" s="1"/>
      <c r="L1" s="1"/>
      <c r="M1" s="1"/>
      <c r="N1" s="1"/>
      <c r="O1" s="216"/>
      <c r="P1" s="216"/>
      <c r="Q1" s="216"/>
      <c r="R1" s="216"/>
      <c r="S1" s="216"/>
      <c r="T1" s="216"/>
      <c r="U1" s="216"/>
      <c r="V1" s="216"/>
      <c r="W1" s="216"/>
      <c r="X1" s="216"/>
      <c r="Y1" s="216"/>
      <c r="Z1" s="216"/>
      <c r="AA1" s="216"/>
      <c r="AB1" s="216"/>
      <c r="AC1" s="216"/>
      <c r="AD1" s="216"/>
      <c r="AE1" s="216"/>
      <c r="AF1" s="216"/>
    </row>
    <row r="2" spans="1:32" ht="15.75" customHeight="1">
      <c r="A2" s="1234" t="s">
        <v>4440</v>
      </c>
      <c r="B2" s="1227"/>
      <c r="C2" s="1227"/>
      <c r="D2" s="1227"/>
      <c r="E2" s="1227"/>
      <c r="F2" s="1227"/>
      <c r="G2" s="1227"/>
      <c r="H2" s="1227"/>
      <c r="I2" s="1227"/>
      <c r="J2" s="1227"/>
      <c r="K2" s="1227"/>
      <c r="L2" s="1227"/>
      <c r="M2" s="1227"/>
      <c r="N2" s="1228"/>
      <c r="O2" s="69"/>
      <c r="P2" s="69"/>
      <c r="Q2" s="69"/>
      <c r="R2" s="69"/>
      <c r="S2" s="69"/>
      <c r="T2" s="69"/>
      <c r="U2" s="69"/>
      <c r="V2" s="69"/>
      <c r="W2" s="69"/>
      <c r="X2" s="69"/>
      <c r="Y2" s="69"/>
      <c r="Z2" s="69"/>
      <c r="AA2" s="69"/>
      <c r="AB2" s="69"/>
      <c r="AC2" s="69"/>
      <c r="AD2" s="69"/>
      <c r="AE2" s="69"/>
      <c r="AF2" s="69"/>
    </row>
    <row r="3" spans="1:32" ht="15.4">
      <c r="A3" s="375"/>
      <c r="B3" s="375"/>
      <c r="C3" s="375"/>
      <c r="D3" s="375"/>
      <c r="E3" s="375"/>
      <c r="F3" s="375"/>
      <c r="G3" s="375"/>
      <c r="H3" s="375"/>
      <c r="I3" s="375"/>
      <c r="J3" s="375"/>
      <c r="K3" s="375"/>
      <c r="L3" s="375"/>
      <c r="M3" s="375"/>
      <c r="N3" s="375"/>
      <c r="O3" s="69"/>
      <c r="P3" s="69"/>
      <c r="Q3" s="69"/>
      <c r="R3" s="69"/>
      <c r="S3" s="69"/>
      <c r="T3" s="69"/>
      <c r="U3" s="69"/>
      <c r="V3" s="69"/>
      <c r="W3" s="69"/>
      <c r="X3" s="69"/>
      <c r="Y3" s="69"/>
      <c r="Z3" s="69"/>
      <c r="AA3" s="69"/>
      <c r="AB3" s="69"/>
      <c r="AC3" s="69"/>
      <c r="AD3" s="69"/>
      <c r="AE3" s="69"/>
      <c r="AF3" s="69"/>
    </row>
    <row r="4" spans="1:32" ht="28.5" customHeight="1">
      <c r="A4" s="1226" t="s">
        <v>4441</v>
      </c>
      <c r="B4" s="1227"/>
      <c r="C4" s="1227"/>
      <c r="D4" s="1227"/>
      <c r="E4" s="1227"/>
      <c r="F4" s="1227"/>
      <c r="G4" s="1227"/>
      <c r="H4" s="1227"/>
      <c r="I4" s="1227"/>
      <c r="J4" s="1227"/>
      <c r="K4" s="1227"/>
      <c r="L4" s="1227"/>
      <c r="M4" s="1227"/>
      <c r="N4" s="1228"/>
      <c r="O4" s="69"/>
      <c r="P4" s="69"/>
      <c r="Q4" s="69"/>
      <c r="R4" s="69"/>
      <c r="S4" s="69"/>
      <c r="T4" s="69"/>
      <c r="U4" s="69"/>
      <c r="V4" s="69"/>
      <c r="W4" s="69"/>
      <c r="X4" s="69"/>
      <c r="Y4" s="69"/>
      <c r="Z4" s="69"/>
      <c r="AA4" s="69"/>
      <c r="AB4" s="69"/>
      <c r="AC4" s="69"/>
      <c r="AD4" s="69"/>
      <c r="AE4" s="69"/>
      <c r="AF4" s="69"/>
    </row>
    <row r="5" spans="1:32" ht="28.5" customHeight="1">
      <c r="A5" s="1226" t="s">
        <v>4442</v>
      </c>
      <c r="B5" s="1227"/>
      <c r="C5" s="1227"/>
      <c r="D5" s="1227"/>
      <c r="E5" s="1227"/>
      <c r="F5" s="1227"/>
      <c r="G5" s="1227"/>
      <c r="H5" s="1227"/>
      <c r="I5" s="1227"/>
      <c r="J5" s="1227"/>
      <c r="K5" s="1227"/>
      <c r="L5" s="1227"/>
      <c r="M5" s="1227"/>
      <c r="N5" s="1228"/>
      <c r="O5" s="69"/>
      <c r="P5" s="69"/>
      <c r="Q5" s="69"/>
      <c r="R5" s="69"/>
      <c r="S5" s="69"/>
      <c r="T5" s="69"/>
      <c r="U5" s="69"/>
      <c r="V5" s="69"/>
      <c r="W5" s="69"/>
      <c r="X5" s="69"/>
      <c r="Y5" s="69"/>
      <c r="Z5" s="69"/>
      <c r="AA5" s="69"/>
      <c r="AB5" s="69"/>
      <c r="AC5" s="69"/>
      <c r="AD5" s="69"/>
      <c r="AE5" s="69"/>
      <c r="AF5" s="69"/>
    </row>
    <row r="6" spans="1:32" ht="24" customHeight="1">
      <c r="A6" s="1226" t="s">
        <v>4443</v>
      </c>
      <c r="B6" s="1227"/>
      <c r="C6" s="1227"/>
      <c r="D6" s="1227"/>
      <c r="E6" s="1227"/>
      <c r="F6" s="1227"/>
      <c r="G6" s="1227"/>
      <c r="H6" s="1227"/>
      <c r="I6" s="1227"/>
      <c r="J6" s="1227"/>
      <c r="K6" s="1227"/>
      <c r="L6" s="1227"/>
      <c r="M6" s="1227"/>
      <c r="N6" s="1228"/>
      <c r="O6" s="69"/>
      <c r="P6" s="69"/>
      <c r="Q6" s="69"/>
      <c r="R6" s="69"/>
      <c r="S6" s="69"/>
      <c r="T6" s="69"/>
      <c r="U6" s="69"/>
      <c r="V6" s="69"/>
      <c r="W6" s="69"/>
      <c r="X6" s="69"/>
      <c r="Y6" s="69"/>
      <c r="Z6" s="69"/>
      <c r="AA6" s="69"/>
      <c r="AB6" s="69"/>
      <c r="AC6" s="69"/>
      <c r="AD6" s="69"/>
      <c r="AE6" s="69"/>
      <c r="AF6" s="69"/>
    </row>
    <row r="7" spans="1:32" ht="14.25">
      <c r="A7" s="1226" t="s">
        <v>4444</v>
      </c>
      <c r="B7" s="1227"/>
      <c r="C7" s="1227"/>
      <c r="D7" s="1227"/>
      <c r="E7" s="1227"/>
      <c r="F7" s="1227"/>
      <c r="G7" s="1227"/>
      <c r="H7" s="1227"/>
      <c r="I7" s="1227"/>
      <c r="J7" s="1227"/>
      <c r="K7" s="1227"/>
      <c r="L7" s="1227"/>
      <c r="M7" s="1227"/>
      <c r="N7" s="1228"/>
      <c r="O7" s="69"/>
      <c r="P7" s="69"/>
      <c r="Q7" s="69"/>
      <c r="R7" s="69"/>
      <c r="S7" s="69"/>
      <c r="T7" s="69"/>
      <c r="U7" s="69"/>
      <c r="V7" s="69"/>
      <c r="W7" s="69"/>
      <c r="X7" s="69"/>
      <c r="Y7" s="69"/>
      <c r="Z7" s="69"/>
      <c r="AA7" s="69"/>
      <c r="AB7" s="69"/>
      <c r="AC7" s="69"/>
      <c r="AD7" s="69"/>
      <c r="AE7" s="69"/>
      <c r="AF7" s="69"/>
    </row>
    <row r="8" spans="1:32" ht="88.5" customHeight="1">
      <c r="A8" s="1226" t="s">
        <v>4445</v>
      </c>
      <c r="B8" s="1227"/>
      <c r="C8" s="1227"/>
      <c r="D8" s="1227"/>
      <c r="E8" s="1227"/>
      <c r="F8" s="1227"/>
      <c r="G8" s="1227"/>
      <c r="H8" s="1227"/>
      <c r="I8" s="1227"/>
      <c r="J8" s="1227"/>
      <c r="K8" s="1227"/>
      <c r="L8" s="1227"/>
      <c r="M8" s="1227"/>
      <c r="N8" s="1228"/>
      <c r="O8" s="69"/>
      <c r="P8" s="69"/>
      <c r="Q8" s="69"/>
      <c r="R8" s="69"/>
      <c r="S8" s="69"/>
      <c r="T8" s="69"/>
      <c r="U8" s="69"/>
      <c r="V8" s="69"/>
      <c r="W8" s="69"/>
      <c r="X8" s="69"/>
      <c r="Y8" s="69"/>
      <c r="Z8" s="69"/>
      <c r="AA8" s="69"/>
      <c r="AB8" s="69"/>
      <c r="AC8" s="69"/>
      <c r="AD8" s="69"/>
      <c r="AE8" s="69"/>
      <c r="AF8" s="69"/>
    </row>
    <row r="9" spans="1:32" ht="14.25">
      <c r="A9" s="77"/>
      <c r="B9" s="78"/>
      <c r="C9" s="78"/>
      <c r="D9" s="77"/>
      <c r="E9" s="77"/>
      <c r="F9" s="77"/>
      <c r="G9" s="77"/>
      <c r="H9" s="77"/>
      <c r="I9" s="77"/>
      <c r="J9" s="77"/>
      <c r="K9" s="77"/>
      <c r="L9" s="77"/>
      <c r="M9" s="77"/>
      <c r="N9" s="77"/>
      <c r="O9" s="69"/>
      <c r="P9" s="69"/>
      <c r="Q9" s="69"/>
      <c r="R9" s="69"/>
      <c r="S9" s="69"/>
      <c r="T9" s="69"/>
      <c r="U9" s="69"/>
      <c r="V9" s="69"/>
      <c r="W9" s="69"/>
      <c r="X9" s="69"/>
      <c r="Y9" s="69"/>
      <c r="Z9" s="69"/>
      <c r="AA9" s="69"/>
      <c r="AB9" s="69"/>
      <c r="AC9" s="69"/>
      <c r="AD9" s="69"/>
      <c r="AE9" s="69"/>
      <c r="AF9" s="69"/>
    </row>
    <row r="10" spans="1:32" ht="51" customHeight="1">
      <c r="A10" s="350" t="s">
        <v>4446</v>
      </c>
      <c r="B10" s="350" t="s">
        <v>4447</v>
      </c>
      <c r="C10" s="81" t="s">
        <v>190</v>
      </c>
      <c r="D10" s="83" t="s">
        <v>7</v>
      </c>
      <c r="E10" s="376" t="s">
        <v>4448</v>
      </c>
      <c r="F10" s="350" t="s">
        <v>4449</v>
      </c>
      <c r="G10" s="83" t="s">
        <v>4450</v>
      </c>
      <c r="H10" s="82" t="s">
        <v>198</v>
      </c>
      <c r="I10" s="82" t="s">
        <v>4451</v>
      </c>
      <c r="J10" s="82" t="s">
        <v>203</v>
      </c>
      <c r="K10" s="82" t="s">
        <v>204</v>
      </c>
      <c r="L10" s="82" t="s">
        <v>205</v>
      </c>
      <c r="M10" s="81" t="s">
        <v>206</v>
      </c>
      <c r="N10" s="83" t="s">
        <v>210</v>
      </c>
      <c r="O10" s="336" t="s">
        <v>211</v>
      </c>
      <c r="P10" s="69"/>
      <c r="Q10" s="69"/>
      <c r="R10" s="69"/>
      <c r="S10" s="69"/>
      <c r="T10" s="69"/>
      <c r="U10" s="69"/>
      <c r="V10" s="69"/>
      <c r="W10" s="69"/>
      <c r="X10" s="69"/>
      <c r="Y10" s="69"/>
      <c r="Z10" s="69"/>
      <c r="AA10" s="69"/>
      <c r="AB10" s="69"/>
      <c r="AC10" s="69"/>
      <c r="AD10" s="69"/>
      <c r="AE10" s="69"/>
      <c r="AF10" s="69"/>
    </row>
    <row r="11" spans="1:32" ht="15" customHeight="1">
      <c r="A11" s="92" t="s">
        <v>4452</v>
      </c>
      <c r="B11" s="92" t="s">
        <v>4453</v>
      </c>
      <c r="C11" s="99" t="s">
        <v>4454</v>
      </c>
      <c r="D11" s="99" t="s">
        <v>51</v>
      </c>
      <c r="E11" s="99" t="s">
        <v>4455</v>
      </c>
      <c r="F11" s="92" t="s">
        <v>4456</v>
      </c>
      <c r="G11" s="92">
        <v>44935</v>
      </c>
      <c r="H11" s="92" t="s">
        <v>4457</v>
      </c>
      <c r="I11" s="100" t="s">
        <v>4458</v>
      </c>
      <c r="J11" s="188">
        <v>2</v>
      </c>
      <c r="K11" s="188">
        <v>2</v>
      </c>
      <c r="L11" s="188">
        <v>2</v>
      </c>
      <c r="M11" s="188">
        <v>100</v>
      </c>
      <c r="N11" s="114">
        <v>50</v>
      </c>
      <c r="O11" s="338" t="s">
        <v>1315</v>
      </c>
    </row>
    <row r="12" spans="1:32" ht="15" customHeight="1">
      <c r="A12" s="134" t="s">
        <v>4459</v>
      </c>
      <c r="B12" s="133" t="s">
        <v>4453</v>
      </c>
      <c r="C12" s="99" t="s">
        <v>4460</v>
      </c>
      <c r="D12" s="99" t="s">
        <v>51</v>
      </c>
      <c r="E12" s="99" t="s">
        <v>4461</v>
      </c>
      <c r="F12" s="99" t="s">
        <v>4462</v>
      </c>
      <c r="G12" s="100" t="s">
        <v>4463</v>
      </c>
      <c r="H12" s="100"/>
      <c r="I12" s="100"/>
      <c r="J12" s="188">
        <v>1</v>
      </c>
      <c r="K12" s="188">
        <v>1</v>
      </c>
      <c r="L12" s="188">
        <v>1</v>
      </c>
      <c r="M12" s="188">
        <v>50</v>
      </c>
      <c r="N12" s="114">
        <v>50</v>
      </c>
      <c r="O12" s="338" t="s">
        <v>1359</v>
      </c>
    </row>
    <row r="13" spans="1:32" ht="15" customHeight="1">
      <c r="A13" s="725" t="s">
        <v>4464</v>
      </c>
      <c r="B13" s="726" t="s">
        <v>4465</v>
      </c>
      <c r="C13" s="727" t="s">
        <v>4466</v>
      </c>
      <c r="D13" s="727" t="s">
        <v>51</v>
      </c>
      <c r="E13" s="728" t="s">
        <v>4467</v>
      </c>
      <c r="F13" s="729" t="s">
        <v>4468</v>
      </c>
      <c r="G13" s="100" t="s">
        <v>4469</v>
      </c>
      <c r="H13" s="100"/>
      <c r="I13" s="730" t="s">
        <v>4470</v>
      </c>
      <c r="J13" s="286">
        <v>2</v>
      </c>
      <c r="K13" s="286">
        <v>1</v>
      </c>
      <c r="L13" s="286">
        <v>2</v>
      </c>
      <c r="M13" s="286">
        <v>100</v>
      </c>
      <c r="N13" s="114">
        <v>50</v>
      </c>
      <c r="O13" s="338" t="s">
        <v>4471</v>
      </c>
    </row>
    <row r="14" spans="1:32" ht="15" customHeight="1">
      <c r="A14" s="731" t="s">
        <v>4472</v>
      </c>
      <c r="B14" s="726" t="s">
        <v>4465</v>
      </c>
      <c r="C14" s="732" t="s">
        <v>4473</v>
      </c>
      <c r="D14" s="727" t="s">
        <v>51</v>
      </c>
      <c r="E14" s="728" t="s">
        <v>4467</v>
      </c>
      <c r="F14" s="729" t="s">
        <v>4468</v>
      </c>
      <c r="G14" s="100" t="s">
        <v>4474</v>
      </c>
      <c r="H14" s="116"/>
      <c r="I14" s="730" t="s">
        <v>4470</v>
      </c>
      <c r="J14" s="116">
        <v>2</v>
      </c>
      <c r="K14" s="116">
        <v>1</v>
      </c>
      <c r="L14" s="116">
        <v>2</v>
      </c>
      <c r="M14" s="116">
        <v>100</v>
      </c>
      <c r="N14" s="114">
        <v>50</v>
      </c>
      <c r="O14" s="338" t="s">
        <v>4471</v>
      </c>
    </row>
    <row r="15" spans="1:32" ht="15" customHeight="1">
      <c r="A15" s="733" t="s">
        <v>4475</v>
      </c>
      <c r="B15" s="726" t="s">
        <v>4465</v>
      </c>
      <c r="C15" s="732" t="s">
        <v>4476</v>
      </c>
      <c r="D15" s="727" t="s">
        <v>51</v>
      </c>
      <c r="E15" s="728" t="s">
        <v>4467</v>
      </c>
      <c r="F15" s="729" t="s">
        <v>4468</v>
      </c>
      <c r="G15" s="100" t="s">
        <v>4477</v>
      </c>
      <c r="H15" s="100"/>
      <c r="I15" s="730" t="s">
        <v>4470</v>
      </c>
      <c r="J15" s="116">
        <v>1</v>
      </c>
      <c r="K15" s="116">
        <v>1</v>
      </c>
      <c r="L15" s="116">
        <v>1</v>
      </c>
      <c r="M15" s="116">
        <v>100</v>
      </c>
      <c r="N15" s="114">
        <v>100</v>
      </c>
      <c r="O15" s="338" t="s">
        <v>4471</v>
      </c>
    </row>
    <row r="16" spans="1:32" ht="15" customHeight="1">
      <c r="A16" s="729" t="s">
        <v>4478</v>
      </c>
      <c r="B16" s="726" t="s">
        <v>4465</v>
      </c>
      <c r="C16" s="727" t="s">
        <v>4476</v>
      </c>
      <c r="D16" s="727" t="s">
        <v>51</v>
      </c>
      <c r="E16" s="728" t="s">
        <v>4479</v>
      </c>
      <c r="F16" s="729" t="s">
        <v>4480</v>
      </c>
      <c r="G16" s="100" t="s">
        <v>4481</v>
      </c>
      <c r="H16" s="116"/>
      <c r="I16" s="730" t="s">
        <v>4482</v>
      </c>
      <c r="J16" s="116">
        <v>1</v>
      </c>
      <c r="K16" s="116">
        <v>1</v>
      </c>
      <c r="L16" s="116">
        <v>1</v>
      </c>
      <c r="M16" s="116">
        <v>100</v>
      </c>
      <c r="N16" s="114">
        <v>100</v>
      </c>
      <c r="O16" s="338" t="s">
        <v>4471</v>
      </c>
    </row>
    <row r="17" spans="1:15" ht="15" customHeight="1">
      <c r="A17" s="725" t="s">
        <v>4483</v>
      </c>
      <c r="B17" s="726" t="s">
        <v>4465</v>
      </c>
      <c r="C17" s="732" t="s">
        <v>4476</v>
      </c>
      <c r="D17" s="727" t="s">
        <v>51</v>
      </c>
      <c r="E17" s="727" t="s">
        <v>4479</v>
      </c>
      <c r="F17" s="734" t="s">
        <v>4480</v>
      </c>
      <c r="G17" s="100" t="s">
        <v>4484</v>
      </c>
      <c r="H17" s="116"/>
      <c r="I17" s="730" t="s">
        <v>4485</v>
      </c>
      <c r="J17" s="116">
        <v>1</v>
      </c>
      <c r="K17" s="116">
        <v>1</v>
      </c>
      <c r="L17" s="116">
        <v>1</v>
      </c>
      <c r="M17" s="116">
        <v>100</v>
      </c>
      <c r="N17" s="114">
        <v>100</v>
      </c>
      <c r="O17" s="338" t="s">
        <v>4471</v>
      </c>
    </row>
    <row r="18" spans="1:15" ht="15" customHeight="1">
      <c r="A18" s="134" t="s">
        <v>4486</v>
      </c>
      <c r="B18" s="133" t="s">
        <v>4453</v>
      </c>
      <c r="C18" s="99" t="s">
        <v>4487</v>
      </c>
      <c r="D18" s="99" t="s">
        <v>51</v>
      </c>
      <c r="E18" s="99" t="s">
        <v>4488</v>
      </c>
      <c r="F18" s="99" t="s">
        <v>4489</v>
      </c>
      <c r="G18" s="100" t="s">
        <v>4490</v>
      </c>
      <c r="H18" s="100"/>
      <c r="I18" s="100" t="s">
        <v>4491</v>
      </c>
      <c r="J18" s="188">
        <v>5</v>
      </c>
      <c r="K18" s="188">
        <v>1</v>
      </c>
      <c r="L18" s="188">
        <v>5</v>
      </c>
      <c r="M18" s="188">
        <v>100</v>
      </c>
      <c r="N18" s="114">
        <f>100/5</f>
        <v>20</v>
      </c>
      <c r="O18" s="338" t="s">
        <v>1869</v>
      </c>
    </row>
    <row r="19" spans="1:15" ht="15" customHeight="1">
      <c r="A19" s="134" t="s">
        <v>4492</v>
      </c>
      <c r="B19" s="133" t="s">
        <v>4465</v>
      </c>
      <c r="C19" s="99" t="s">
        <v>2203</v>
      </c>
      <c r="D19" s="99" t="s">
        <v>51</v>
      </c>
      <c r="E19" s="735" t="s">
        <v>4493</v>
      </c>
      <c r="F19" s="736" t="s">
        <v>4494</v>
      </c>
      <c r="G19" s="116" t="s">
        <v>4495</v>
      </c>
      <c r="H19" s="116" t="s">
        <v>4496</v>
      </c>
      <c r="I19" s="134" t="s">
        <v>4497</v>
      </c>
      <c r="J19" s="116">
        <v>1</v>
      </c>
      <c r="K19" s="116">
        <v>1</v>
      </c>
      <c r="L19" s="116">
        <v>1</v>
      </c>
      <c r="M19" s="116">
        <v>100</v>
      </c>
      <c r="N19" s="547">
        <v>100</v>
      </c>
      <c r="O19" s="338" t="s">
        <v>2207</v>
      </c>
    </row>
    <row r="20" spans="1:15" ht="15" customHeight="1">
      <c r="A20" s="134" t="s">
        <v>4498</v>
      </c>
      <c r="B20" s="133" t="s">
        <v>4499</v>
      </c>
      <c r="C20" s="99" t="s">
        <v>4500</v>
      </c>
      <c r="D20" s="99" t="s">
        <v>51</v>
      </c>
      <c r="E20" s="99" t="s">
        <v>4501</v>
      </c>
      <c r="F20" s="99" t="s">
        <v>4502</v>
      </c>
      <c r="G20" s="116"/>
      <c r="H20" s="116" t="s">
        <v>4503</v>
      </c>
      <c r="I20" s="116" t="s">
        <v>1338</v>
      </c>
      <c r="J20" s="188"/>
      <c r="K20" s="188"/>
      <c r="L20" s="188"/>
      <c r="M20" s="286">
        <v>50</v>
      </c>
      <c r="N20" s="114">
        <f t="shared" ref="N20:N29" si="0">M20</f>
        <v>50</v>
      </c>
      <c r="O20" s="338" t="s">
        <v>2260</v>
      </c>
    </row>
    <row r="21" spans="1:15" ht="15" customHeight="1">
      <c r="A21" s="134" t="s">
        <v>4504</v>
      </c>
      <c r="B21" s="133" t="s">
        <v>4499</v>
      </c>
      <c r="C21" s="99" t="s">
        <v>4505</v>
      </c>
      <c r="D21" s="99" t="s">
        <v>51</v>
      </c>
      <c r="E21" s="99" t="s">
        <v>4506</v>
      </c>
      <c r="F21" s="99" t="s">
        <v>336</v>
      </c>
      <c r="G21" s="100"/>
      <c r="H21" s="116" t="s">
        <v>4507</v>
      </c>
      <c r="I21" s="116" t="s">
        <v>1338</v>
      </c>
      <c r="J21" s="116"/>
      <c r="K21" s="116"/>
      <c r="L21" s="116"/>
      <c r="M21" s="286">
        <v>50</v>
      </c>
      <c r="N21" s="114">
        <f t="shared" si="0"/>
        <v>50</v>
      </c>
      <c r="O21" s="338" t="s">
        <v>2260</v>
      </c>
    </row>
    <row r="22" spans="1:15" ht="15" customHeight="1">
      <c r="A22" s="134" t="s">
        <v>4508</v>
      </c>
      <c r="B22" s="133" t="s">
        <v>4499</v>
      </c>
      <c r="C22" s="99" t="s">
        <v>4509</v>
      </c>
      <c r="D22" s="99" t="s">
        <v>51</v>
      </c>
      <c r="E22" s="99" t="s">
        <v>4510</v>
      </c>
      <c r="F22" s="99" t="s">
        <v>4511</v>
      </c>
      <c r="G22" s="100"/>
      <c r="H22" s="116" t="s">
        <v>4512</v>
      </c>
      <c r="I22" s="116" t="s">
        <v>1338</v>
      </c>
      <c r="J22" s="116"/>
      <c r="K22" s="116"/>
      <c r="L22" s="116"/>
      <c r="M22" s="286">
        <v>50</v>
      </c>
      <c r="N22" s="114">
        <f t="shared" si="0"/>
        <v>50</v>
      </c>
      <c r="O22" s="338" t="s">
        <v>2260</v>
      </c>
    </row>
    <row r="23" spans="1:15" ht="15" customHeight="1">
      <c r="A23" s="134" t="s">
        <v>4513</v>
      </c>
      <c r="B23" s="133" t="s">
        <v>4499</v>
      </c>
      <c r="C23" s="99" t="s">
        <v>4514</v>
      </c>
      <c r="D23" s="99" t="s">
        <v>51</v>
      </c>
      <c r="E23" s="99" t="s">
        <v>4515</v>
      </c>
      <c r="F23" s="99" t="s">
        <v>253</v>
      </c>
      <c r="G23" s="100"/>
      <c r="H23" s="116" t="s">
        <v>4516</v>
      </c>
      <c r="I23" s="116" t="s">
        <v>1338</v>
      </c>
      <c r="J23" s="116"/>
      <c r="K23" s="116"/>
      <c r="L23" s="116"/>
      <c r="M23" s="286">
        <v>50</v>
      </c>
      <c r="N23" s="114">
        <f t="shared" si="0"/>
        <v>50</v>
      </c>
      <c r="O23" s="338" t="s">
        <v>2260</v>
      </c>
    </row>
    <row r="24" spans="1:15" ht="15" customHeight="1">
      <c r="A24" s="134" t="s">
        <v>4517</v>
      </c>
      <c r="B24" s="133" t="s">
        <v>4499</v>
      </c>
      <c r="C24" s="99" t="s">
        <v>4518</v>
      </c>
      <c r="D24" s="99" t="s">
        <v>51</v>
      </c>
      <c r="E24" s="99" t="s">
        <v>4519</v>
      </c>
      <c r="F24" s="99" t="s">
        <v>253</v>
      </c>
      <c r="G24" s="100"/>
      <c r="H24" s="116" t="s">
        <v>4520</v>
      </c>
      <c r="I24" s="116" t="s">
        <v>1338</v>
      </c>
      <c r="J24" s="116"/>
      <c r="K24" s="116"/>
      <c r="L24" s="116"/>
      <c r="M24" s="286">
        <v>50</v>
      </c>
      <c r="N24" s="114">
        <f t="shared" si="0"/>
        <v>50</v>
      </c>
      <c r="O24" s="338" t="s">
        <v>2260</v>
      </c>
    </row>
    <row r="25" spans="1:15" ht="15" customHeight="1">
      <c r="A25" s="134" t="s">
        <v>4521</v>
      </c>
      <c r="B25" s="133" t="s">
        <v>4499</v>
      </c>
      <c r="C25" s="99" t="s">
        <v>4522</v>
      </c>
      <c r="D25" s="99" t="s">
        <v>51</v>
      </c>
      <c r="E25" s="99" t="s">
        <v>4523</v>
      </c>
      <c r="F25" s="99" t="s">
        <v>253</v>
      </c>
      <c r="G25" s="100"/>
      <c r="H25" s="116" t="s">
        <v>4524</v>
      </c>
      <c r="I25" s="116" t="s">
        <v>1338</v>
      </c>
      <c r="J25" s="116"/>
      <c r="K25" s="116"/>
      <c r="L25" s="116"/>
      <c r="M25" s="286">
        <v>50</v>
      </c>
      <c r="N25" s="114">
        <f t="shared" si="0"/>
        <v>50</v>
      </c>
      <c r="O25" s="338" t="s">
        <v>2260</v>
      </c>
    </row>
    <row r="26" spans="1:15" ht="15" customHeight="1">
      <c r="A26" s="134" t="s">
        <v>4525</v>
      </c>
      <c r="B26" s="133" t="s">
        <v>4499</v>
      </c>
      <c r="C26" s="99" t="s">
        <v>4526</v>
      </c>
      <c r="D26" s="99" t="s">
        <v>51</v>
      </c>
      <c r="E26" s="99" t="s">
        <v>4527</v>
      </c>
      <c r="F26" s="99" t="s">
        <v>235</v>
      </c>
      <c r="G26" s="100"/>
      <c r="H26" s="116" t="s">
        <v>4528</v>
      </c>
      <c r="I26" s="116" t="s">
        <v>1338</v>
      </c>
      <c r="J26" s="116"/>
      <c r="K26" s="116"/>
      <c r="L26" s="116"/>
      <c r="M26" s="286">
        <v>50</v>
      </c>
      <c r="N26" s="114">
        <f t="shared" si="0"/>
        <v>50</v>
      </c>
      <c r="O26" s="338" t="s">
        <v>2260</v>
      </c>
    </row>
    <row r="27" spans="1:15" ht="15" customHeight="1">
      <c r="A27" s="134" t="s">
        <v>4529</v>
      </c>
      <c r="B27" s="133" t="s">
        <v>4499</v>
      </c>
      <c r="C27" s="99" t="s">
        <v>4530</v>
      </c>
      <c r="D27" s="99" t="s">
        <v>51</v>
      </c>
      <c r="E27" s="99" t="s">
        <v>4531</v>
      </c>
      <c r="F27" s="99" t="s">
        <v>734</v>
      </c>
      <c r="G27" s="100"/>
      <c r="H27" s="116" t="s">
        <v>4532</v>
      </c>
      <c r="I27" s="116" t="s">
        <v>1338</v>
      </c>
      <c r="J27" s="116"/>
      <c r="K27" s="116"/>
      <c r="L27" s="116"/>
      <c r="M27" s="286">
        <v>50</v>
      </c>
      <c r="N27" s="114">
        <f t="shared" si="0"/>
        <v>50</v>
      </c>
      <c r="O27" s="338" t="s">
        <v>2260</v>
      </c>
    </row>
    <row r="28" spans="1:15" ht="15" customHeight="1">
      <c r="A28" s="302" t="s">
        <v>4533</v>
      </c>
      <c r="B28" s="133" t="s">
        <v>4499</v>
      </c>
      <c r="C28" s="99" t="s">
        <v>4534</v>
      </c>
      <c r="D28" s="99" t="s">
        <v>51</v>
      </c>
      <c r="E28" s="99" t="s">
        <v>4535</v>
      </c>
      <c r="F28" s="99" t="s">
        <v>336</v>
      </c>
      <c r="G28" s="100"/>
      <c r="H28" s="100" t="s">
        <v>4536</v>
      </c>
      <c r="I28" s="116" t="s">
        <v>1338</v>
      </c>
      <c r="J28" s="100"/>
      <c r="K28" s="100"/>
      <c r="L28" s="100"/>
      <c r="M28" s="286">
        <v>50</v>
      </c>
      <c r="N28" s="114">
        <f t="shared" si="0"/>
        <v>50</v>
      </c>
      <c r="O28" s="338" t="s">
        <v>2260</v>
      </c>
    </row>
    <row r="29" spans="1:15" ht="15" customHeight="1">
      <c r="A29" s="134" t="s">
        <v>4537</v>
      </c>
      <c r="B29" s="133" t="s">
        <v>4499</v>
      </c>
      <c r="C29" s="99" t="s">
        <v>4538</v>
      </c>
      <c r="D29" s="99" t="s">
        <v>51</v>
      </c>
      <c r="E29" s="99" t="s">
        <v>4539</v>
      </c>
      <c r="F29" s="99" t="s">
        <v>4540</v>
      </c>
      <c r="G29" s="100"/>
      <c r="H29" s="116" t="s">
        <v>4541</v>
      </c>
      <c r="I29" s="116" t="s">
        <v>1338</v>
      </c>
      <c r="J29" s="116"/>
      <c r="K29" s="116"/>
      <c r="L29" s="116"/>
      <c r="M29" s="116">
        <v>50</v>
      </c>
      <c r="N29" s="114">
        <f t="shared" si="0"/>
        <v>50</v>
      </c>
      <c r="O29" s="338" t="s">
        <v>2260</v>
      </c>
    </row>
    <row r="30" spans="1:15" ht="15" customHeight="1">
      <c r="A30" s="451" t="s">
        <v>4542</v>
      </c>
      <c r="B30" s="451" t="s">
        <v>4453</v>
      </c>
      <c r="C30" s="162" t="s">
        <v>4543</v>
      </c>
      <c r="D30" s="162" t="s">
        <v>51</v>
      </c>
      <c r="E30" s="162" t="s">
        <v>4544</v>
      </c>
      <c r="F30" s="162" t="s">
        <v>4545</v>
      </c>
      <c r="G30" s="737" t="s">
        <v>4546</v>
      </c>
      <c r="H30" s="738" t="s">
        <v>4547</v>
      </c>
      <c r="I30" s="31"/>
      <c r="J30" s="739">
        <v>2</v>
      </c>
      <c r="K30" s="740">
        <v>2</v>
      </c>
      <c r="L30" s="740">
        <v>2</v>
      </c>
      <c r="M30" s="740">
        <v>100</v>
      </c>
      <c r="N30" s="456">
        <v>50</v>
      </c>
      <c r="O30" s="338" t="s">
        <v>2372</v>
      </c>
    </row>
    <row r="31" spans="1:15" ht="15" customHeight="1">
      <c r="A31" s="451" t="s">
        <v>4548</v>
      </c>
      <c r="B31" s="451" t="s">
        <v>4453</v>
      </c>
      <c r="C31" s="162" t="s">
        <v>4549</v>
      </c>
      <c r="D31" s="162" t="s">
        <v>51</v>
      </c>
      <c r="E31" s="162" t="s">
        <v>4550</v>
      </c>
      <c r="F31" s="162" t="s">
        <v>4551</v>
      </c>
      <c r="G31" s="737" t="s">
        <v>4552</v>
      </c>
      <c r="H31" s="738" t="s">
        <v>4553</v>
      </c>
      <c r="I31" s="31"/>
      <c r="J31" s="739">
        <v>1</v>
      </c>
      <c r="K31" s="740">
        <v>1</v>
      </c>
      <c r="L31" s="740">
        <v>2</v>
      </c>
      <c r="M31" s="740">
        <v>100</v>
      </c>
      <c r="N31" s="456">
        <v>100</v>
      </c>
      <c r="O31" s="338" t="s">
        <v>2372</v>
      </c>
    </row>
    <row r="32" spans="1:15" ht="15" customHeight="1">
      <c r="A32" s="134" t="s">
        <v>4554</v>
      </c>
      <c r="B32" s="133" t="s">
        <v>4465</v>
      </c>
      <c r="C32" s="99" t="s">
        <v>4555</v>
      </c>
      <c r="D32" s="99" t="s">
        <v>51</v>
      </c>
      <c r="E32" s="99" t="s">
        <v>4556</v>
      </c>
      <c r="F32" s="99"/>
      <c r="G32" s="100"/>
      <c r="H32" s="407" t="s">
        <v>4557</v>
      </c>
      <c r="I32" s="100" t="s">
        <v>4558</v>
      </c>
      <c r="J32" s="188">
        <v>1</v>
      </c>
      <c r="K32" s="188">
        <v>1</v>
      </c>
      <c r="L32" s="188">
        <v>6</v>
      </c>
      <c r="M32" s="188">
        <v>50</v>
      </c>
      <c r="N32" s="114">
        <v>50</v>
      </c>
      <c r="O32" s="338" t="s">
        <v>510</v>
      </c>
    </row>
    <row r="33" spans="1:15" ht="15" customHeight="1">
      <c r="A33" s="459" t="s">
        <v>4559</v>
      </c>
      <c r="B33" s="162" t="s">
        <v>4453</v>
      </c>
      <c r="C33" s="162" t="s">
        <v>4560</v>
      </c>
      <c r="D33" s="162" t="s">
        <v>51</v>
      </c>
      <c r="E33" s="99" t="s">
        <v>4561</v>
      </c>
      <c r="F33" s="162" t="s">
        <v>4562</v>
      </c>
      <c r="G33" s="737" t="s">
        <v>4563</v>
      </c>
      <c r="H33" s="404" t="s">
        <v>4564</v>
      </c>
      <c r="I33" s="100"/>
      <c r="J33" s="740">
        <v>1</v>
      </c>
      <c r="K33" s="740">
        <v>1</v>
      </c>
      <c r="L33" s="740">
        <v>1</v>
      </c>
      <c r="M33" s="741">
        <v>100</v>
      </c>
      <c r="N33" s="456">
        <v>100</v>
      </c>
      <c r="O33" s="338" t="s">
        <v>4565</v>
      </c>
    </row>
    <row r="34" spans="1:15" ht="15" customHeight="1">
      <c r="A34" s="459" t="s">
        <v>4566</v>
      </c>
      <c r="B34" s="162" t="s">
        <v>4453</v>
      </c>
      <c r="C34" s="162" t="s">
        <v>4560</v>
      </c>
      <c r="D34" s="162" t="s">
        <v>51</v>
      </c>
      <c r="E34" s="99" t="s">
        <v>4561</v>
      </c>
      <c r="F34" s="162" t="s">
        <v>4562</v>
      </c>
      <c r="G34" s="737" t="s">
        <v>4567</v>
      </c>
      <c r="H34" s="404" t="s">
        <v>4568</v>
      </c>
      <c r="I34" s="737"/>
      <c r="J34" s="737">
        <v>1</v>
      </c>
      <c r="K34" s="737">
        <v>1</v>
      </c>
      <c r="L34" s="737">
        <v>1</v>
      </c>
      <c r="M34" s="741">
        <v>100</v>
      </c>
      <c r="N34" s="456">
        <v>100</v>
      </c>
      <c r="O34" s="338" t="s">
        <v>4565</v>
      </c>
    </row>
    <row r="35" spans="1:15" ht="15" customHeight="1">
      <c r="A35" s="459" t="s">
        <v>4569</v>
      </c>
      <c r="B35" s="162" t="s">
        <v>4453</v>
      </c>
      <c r="C35" s="162" t="s">
        <v>4570</v>
      </c>
      <c r="D35" s="162" t="s">
        <v>51</v>
      </c>
      <c r="E35" s="162" t="s">
        <v>4571</v>
      </c>
      <c r="F35" s="162" t="s">
        <v>4572</v>
      </c>
      <c r="G35" s="737" t="s">
        <v>4573</v>
      </c>
      <c r="H35" s="404" t="s">
        <v>4574</v>
      </c>
      <c r="I35" s="100"/>
      <c r="J35" s="737">
        <v>2</v>
      </c>
      <c r="K35" s="737">
        <v>2</v>
      </c>
      <c r="L35" s="737">
        <v>2</v>
      </c>
      <c r="M35" s="737">
        <v>100</v>
      </c>
      <c r="N35" s="456">
        <v>50</v>
      </c>
      <c r="O35" s="338" t="s">
        <v>4565</v>
      </c>
    </row>
    <row r="36" spans="1:15" ht="15" customHeight="1">
      <c r="A36" s="459" t="s">
        <v>4575</v>
      </c>
      <c r="B36" s="162" t="s">
        <v>4453</v>
      </c>
      <c r="C36" s="162" t="s">
        <v>4576</v>
      </c>
      <c r="D36" s="162" t="s">
        <v>51</v>
      </c>
      <c r="E36" s="162" t="s">
        <v>4571</v>
      </c>
      <c r="F36" s="162" t="s">
        <v>4572</v>
      </c>
      <c r="G36" s="737" t="s">
        <v>4577</v>
      </c>
      <c r="H36" s="404" t="s">
        <v>4578</v>
      </c>
      <c r="I36" s="116"/>
      <c r="J36" s="737">
        <v>2</v>
      </c>
      <c r="K36" s="737">
        <v>2</v>
      </c>
      <c r="L36" s="737">
        <v>2</v>
      </c>
      <c r="M36" s="737">
        <v>100</v>
      </c>
      <c r="N36" s="456">
        <v>50</v>
      </c>
      <c r="O36" s="338" t="s">
        <v>4565</v>
      </c>
    </row>
    <row r="37" spans="1:15" ht="15" customHeight="1">
      <c r="A37" s="134" t="s">
        <v>4452</v>
      </c>
      <c r="B37" s="133" t="s">
        <v>4453</v>
      </c>
      <c r="C37" s="99" t="s">
        <v>4454</v>
      </c>
      <c r="D37" s="99" t="s">
        <v>401</v>
      </c>
      <c r="E37" s="99" t="s">
        <v>4455</v>
      </c>
      <c r="F37" s="99" t="s">
        <v>4456</v>
      </c>
      <c r="G37" s="100">
        <v>44935</v>
      </c>
      <c r="H37" s="100" t="s">
        <v>4457</v>
      </c>
      <c r="I37" s="100" t="s">
        <v>4458</v>
      </c>
      <c r="J37" s="188">
        <v>2</v>
      </c>
      <c r="K37" s="188">
        <v>2</v>
      </c>
      <c r="L37" s="188">
        <v>2</v>
      </c>
      <c r="M37" s="188">
        <v>100</v>
      </c>
      <c r="N37" s="114">
        <v>50</v>
      </c>
      <c r="O37" s="338" t="s">
        <v>2514</v>
      </c>
    </row>
    <row r="38" spans="1:15" ht="15" customHeight="1">
      <c r="A38" s="134" t="s">
        <v>4579</v>
      </c>
      <c r="B38" s="133" t="s">
        <v>4453</v>
      </c>
      <c r="C38" s="99" t="s">
        <v>4580</v>
      </c>
      <c r="D38" s="99" t="s">
        <v>51</v>
      </c>
      <c r="E38" s="99" t="s">
        <v>4581</v>
      </c>
      <c r="F38" s="99" t="s">
        <v>4582</v>
      </c>
      <c r="G38" s="116" t="s">
        <v>4583</v>
      </c>
      <c r="H38" s="116" t="s">
        <v>4584</v>
      </c>
      <c r="I38" s="116" t="s">
        <v>4585</v>
      </c>
      <c r="J38" s="286">
        <v>3</v>
      </c>
      <c r="K38" s="188">
        <v>1</v>
      </c>
      <c r="L38" s="286">
        <v>3</v>
      </c>
      <c r="M38" s="286">
        <v>100</v>
      </c>
      <c r="N38" s="114">
        <f t="shared" ref="N38:N41" si="1">100/3</f>
        <v>33.333333333333336</v>
      </c>
      <c r="O38" s="338" t="s">
        <v>608</v>
      </c>
    </row>
    <row r="39" spans="1:15" ht="15" customHeight="1">
      <c r="A39" s="134" t="s">
        <v>4586</v>
      </c>
      <c r="B39" s="133" t="s">
        <v>4453</v>
      </c>
      <c r="C39" s="99" t="s">
        <v>4587</v>
      </c>
      <c r="D39" s="99" t="s">
        <v>51</v>
      </c>
      <c r="E39" s="99" t="s">
        <v>4581</v>
      </c>
      <c r="F39" s="99" t="s">
        <v>4588</v>
      </c>
      <c r="G39" s="116" t="s">
        <v>4589</v>
      </c>
      <c r="H39" s="116" t="s">
        <v>4590</v>
      </c>
      <c r="I39" s="116" t="s">
        <v>4585</v>
      </c>
      <c r="J39" s="116">
        <v>3</v>
      </c>
      <c r="K39" s="116">
        <v>1</v>
      </c>
      <c r="L39" s="116">
        <v>3</v>
      </c>
      <c r="M39" s="116">
        <v>100</v>
      </c>
      <c r="N39" s="114">
        <f t="shared" si="1"/>
        <v>33.333333333333336</v>
      </c>
      <c r="O39" s="338" t="s">
        <v>608</v>
      </c>
    </row>
    <row r="40" spans="1:15" ht="15" customHeight="1">
      <c r="A40" s="134" t="s">
        <v>4591</v>
      </c>
      <c r="B40" s="133" t="s">
        <v>4453</v>
      </c>
      <c r="C40" s="99" t="s">
        <v>4592</v>
      </c>
      <c r="D40" s="99" t="s">
        <v>51</v>
      </c>
      <c r="E40" s="99" t="s">
        <v>4593</v>
      </c>
      <c r="F40" s="99" t="s">
        <v>4594</v>
      </c>
      <c r="G40" s="238" t="s">
        <v>4595</v>
      </c>
      <c r="H40" s="116" t="s">
        <v>588</v>
      </c>
      <c r="I40" s="116" t="s">
        <v>4585</v>
      </c>
      <c r="J40" s="116">
        <v>3</v>
      </c>
      <c r="K40" s="116">
        <v>1</v>
      </c>
      <c r="L40" s="116">
        <v>3</v>
      </c>
      <c r="M40" s="116">
        <v>100</v>
      </c>
      <c r="N40" s="114">
        <f t="shared" si="1"/>
        <v>33.333333333333336</v>
      </c>
      <c r="O40" s="338" t="s">
        <v>608</v>
      </c>
    </row>
    <row r="41" spans="1:15" ht="15" customHeight="1">
      <c r="A41" s="134" t="s">
        <v>4596</v>
      </c>
      <c r="B41" s="133" t="s">
        <v>4453</v>
      </c>
      <c r="C41" s="99" t="s">
        <v>4597</v>
      </c>
      <c r="D41" s="99" t="s">
        <v>51</v>
      </c>
      <c r="E41" s="99" t="s">
        <v>4593</v>
      </c>
      <c r="F41" s="99" t="s">
        <v>4594</v>
      </c>
      <c r="G41" s="238" t="s">
        <v>4598</v>
      </c>
      <c r="H41" s="116" t="s">
        <v>588</v>
      </c>
      <c r="I41" s="116" t="s">
        <v>4585</v>
      </c>
      <c r="J41" s="116">
        <v>3</v>
      </c>
      <c r="K41" s="116">
        <v>1</v>
      </c>
      <c r="L41" s="116">
        <v>3</v>
      </c>
      <c r="M41" s="116">
        <v>100</v>
      </c>
      <c r="N41" s="114">
        <f t="shared" si="1"/>
        <v>33.333333333333336</v>
      </c>
      <c r="O41" s="338" t="s">
        <v>608</v>
      </c>
    </row>
    <row r="42" spans="1:15" ht="15" customHeight="1">
      <c r="A42" s="134" t="s">
        <v>4599</v>
      </c>
      <c r="B42" s="133" t="s">
        <v>4453</v>
      </c>
      <c r="C42" s="99" t="s">
        <v>4600</v>
      </c>
      <c r="D42" s="99" t="s">
        <v>51</v>
      </c>
      <c r="E42" s="99" t="s">
        <v>4601</v>
      </c>
      <c r="F42" s="99" t="s">
        <v>4602</v>
      </c>
      <c r="G42" s="116" t="s">
        <v>4603</v>
      </c>
      <c r="H42" s="407"/>
      <c r="I42" s="116" t="s">
        <v>4585</v>
      </c>
      <c r="J42" s="116">
        <v>2</v>
      </c>
      <c r="K42" s="100">
        <v>1</v>
      </c>
      <c r="L42" s="116">
        <v>2</v>
      </c>
      <c r="M42" s="116">
        <v>100</v>
      </c>
      <c r="N42" s="114">
        <f>100/2</f>
        <v>50</v>
      </c>
      <c r="O42" s="338" t="s">
        <v>608</v>
      </c>
    </row>
    <row r="43" spans="1:15" ht="15" customHeight="1">
      <c r="A43" s="134" t="s">
        <v>4604</v>
      </c>
      <c r="B43" s="133" t="s">
        <v>4453</v>
      </c>
      <c r="C43" s="99" t="s">
        <v>4605</v>
      </c>
      <c r="D43" s="99" t="s">
        <v>51</v>
      </c>
      <c r="E43" s="99" t="s">
        <v>4601</v>
      </c>
      <c r="F43" s="99" t="s">
        <v>4606</v>
      </c>
      <c r="G43" s="116" t="s">
        <v>4607</v>
      </c>
      <c r="H43" s="407"/>
      <c r="I43" s="116" t="s">
        <v>4585</v>
      </c>
      <c r="J43" s="116">
        <v>3</v>
      </c>
      <c r="K43" s="116">
        <v>1</v>
      </c>
      <c r="L43" s="116">
        <v>3</v>
      </c>
      <c r="M43" s="116">
        <v>100</v>
      </c>
      <c r="N43" s="114">
        <f>100/3</f>
        <v>33.333333333333336</v>
      </c>
      <c r="O43" s="338" t="s">
        <v>608</v>
      </c>
    </row>
    <row r="44" spans="1:15" ht="15" customHeight="1">
      <c r="A44" s="134" t="s">
        <v>4608</v>
      </c>
      <c r="B44" s="133" t="s">
        <v>4453</v>
      </c>
      <c r="C44" s="99" t="s">
        <v>4609</v>
      </c>
      <c r="D44" s="99" t="s">
        <v>51</v>
      </c>
      <c r="E44" s="99" t="s">
        <v>4610</v>
      </c>
      <c r="F44" s="99" t="s">
        <v>4611</v>
      </c>
      <c r="G44" s="238" t="s">
        <v>247</v>
      </c>
      <c r="H44" s="407"/>
      <c r="I44" s="116" t="s">
        <v>4585</v>
      </c>
      <c r="J44" s="116">
        <v>2</v>
      </c>
      <c r="K44" s="116">
        <v>1</v>
      </c>
      <c r="L44" s="116">
        <v>2</v>
      </c>
      <c r="M44" s="116">
        <v>100</v>
      </c>
      <c r="N44" s="114">
        <f t="shared" ref="N44:N45" si="2">100/2</f>
        <v>50</v>
      </c>
      <c r="O44" s="338" t="s">
        <v>608</v>
      </c>
    </row>
    <row r="45" spans="1:15" ht="15" customHeight="1">
      <c r="A45" s="134" t="s">
        <v>4612</v>
      </c>
      <c r="B45" s="133" t="s">
        <v>4453</v>
      </c>
      <c r="C45" s="99" t="s">
        <v>4613</v>
      </c>
      <c r="D45" s="99" t="s">
        <v>51</v>
      </c>
      <c r="E45" s="99" t="s">
        <v>4601</v>
      </c>
      <c r="F45" s="99" t="s">
        <v>4602</v>
      </c>
      <c r="G45" s="116" t="s">
        <v>4614</v>
      </c>
      <c r="H45" s="116"/>
      <c r="I45" s="116" t="s">
        <v>4585</v>
      </c>
      <c r="J45" s="116">
        <v>2</v>
      </c>
      <c r="K45" s="116">
        <v>1</v>
      </c>
      <c r="L45" s="116">
        <v>2</v>
      </c>
      <c r="M45" s="116">
        <v>100</v>
      </c>
      <c r="N45" s="114">
        <f t="shared" si="2"/>
        <v>50</v>
      </c>
      <c r="O45" s="338" t="s">
        <v>608</v>
      </c>
    </row>
    <row r="46" spans="1:15" ht="15" customHeight="1">
      <c r="A46" s="134" t="s">
        <v>4615</v>
      </c>
      <c r="B46" s="133" t="s">
        <v>4453</v>
      </c>
      <c r="C46" s="99" t="s">
        <v>4616</v>
      </c>
      <c r="D46" s="99" t="s">
        <v>51</v>
      </c>
      <c r="E46" s="99" t="s">
        <v>4617</v>
      </c>
      <c r="F46" s="99" t="s">
        <v>4572</v>
      </c>
      <c r="G46" s="100" t="s">
        <v>4573</v>
      </c>
      <c r="H46" s="100" t="s">
        <v>4618</v>
      </c>
      <c r="I46" s="100" t="s">
        <v>4619</v>
      </c>
      <c r="J46" s="188">
        <v>2</v>
      </c>
      <c r="K46" s="188">
        <v>2</v>
      </c>
      <c r="L46" s="188">
        <v>4</v>
      </c>
      <c r="M46" s="188">
        <v>100</v>
      </c>
      <c r="N46" s="114">
        <f t="shared" ref="N46:N49" si="3">M46/J46</f>
        <v>50</v>
      </c>
      <c r="O46" s="338" t="s">
        <v>2783</v>
      </c>
    </row>
    <row r="47" spans="1:15" ht="15" customHeight="1">
      <c r="A47" s="134" t="s">
        <v>4620</v>
      </c>
      <c r="B47" s="133" t="s">
        <v>4453</v>
      </c>
      <c r="C47" s="99" t="s">
        <v>4621</v>
      </c>
      <c r="D47" s="99" t="s">
        <v>51</v>
      </c>
      <c r="E47" s="99" t="s">
        <v>4617</v>
      </c>
      <c r="F47" s="99" t="s">
        <v>4572</v>
      </c>
      <c r="G47" s="100" t="s">
        <v>4577</v>
      </c>
      <c r="H47" s="100" t="s">
        <v>4622</v>
      </c>
      <c r="I47" s="100" t="s">
        <v>4619</v>
      </c>
      <c r="J47" s="188">
        <v>2</v>
      </c>
      <c r="K47" s="188">
        <v>2</v>
      </c>
      <c r="L47" s="188">
        <v>4</v>
      </c>
      <c r="M47" s="188">
        <v>100</v>
      </c>
      <c r="N47" s="114">
        <f t="shared" si="3"/>
        <v>50</v>
      </c>
      <c r="O47" s="338" t="s">
        <v>2783</v>
      </c>
    </row>
    <row r="48" spans="1:15" ht="15" customHeight="1">
      <c r="A48" s="134" t="s">
        <v>4623</v>
      </c>
      <c r="B48" s="133" t="s">
        <v>4453</v>
      </c>
      <c r="C48" s="99" t="s">
        <v>4624</v>
      </c>
      <c r="D48" s="99" t="s">
        <v>51</v>
      </c>
      <c r="E48" s="99" t="s">
        <v>4625</v>
      </c>
      <c r="F48" s="99" t="s">
        <v>4626</v>
      </c>
      <c r="G48" s="100" t="s">
        <v>4627</v>
      </c>
      <c r="H48" s="100"/>
      <c r="I48" s="407" t="s">
        <v>4628</v>
      </c>
      <c r="J48" s="100">
        <v>1</v>
      </c>
      <c r="K48" s="100">
        <v>1</v>
      </c>
      <c r="L48" s="100">
        <v>3</v>
      </c>
      <c r="M48" s="100">
        <v>50</v>
      </c>
      <c r="N48" s="114">
        <f t="shared" si="3"/>
        <v>50</v>
      </c>
      <c r="O48" s="338" t="s">
        <v>2783</v>
      </c>
    </row>
    <row r="49" spans="1:32" ht="15" customHeight="1">
      <c r="A49" s="134" t="s">
        <v>4629</v>
      </c>
      <c r="B49" s="133" t="s">
        <v>4453</v>
      </c>
      <c r="C49" s="99" t="s">
        <v>4630</v>
      </c>
      <c r="D49" s="99" t="s">
        <v>51</v>
      </c>
      <c r="E49" s="99" t="s">
        <v>4625</v>
      </c>
      <c r="F49" s="99" t="s">
        <v>4626</v>
      </c>
      <c r="G49" s="100" t="s">
        <v>4631</v>
      </c>
      <c r="H49" s="116"/>
      <c r="I49" s="407" t="s">
        <v>4628</v>
      </c>
      <c r="J49" s="116">
        <v>1</v>
      </c>
      <c r="K49" s="116">
        <v>1</v>
      </c>
      <c r="L49" s="116">
        <v>2</v>
      </c>
      <c r="M49" s="116">
        <v>50</v>
      </c>
      <c r="N49" s="114">
        <f t="shared" si="3"/>
        <v>50</v>
      </c>
      <c r="O49" s="338" t="s">
        <v>2783</v>
      </c>
    </row>
    <row r="50" spans="1:32" ht="51" customHeight="1">
      <c r="A50" s="134" t="s">
        <v>4632</v>
      </c>
      <c r="B50" s="99" t="s">
        <v>4453</v>
      </c>
      <c r="C50" s="110" t="s">
        <v>722</v>
      </c>
      <c r="D50" s="108" t="s">
        <v>141</v>
      </c>
      <c r="E50" s="108" t="s">
        <v>4633</v>
      </c>
      <c r="F50" s="108" t="s">
        <v>4634</v>
      </c>
      <c r="G50" s="238" t="s">
        <v>4635</v>
      </c>
      <c r="H50" s="94" t="s">
        <v>4636</v>
      </c>
      <c r="I50" s="94" t="s">
        <v>4637</v>
      </c>
      <c r="J50" s="99">
        <v>1</v>
      </c>
      <c r="K50" s="100">
        <v>1</v>
      </c>
      <c r="L50" s="100">
        <v>1</v>
      </c>
      <c r="M50" s="188">
        <v>100</v>
      </c>
      <c r="N50" s="114">
        <v>100</v>
      </c>
      <c r="O50" s="336" t="s">
        <v>730</v>
      </c>
      <c r="P50" s="69"/>
      <c r="Q50" s="69"/>
      <c r="R50" s="69"/>
      <c r="S50" s="69"/>
      <c r="T50" s="69"/>
      <c r="U50" s="69"/>
      <c r="V50" s="69"/>
      <c r="W50" s="69"/>
      <c r="X50" s="69"/>
      <c r="Y50" s="69"/>
      <c r="Z50" s="69"/>
      <c r="AA50" s="69"/>
      <c r="AB50" s="69"/>
      <c r="AC50" s="69"/>
      <c r="AD50" s="69"/>
      <c r="AE50" s="69"/>
      <c r="AF50" s="69"/>
    </row>
    <row r="51" spans="1:32" ht="51" customHeight="1">
      <c r="A51" s="134" t="s">
        <v>4638</v>
      </c>
      <c r="B51" s="99" t="s">
        <v>4453</v>
      </c>
      <c r="C51" s="133" t="s">
        <v>4639</v>
      </c>
      <c r="D51" s="99" t="s">
        <v>141</v>
      </c>
      <c r="E51" s="99" t="s">
        <v>4640</v>
      </c>
      <c r="F51" s="99" t="s">
        <v>4641</v>
      </c>
      <c r="G51" s="742" t="s">
        <v>4642</v>
      </c>
      <c r="H51" s="100" t="s">
        <v>4643</v>
      </c>
      <c r="I51" s="100" t="s">
        <v>4644</v>
      </c>
      <c r="J51" s="188">
        <v>5</v>
      </c>
      <c r="K51" s="188">
        <v>5</v>
      </c>
      <c r="L51" s="188">
        <v>5</v>
      </c>
      <c r="M51" s="188">
        <v>100</v>
      </c>
      <c r="N51" s="114">
        <v>20</v>
      </c>
      <c r="O51" s="336" t="s">
        <v>2962</v>
      </c>
      <c r="P51" s="69"/>
      <c r="Q51" s="69"/>
      <c r="R51" s="69"/>
      <c r="S51" s="69"/>
      <c r="T51" s="69"/>
      <c r="U51" s="69"/>
      <c r="V51" s="69"/>
      <c r="W51" s="69"/>
      <c r="X51" s="69"/>
      <c r="Y51" s="69"/>
      <c r="Z51" s="69"/>
      <c r="AA51" s="69"/>
      <c r="AB51" s="69"/>
      <c r="AC51" s="69"/>
      <c r="AD51" s="69"/>
      <c r="AE51" s="69"/>
      <c r="AF51" s="69"/>
    </row>
    <row r="52" spans="1:32" ht="51" customHeight="1">
      <c r="A52" s="134" t="s">
        <v>4645</v>
      </c>
      <c r="B52" s="133" t="s">
        <v>4453</v>
      </c>
      <c r="C52" s="99" t="s">
        <v>4646</v>
      </c>
      <c r="D52" s="99" t="s">
        <v>141</v>
      </c>
      <c r="E52" s="99" t="s">
        <v>4647</v>
      </c>
      <c r="F52" s="99" t="s">
        <v>4648</v>
      </c>
      <c r="G52" s="100" t="s">
        <v>4649</v>
      </c>
      <c r="H52" s="100"/>
      <c r="I52" s="100" t="s">
        <v>4650</v>
      </c>
      <c r="J52" s="188">
        <v>1</v>
      </c>
      <c r="K52" s="188">
        <v>1</v>
      </c>
      <c r="L52" s="188">
        <v>1</v>
      </c>
      <c r="M52" s="188">
        <v>100</v>
      </c>
      <c r="N52" s="114">
        <v>100</v>
      </c>
      <c r="O52" s="336" t="str">
        <f>C52</f>
        <v>Craciunas Gabriela (ULBS)</v>
      </c>
      <c r="P52" s="69"/>
      <c r="Q52" s="69"/>
      <c r="R52" s="69"/>
      <c r="S52" s="69"/>
      <c r="T52" s="69"/>
      <c r="U52" s="69"/>
      <c r="V52" s="69"/>
      <c r="W52" s="69"/>
      <c r="X52" s="69"/>
      <c r="Y52" s="69"/>
      <c r="Z52" s="69"/>
      <c r="AA52" s="69"/>
      <c r="AB52" s="69"/>
      <c r="AC52" s="69"/>
      <c r="AD52" s="69"/>
      <c r="AE52" s="69"/>
      <c r="AF52" s="69"/>
    </row>
    <row r="53" spans="1:32" ht="51" customHeight="1">
      <c r="A53" s="134" t="s">
        <v>4638</v>
      </c>
      <c r="B53" s="99" t="s">
        <v>4453</v>
      </c>
      <c r="C53" s="133" t="s">
        <v>4639</v>
      </c>
      <c r="D53" s="99" t="s">
        <v>141</v>
      </c>
      <c r="E53" s="99" t="s">
        <v>4640</v>
      </c>
      <c r="F53" s="99" t="s">
        <v>4641</v>
      </c>
      <c r="G53" s="742" t="s">
        <v>4642</v>
      </c>
      <c r="H53" s="100" t="s">
        <v>4643</v>
      </c>
      <c r="I53" s="100" t="s">
        <v>4644</v>
      </c>
      <c r="J53" s="188">
        <v>5</v>
      </c>
      <c r="K53" s="188">
        <v>5</v>
      </c>
      <c r="L53" s="188">
        <v>5</v>
      </c>
      <c r="M53" s="188">
        <v>100</v>
      </c>
      <c r="N53" s="114">
        <v>20</v>
      </c>
      <c r="O53" s="336" t="s">
        <v>3007</v>
      </c>
      <c r="P53" s="69"/>
      <c r="Q53" s="69"/>
      <c r="R53" s="69"/>
      <c r="S53" s="69"/>
      <c r="T53" s="69"/>
      <c r="U53" s="69"/>
      <c r="V53" s="69"/>
      <c r="W53" s="69"/>
      <c r="X53" s="69"/>
      <c r="Y53" s="69"/>
      <c r="Z53" s="69"/>
      <c r="AA53" s="69"/>
      <c r="AB53" s="69"/>
      <c r="AC53" s="69"/>
      <c r="AD53" s="69"/>
      <c r="AE53" s="69"/>
      <c r="AF53" s="69"/>
    </row>
    <row r="54" spans="1:32" ht="51" customHeight="1">
      <c r="A54" s="743" t="s">
        <v>4651</v>
      </c>
      <c r="B54" s="162" t="s">
        <v>4465</v>
      </c>
      <c r="C54" s="99" t="s">
        <v>4652</v>
      </c>
      <c r="D54" s="99" t="s">
        <v>141</v>
      </c>
      <c r="E54" s="99" t="s">
        <v>4640</v>
      </c>
      <c r="F54" s="99" t="s">
        <v>4653</v>
      </c>
      <c r="G54" s="99" t="s">
        <v>4654</v>
      </c>
      <c r="H54" s="100"/>
      <c r="I54" s="116" t="s">
        <v>4655</v>
      </c>
      <c r="J54" s="188">
        <v>2</v>
      </c>
      <c r="K54" s="188">
        <v>1</v>
      </c>
      <c r="L54" s="188">
        <v>2</v>
      </c>
      <c r="M54" s="188">
        <v>100</v>
      </c>
      <c r="N54" s="114">
        <f t="shared" ref="N54:N55" si="4">M54/J54</f>
        <v>50</v>
      </c>
      <c r="O54" s="336" t="s">
        <v>798</v>
      </c>
      <c r="P54" s="69"/>
      <c r="Q54" s="69"/>
      <c r="R54" s="69"/>
      <c r="S54" s="69"/>
      <c r="T54" s="69"/>
      <c r="U54" s="69"/>
      <c r="V54" s="69"/>
      <c r="W54" s="69"/>
      <c r="X54" s="69"/>
      <c r="Y54" s="69"/>
      <c r="Z54" s="69"/>
      <c r="AA54" s="69"/>
      <c r="AB54" s="69"/>
      <c r="AC54" s="69"/>
      <c r="AD54" s="69"/>
      <c r="AE54" s="69"/>
      <c r="AF54" s="69"/>
    </row>
    <row r="55" spans="1:32" ht="51" customHeight="1">
      <c r="A55" s="744" t="s">
        <v>4656</v>
      </c>
      <c r="B55" s="162" t="s">
        <v>4465</v>
      </c>
      <c r="C55" s="99" t="s">
        <v>4657</v>
      </c>
      <c r="D55" s="99" t="s">
        <v>141</v>
      </c>
      <c r="E55" s="99" t="s">
        <v>4658</v>
      </c>
      <c r="F55" s="99" t="s">
        <v>4659</v>
      </c>
      <c r="G55" s="99" t="s">
        <v>4660</v>
      </c>
      <c r="H55" s="116"/>
      <c r="I55" s="116" t="s">
        <v>4661</v>
      </c>
      <c r="J55" s="116">
        <v>1</v>
      </c>
      <c r="K55" s="116">
        <v>1</v>
      </c>
      <c r="L55" s="116">
        <v>2</v>
      </c>
      <c r="M55" s="188">
        <v>100</v>
      </c>
      <c r="N55" s="114">
        <f t="shared" si="4"/>
        <v>100</v>
      </c>
      <c r="O55" s="336" t="s">
        <v>798</v>
      </c>
      <c r="P55" s="69"/>
      <c r="Q55" s="69"/>
      <c r="R55" s="69"/>
      <c r="S55" s="69"/>
      <c r="T55" s="69"/>
      <c r="U55" s="69"/>
      <c r="V55" s="69"/>
      <c r="W55" s="69"/>
      <c r="X55" s="69"/>
      <c r="Y55" s="69"/>
      <c r="Z55" s="69"/>
      <c r="AA55" s="69"/>
      <c r="AB55" s="69"/>
      <c r="AC55" s="69"/>
      <c r="AD55" s="69"/>
      <c r="AE55" s="69"/>
      <c r="AF55" s="69"/>
    </row>
    <row r="56" spans="1:32" ht="15.75" customHeight="1">
      <c r="A56" s="134" t="s">
        <v>4638</v>
      </c>
      <c r="B56" s="133" t="s">
        <v>4453</v>
      </c>
      <c r="C56" s="99" t="s">
        <v>4662</v>
      </c>
      <c r="D56" s="99" t="s">
        <v>141</v>
      </c>
      <c r="E56" s="99" t="s">
        <v>4640</v>
      </c>
      <c r="F56" s="99" t="s">
        <v>4663</v>
      </c>
      <c r="G56" s="100" t="s">
        <v>4664</v>
      </c>
      <c r="H56" s="100" t="s">
        <v>4643</v>
      </c>
      <c r="I56" s="100" t="s">
        <v>4665</v>
      </c>
      <c r="J56" s="188">
        <v>5</v>
      </c>
      <c r="K56" s="188">
        <v>5</v>
      </c>
      <c r="L56" s="188">
        <v>5</v>
      </c>
      <c r="M56" s="188">
        <v>100</v>
      </c>
      <c r="N56" s="114">
        <v>20</v>
      </c>
      <c r="O56" s="69" t="s">
        <v>3249</v>
      </c>
      <c r="P56" s="69"/>
      <c r="Q56" s="69"/>
      <c r="R56" s="69"/>
      <c r="S56" s="69"/>
      <c r="T56" s="69"/>
      <c r="U56" s="69"/>
      <c r="V56" s="69"/>
      <c r="W56" s="69"/>
      <c r="X56" s="69"/>
      <c r="Y56" s="69"/>
      <c r="Z56" s="69"/>
      <c r="AA56" s="69"/>
      <c r="AB56" s="69"/>
      <c r="AC56" s="69"/>
      <c r="AD56" s="69"/>
      <c r="AE56" s="69"/>
      <c r="AF56" s="69"/>
    </row>
    <row r="57" spans="1:32" ht="15.75" customHeight="1">
      <c r="A57" s="545" t="s">
        <v>4666</v>
      </c>
      <c r="B57" s="133" t="s">
        <v>4453</v>
      </c>
      <c r="C57" s="133" t="s">
        <v>4667</v>
      </c>
      <c r="D57" s="99" t="s">
        <v>4668</v>
      </c>
      <c r="E57" s="99" t="s">
        <v>4669</v>
      </c>
      <c r="F57" s="99"/>
      <c r="G57" s="100"/>
      <c r="H57" s="100" t="s">
        <v>4670</v>
      </c>
      <c r="I57" s="407" t="s">
        <v>4671</v>
      </c>
      <c r="J57" s="188">
        <v>4</v>
      </c>
      <c r="K57" s="188">
        <v>1</v>
      </c>
      <c r="L57" s="188">
        <v>4</v>
      </c>
      <c r="M57" s="188">
        <v>100</v>
      </c>
      <c r="N57" s="114">
        <f t="shared" ref="N57:N58" si="5">100/4</f>
        <v>25</v>
      </c>
      <c r="O57" s="216" t="s">
        <v>3258</v>
      </c>
      <c r="P57" s="216"/>
      <c r="Q57" s="216"/>
      <c r="R57" s="216"/>
      <c r="S57" s="216"/>
      <c r="T57" s="216"/>
      <c r="U57" s="216"/>
      <c r="V57" s="216"/>
      <c r="W57" s="216"/>
      <c r="X57" s="216"/>
      <c r="Y57" s="216"/>
      <c r="Z57" s="216"/>
      <c r="AA57" s="216"/>
      <c r="AB57" s="216"/>
      <c r="AC57" s="216"/>
      <c r="AD57" s="216"/>
      <c r="AE57" s="216"/>
      <c r="AF57" s="216"/>
    </row>
    <row r="58" spans="1:32" ht="15.75" customHeight="1">
      <c r="A58" s="658" t="s">
        <v>4672</v>
      </c>
      <c r="B58" s="133" t="s">
        <v>4453</v>
      </c>
      <c r="C58" s="745" t="s">
        <v>4673</v>
      </c>
      <c r="D58" s="99" t="s">
        <v>4674</v>
      </c>
      <c r="E58" s="99" t="s">
        <v>4669</v>
      </c>
      <c r="F58" s="99"/>
      <c r="G58" s="100"/>
      <c r="H58" s="116" t="s">
        <v>4675</v>
      </c>
      <c r="I58" s="407" t="s">
        <v>4671</v>
      </c>
      <c r="J58" s="116">
        <v>4</v>
      </c>
      <c r="K58" s="116">
        <v>1</v>
      </c>
      <c r="L58" s="116">
        <v>4</v>
      </c>
      <c r="M58" s="116">
        <v>100</v>
      </c>
      <c r="N58" s="114">
        <f t="shared" si="5"/>
        <v>25</v>
      </c>
      <c r="O58" s="216" t="s">
        <v>3258</v>
      </c>
      <c r="P58" s="216"/>
      <c r="Q58" s="216"/>
      <c r="R58" s="216"/>
      <c r="S58" s="216"/>
      <c r="T58" s="216"/>
      <c r="U58" s="216"/>
      <c r="V58" s="216"/>
      <c r="W58" s="216"/>
      <c r="X58" s="216"/>
      <c r="Y58" s="216"/>
      <c r="Z58" s="216"/>
      <c r="AA58" s="216"/>
      <c r="AB58" s="216"/>
      <c r="AC58" s="216"/>
      <c r="AD58" s="216"/>
      <c r="AE58" s="216"/>
      <c r="AF58" s="216"/>
    </row>
    <row r="59" spans="1:32" ht="15.75" customHeight="1">
      <c r="A59" s="134" t="s">
        <v>4638</v>
      </c>
      <c r="B59" s="99" t="s">
        <v>4453</v>
      </c>
      <c r="C59" s="133" t="s">
        <v>4639</v>
      </c>
      <c r="D59" s="99" t="s">
        <v>141</v>
      </c>
      <c r="E59" s="99" t="s">
        <v>4640</v>
      </c>
      <c r="F59" s="99" t="s">
        <v>4641</v>
      </c>
      <c r="G59" s="742" t="s">
        <v>4642</v>
      </c>
      <c r="H59" s="100" t="s">
        <v>4643</v>
      </c>
      <c r="I59" s="100" t="s">
        <v>4644</v>
      </c>
      <c r="J59" s="188">
        <v>5</v>
      </c>
      <c r="K59" s="188">
        <v>5</v>
      </c>
      <c r="L59" s="188">
        <v>5</v>
      </c>
      <c r="M59" s="188">
        <v>100</v>
      </c>
      <c r="N59" s="114">
        <v>20</v>
      </c>
      <c r="O59" s="216" t="s">
        <v>3417</v>
      </c>
      <c r="P59" s="216"/>
      <c r="Q59" s="216"/>
      <c r="R59" s="216"/>
      <c r="S59" s="216"/>
      <c r="T59" s="216"/>
      <c r="U59" s="216"/>
      <c r="V59" s="216"/>
      <c r="W59" s="216"/>
      <c r="X59" s="216"/>
      <c r="Y59" s="216"/>
      <c r="Z59" s="216"/>
      <c r="AA59" s="216"/>
      <c r="AB59" s="216"/>
      <c r="AC59" s="216"/>
      <c r="AD59" s="216"/>
      <c r="AE59" s="216"/>
      <c r="AF59" s="216"/>
    </row>
    <row r="60" spans="1:32" ht="15.75" customHeight="1">
      <c r="A60" s="134" t="s">
        <v>4676</v>
      </c>
      <c r="B60" s="99" t="s">
        <v>4453</v>
      </c>
      <c r="C60" s="133" t="s">
        <v>4677</v>
      </c>
      <c r="D60" s="99" t="s">
        <v>141</v>
      </c>
      <c r="E60" s="99" t="s">
        <v>4678</v>
      </c>
      <c r="F60" s="99" t="s">
        <v>4679</v>
      </c>
      <c r="G60" s="742" t="s">
        <v>4680</v>
      </c>
      <c r="H60" s="116" t="s">
        <v>4681</v>
      </c>
      <c r="I60" s="116" t="s">
        <v>4682</v>
      </c>
      <c r="J60" s="116">
        <v>3</v>
      </c>
      <c r="K60" s="116">
        <v>3</v>
      </c>
      <c r="L60" s="116">
        <v>3</v>
      </c>
      <c r="M60" s="116">
        <v>100</v>
      </c>
      <c r="N60" s="114">
        <v>33.33</v>
      </c>
      <c r="O60" s="216" t="s">
        <v>3417</v>
      </c>
      <c r="P60" s="216"/>
      <c r="Q60" s="216"/>
      <c r="R60" s="216"/>
      <c r="S60" s="216"/>
      <c r="T60" s="216"/>
      <c r="U60" s="216"/>
      <c r="V60" s="216"/>
      <c r="W60" s="216"/>
      <c r="X60" s="216"/>
      <c r="Y60" s="216"/>
      <c r="Z60" s="216"/>
      <c r="AA60" s="216"/>
      <c r="AB60" s="216"/>
      <c r="AC60" s="216"/>
      <c r="AD60" s="216"/>
      <c r="AE60" s="216"/>
      <c r="AF60" s="216"/>
    </row>
    <row r="61" spans="1:32" ht="15.75" customHeight="1">
      <c r="A61" s="134" t="s">
        <v>4683</v>
      </c>
      <c r="B61" s="133"/>
      <c r="C61" s="99" t="s">
        <v>4684</v>
      </c>
      <c r="D61" s="99" t="s">
        <v>141</v>
      </c>
      <c r="E61" s="99" t="s">
        <v>4685</v>
      </c>
      <c r="F61" s="99" t="s">
        <v>4686</v>
      </c>
      <c r="G61" s="100" t="s">
        <v>4687</v>
      </c>
      <c r="H61" s="100"/>
      <c r="I61" s="100"/>
      <c r="J61" s="188"/>
      <c r="K61" s="188">
        <v>1</v>
      </c>
      <c r="L61" s="188">
        <v>6</v>
      </c>
      <c r="M61" s="188">
        <v>50</v>
      </c>
      <c r="N61" s="114">
        <v>8.33</v>
      </c>
      <c r="O61" s="216" t="s">
        <v>906</v>
      </c>
      <c r="P61" s="216"/>
      <c r="Q61" s="216"/>
      <c r="R61" s="216"/>
      <c r="S61" s="216"/>
      <c r="T61" s="216"/>
      <c r="U61" s="216"/>
      <c r="V61" s="216"/>
      <c r="W61" s="216"/>
      <c r="X61" s="216"/>
      <c r="Y61" s="216"/>
      <c r="Z61" s="216"/>
      <c r="AA61" s="216"/>
      <c r="AB61" s="216"/>
      <c r="AC61" s="216"/>
      <c r="AD61" s="216"/>
      <c r="AE61" s="216"/>
      <c r="AF61" s="216"/>
    </row>
    <row r="62" spans="1:32" ht="15.75" customHeight="1">
      <c r="A62" s="134" t="s">
        <v>4688</v>
      </c>
      <c r="B62" s="99" t="s">
        <v>4453</v>
      </c>
      <c r="C62" s="133" t="s">
        <v>4689</v>
      </c>
      <c r="D62" s="99" t="s">
        <v>141</v>
      </c>
      <c r="E62" s="99" t="s">
        <v>4640</v>
      </c>
      <c r="F62" s="99" t="s">
        <v>4641</v>
      </c>
      <c r="G62" s="100"/>
      <c r="H62" s="100" t="s">
        <v>4690</v>
      </c>
      <c r="I62" s="296" t="s">
        <v>4637</v>
      </c>
      <c r="J62" s="188">
        <v>1</v>
      </c>
      <c r="K62" s="188">
        <v>1</v>
      </c>
      <c r="L62" s="188">
        <v>1</v>
      </c>
      <c r="M62" s="188">
        <v>100</v>
      </c>
      <c r="N62" s="114">
        <v>100</v>
      </c>
      <c r="O62" s="216" t="s">
        <v>3450</v>
      </c>
      <c r="P62" s="216"/>
      <c r="Q62" s="216"/>
      <c r="R62" s="216"/>
      <c r="S62" s="216"/>
      <c r="T62" s="216"/>
      <c r="U62" s="216"/>
      <c r="V62" s="216"/>
      <c r="W62" s="216"/>
      <c r="X62" s="216"/>
      <c r="Y62" s="216"/>
      <c r="Z62" s="216"/>
      <c r="AA62" s="216"/>
      <c r="AB62" s="216"/>
      <c r="AC62" s="216"/>
      <c r="AD62" s="216"/>
      <c r="AE62" s="216"/>
      <c r="AF62" s="216"/>
    </row>
    <row r="63" spans="1:32" ht="15.75" customHeight="1">
      <c r="A63" s="438" t="s">
        <v>4691</v>
      </c>
      <c r="B63" s="138" t="s">
        <v>4692</v>
      </c>
      <c r="C63" s="228" t="s">
        <v>4693</v>
      </c>
      <c r="D63" s="228" t="s">
        <v>141</v>
      </c>
      <c r="E63" s="228"/>
      <c r="F63" s="228"/>
      <c r="G63" s="229"/>
      <c r="H63" s="229"/>
      <c r="I63" s="746" t="s">
        <v>4694</v>
      </c>
      <c r="J63" s="747"/>
      <c r="K63" s="747">
        <v>1</v>
      </c>
      <c r="L63" s="747">
        <v>2</v>
      </c>
      <c r="M63" s="747">
        <v>50</v>
      </c>
      <c r="N63" s="748">
        <v>25</v>
      </c>
      <c r="O63" s="216" t="s">
        <v>4695</v>
      </c>
      <c r="P63" s="216"/>
      <c r="Q63" s="216"/>
      <c r="R63" s="216"/>
      <c r="S63" s="216"/>
      <c r="T63" s="216"/>
      <c r="U63" s="216"/>
      <c r="V63" s="216"/>
      <c r="W63" s="216"/>
      <c r="X63" s="216"/>
      <c r="Y63" s="216"/>
      <c r="Z63" s="216"/>
      <c r="AA63" s="216"/>
      <c r="AB63" s="216"/>
      <c r="AC63" s="216"/>
      <c r="AD63" s="216"/>
      <c r="AE63" s="216"/>
      <c r="AF63" s="216"/>
    </row>
    <row r="64" spans="1:32" ht="15" customHeight="1">
      <c r="A64" s="134" t="s">
        <v>4696</v>
      </c>
      <c r="B64" s="133" t="s">
        <v>4465</v>
      </c>
      <c r="C64" s="500" t="s">
        <v>4697</v>
      </c>
      <c r="D64" s="99" t="s">
        <v>105</v>
      </c>
      <c r="E64" s="99" t="s">
        <v>4698</v>
      </c>
      <c r="F64" s="99" t="s">
        <v>4699</v>
      </c>
      <c r="G64" s="116" t="s">
        <v>4700</v>
      </c>
      <c r="H64" s="749" t="s">
        <v>588</v>
      </c>
      <c r="I64" s="407" t="s">
        <v>4701</v>
      </c>
      <c r="J64" s="116">
        <v>4</v>
      </c>
      <c r="K64" s="116">
        <v>4</v>
      </c>
      <c r="L64" s="116">
        <v>4</v>
      </c>
      <c r="M64" s="116">
        <v>100</v>
      </c>
      <c r="N64" s="750">
        <f t="shared" ref="N64:N65" si="6">M64/L64</f>
        <v>25</v>
      </c>
      <c r="O64" s="338" t="s">
        <v>931</v>
      </c>
      <c r="P64" s="216"/>
      <c r="Q64" s="216"/>
      <c r="R64" s="216"/>
      <c r="S64" s="216"/>
      <c r="T64" s="216"/>
      <c r="U64" s="216"/>
      <c r="V64" s="216"/>
      <c r="W64" s="216"/>
      <c r="X64" s="216"/>
      <c r="Y64" s="216"/>
      <c r="Z64" s="216"/>
      <c r="AA64" s="216"/>
      <c r="AB64" s="216"/>
      <c r="AC64" s="216"/>
      <c r="AD64" s="216"/>
      <c r="AE64" s="216"/>
      <c r="AF64" s="216"/>
    </row>
    <row r="65" spans="1:32" ht="15" customHeight="1">
      <c r="A65" s="134" t="s">
        <v>4702</v>
      </c>
      <c r="B65" s="133" t="s">
        <v>4453</v>
      </c>
      <c r="C65" s="99" t="s">
        <v>4703</v>
      </c>
      <c r="D65" s="99" t="s">
        <v>105</v>
      </c>
      <c r="E65" s="99" t="s">
        <v>4704</v>
      </c>
      <c r="F65" s="99" t="s">
        <v>4705</v>
      </c>
      <c r="G65" s="100">
        <v>1007</v>
      </c>
      <c r="H65" s="751" t="s">
        <v>4706</v>
      </c>
      <c r="I65" s="100" t="s">
        <v>4585</v>
      </c>
      <c r="J65" s="100">
        <v>5</v>
      </c>
      <c r="K65" s="100">
        <v>5</v>
      </c>
      <c r="L65" s="100">
        <v>5</v>
      </c>
      <c r="M65" s="100">
        <v>100</v>
      </c>
      <c r="N65" s="114">
        <f t="shared" si="6"/>
        <v>20</v>
      </c>
      <c r="O65" s="338" t="s">
        <v>952</v>
      </c>
      <c r="P65" s="216"/>
      <c r="Q65" s="216"/>
      <c r="R65" s="216"/>
      <c r="S65" s="216"/>
      <c r="T65" s="216"/>
      <c r="U65" s="216"/>
      <c r="V65" s="216"/>
      <c r="W65" s="216"/>
      <c r="X65" s="216"/>
      <c r="Y65" s="216"/>
      <c r="Z65" s="216"/>
      <c r="AA65" s="216"/>
      <c r="AB65" s="216"/>
      <c r="AC65" s="216"/>
      <c r="AD65" s="216"/>
      <c r="AE65" s="216"/>
      <c r="AF65" s="216"/>
    </row>
    <row r="66" spans="1:32" ht="15" customHeight="1">
      <c r="A66" s="134" t="s">
        <v>4707</v>
      </c>
      <c r="B66" s="133" t="s">
        <v>4453</v>
      </c>
      <c r="C66" s="99" t="s">
        <v>4708</v>
      </c>
      <c r="D66" s="99" t="s">
        <v>105</v>
      </c>
      <c r="E66" s="99" t="s">
        <v>4709</v>
      </c>
      <c r="F66" s="99" t="s">
        <v>4710</v>
      </c>
      <c r="G66" s="238" t="s">
        <v>4711</v>
      </c>
      <c r="H66" s="116"/>
      <c r="I66" s="116" t="s">
        <v>4712</v>
      </c>
      <c r="J66" s="286">
        <v>1</v>
      </c>
      <c r="K66" s="286">
        <v>1</v>
      </c>
      <c r="L66" s="286">
        <v>1</v>
      </c>
      <c r="M66" s="286">
        <v>100</v>
      </c>
      <c r="N66" s="547">
        <f>M66</f>
        <v>100</v>
      </c>
      <c r="O66" s="338" t="s">
        <v>123</v>
      </c>
      <c r="P66" s="216"/>
      <c r="Q66" s="216"/>
      <c r="R66" s="216"/>
      <c r="S66" s="216"/>
      <c r="T66" s="216"/>
      <c r="U66" s="216"/>
      <c r="V66" s="216"/>
      <c r="W66" s="216"/>
      <c r="X66" s="216"/>
      <c r="Y66" s="216"/>
      <c r="Z66" s="216"/>
      <c r="AA66" s="216"/>
      <c r="AB66" s="216"/>
      <c r="AC66" s="216"/>
      <c r="AD66" s="216"/>
      <c r="AE66" s="216"/>
      <c r="AF66" s="216"/>
    </row>
    <row r="67" spans="1:32" ht="15" customHeight="1">
      <c r="A67" s="134" t="s">
        <v>4713</v>
      </c>
      <c r="B67" s="133" t="s">
        <v>4453</v>
      </c>
      <c r="C67" s="99" t="s">
        <v>4714</v>
      </c>
      <c r="D67" s="99" t="s">
        <v>105</v>
      </c>
      <c r="E67" s="99" t="s">
        <v>4715</v>
      </c>
      <c r="F67" s="99" t="s">
        <v>4716</v>
      </c>
      <c r="G67" s="100" t="s">
        <v>4717</v>
      </c>
      <c r="H67" s="100"/>
      <c r="I67" s="100" t="s">
        <v>4718</v>
      </c>
      <c r="J67" s="188">
        <v>4</v>
      </c>
      <c r="K67" s="188">
        <v>3</v>
      </c>
      <c r="L67" s="188">
        <v>4</v>
      </c>
      <c r="M67" s="188">
        <v>100</v>
      </c>
      <c r="N67" s="114">
        <v>25</v>
      </c>
      <c r="O67" s="338" t="s">
        <v>971</v>
      </c>
      <c r="P67" s="216"/>
      <c r="Q67" s="216"/>
      <c r="R67" s="216"/>
      <c r="S67" s="216"/>
      <c r="T67" s="216"/>
      <c r="U67" s="216"/>
      <c r="V67" s="216"/>
      <c r="W67" s="216"/>
      <c r="X67" s="216"/>
      <c r="Y67" s="216"/>
      <c r="Z67" s="216"/>
      <c r="AA67" s="216"/>
      <c r="AB67" s="216"/>
      <c r="AC67" s="216"/>
      <c r="AD67" s="216"/>
      <c r="AE67" s="216"/>
      <c r="AF67" s="216"/>
    </row>
    <row r="68" spans="1:32" ht="15" customHeight="1">
      <c r="A68" s="134" t="s">
        <v>4719</v>
      </c>
      <c r="B68" s="133" t="s">
        <v>4453</v>
      </c>
      <c r="C68" s="99" t="s">
        <v>4720</v>
      </c>
      <c r="D68" s="99" t="s">
        <v>105</v>
      </c>
      <c r="E68" s="99" t="s">
        <v>4715</v>
      </c>
      <c r="F68" s="99" t="s">
        <v>4716</v>
      </c>
      <c r="G68" s="100" t="s">
        <v>4721</v>
      </c>
      <c r="H68" s="116"/>
      <c r="I68" s="116" t="s">
        <v>4722</v>
      </c>
      <c r="J68" s="116"/>
      <c r="K68" s="116">
        <v>5</v>
      </c>
      <c r="L68" s="116">
        <v>5</v>
      </c>
      <c r="M68" s="116">
        <v>100</v>
      </c>
      <c r="N68" s="114">
        <v>20</v>
      </c>
      <c r="O68" s="338" t="s">
        <v>971</v>
      </c>
      <c r="P68" s="216"/>
      <c r="Q68" s="216"/>
      <c r="R68" s="216"/>
      <c r="S68" s="216"/>
      <c r="T68" s="216"/>
      <c r="U68" s="216"/>
      <c r="V68" s="216"/>
      <c r="W68" s="216"/>
      <c r="X68" s="216"/>
      <c r="Y68" s="216"/>
      <c r="Z68" s="216"/>
      <c r="AA68" s="216"/>
      <c r="AB68" s="216"/>
      <c r="AC68" s="216"/>
      <c r="AD68" s="216"/>
      <c r="AE68" s="216"/>
      <c r="AF68" s="216"/>
    </row>
    <row r="69" spans="1:32" ht="15" customHeight="1">
      <c r="A69" s="134" t="s">
        <v>4723</v>
      </c>
      <c r="B69" s="133" t="s">
        <v>4465</v>
      </c>
      <c r="C69" s="99" t="s">
        <v>4724</v>
      </c>
      <c r="D69" s="99" t="s">
        <v>105</v>
      </c>
      <c r="E69" s="745" t="s">
        <v>4725</v>
      </c>
      <c r="F69" s="99">
        <v>20679238</v>
      </c>
      <c r="G69" s="100" t="s">
        <v>4726</v>
      </c>
      <c r="H69" s="407" t="s">
        <v>4727</v>
      </c>
      <c r="I69" s="100" t="s">
        <v>4728</v>
      </c>
      <c r="J69" s="100">
        <v>5</v>
      </c>
      <c r="K69" s="100">
        <v>4</v>
      </c>
      <c r="L69" s="100">
        <v>5</v>
      </c>
      <c r="M69" s="100">
        <v>100</v>
      </c>
      <c r="N69" s="114">
        <f>M69/L69</f>
        <v>20</v>
      </c>
      <c r="O69" s="338" t="s">
        <v>971</v>
      </c>
      <c r="P69" s="216"/>
      <c r="Q69" s="216"/>
      <c r="R69" s="216"/>
      <c r="S69" s="216"/>
      <c r="T69" s="216"/>
      <c r="U69" s="216"/>
      <c r="V69" s="216"/>
      <c r="W69" s="216"/>
      <c r="X69" s="216"/>
      <c r="Y69" s="216"/>
      <c r="Z69" s="216"/>
      <c r="AA69" s="216"/>
      <c r="AB69" s="216"/>
      <c r="AC69" s="216"/>
      <c r="AD69" s="216"/>
      <c r="AE69" s="216"/>
      <c r="AF69" s="216"/>
    </row>
    <row r="70" spans="1:32" ht="15" customHeight="1">
      <c r="A70" s="752" t="s">
        <v>4729</v>
      </c>
      <c r="B70" s="753" t="s">
        <v>4453</v>
      </c>
      <c r="C70" s="754" t="s">
        <v>4730</v>
      </c>
      <c r="D70" s="754" t="s">
        <v>105</v>
      </c>
      <c r="E70" s="754" t="s">
        <v>4731</v>
      </c>
      <c r="F70" s="754" t="s">
        <v>4648</v>
      </c>
      <c r="G70" s="754" t="s">
        <v>4732</v>
      </c>
      <c r="H70" s="755" t="s">
        <v>4733</v>
      </c>
      <c r="I70" s="754" t="s">
        <v>4585</v>
      </c>
      <c r="J70" s="754">
        <v>4</v>
      </c>
      <c r="K70" s="754">
        <v>4</v>
      </c>
      <c r="L70" s="754">
        <v>4</v>
      </c>
      <c r="M70" s="756">
        <v>100</v>
      </c>
      <c r="N70" s="756">
        <v>25</v>
      </c>
      <c r="O70" s="338" t="s">
        <v>971</v>
      </c>
      <c r="P70" s="216"/>
      <c r="Q70" s="216"/>
      <c r="R70" s="216"/>
      <c r="S70" s="216"/>
      <c r="T70" s="216"/>
      <c r="U70" s="216"/>
      <c r="V70" s="216"/>
      <c r="W70" s="216"/>
      <c r="X70" s="216"/>
      <c r="Y70" s="216"/>
      <c r="Z70" s="216"/>
      <c r="AA70" s="216"/>
      <c r="AB70" s="216"/>
      <c r="AC70" s="216"/>
      <c r="AD70" s="216"/>
      <c r="AE70" s="216"/>
      <c r="AF70" s="216"/>
    </row>
    <row r="71" spans="1:32" ht="15" customHeight="1">
      <c r="A71" s="134" t="s">
        <v>4734</v>
      </c>
      <c r="B71" s="133" t="s">
        <v>4453</v>
      </c>
      <c r="C71" s="99" t="s">
        <v>4735</v>
      </c>
      <c r="D71" s="99" t="s">
        <v>105</v>
      </c>
      <c r="E71" s="99" t="s">
        <v>4736</v>
      </c>
      <c r="F71" s="99" t="s">
        <v>4737</v>
      </c>
      <c r="G71" s="100" t="s">
        <v>4738</v>
      </c>
      <c r="H71" s="116" t="s">
        <v>4739</v>
      </c>
      <c r="I71" s="754" t="s">
        <v>4585</v>
      </c>
      <c r="J71" s="116">
        <v>2</v>
      </c>
      <c r="K71" s="116">
        <v>1</v>
      </c>
      <c r="L71" s="116">
        <v>2</v>
      </c>
      <c r="M71" s="116">
        <v>100</v>
      </c>
      <c r="N71" s="114">
        <v>100</v>
      </c>
      <c r="O71" s="338" t="s">
        <v>971</v>
      </c>
      <c r="P71" s="216"/>
      <c r="Q71" s="216"/>
      <c r="R71" s="216"/>
      <c r="S71" s="216"/>
      <c r="T71" s="216"/>
      <c r="U71" s="216"/>
      <c r="V71" s="216"/>
      <c r="W71" s="216"/>
      <c r="X71" s="216"/>
      <c r="Y71" s="216"/>
      <c r="Z71" s="216"/>
      <c r="AA71" s="216"/>
      <c r="AB71" s="216"/>
      <c r="AC71" s="216"/>
      <c r="AD71" s="216"/>
      <c r="AE71" s="216"/>
      <c r="AF71" s="216"/>
    </row>
    <row r="72" spans="1:32" ht="15" customHeight="1">
      <c r="A72" s="1251" t="s">
        <v>4696</v>
      </c>
      <c r="B72" s="1251" t="s">
        <v>4465</v>
      </c>
      <c r="C72" s="757" t="s">
        <v>4740</v>
      </c>
      <c r="D72" s="1249" t="s">
        <v>105</v>
      </c>
      <c r="E72" s="1249" t="s">
        <v>4698</v>
      </c>
      <c r="F72" s="1249" t="s">
        <v>4699</v>
      </c>
      <c r="G72" s="1249" t="s">
        <v>4700</v>
      </c>
      <c r="H72" s="1249" t="s">
        <v>588</v>
      </c>
      <c r="I72" s="1252" t="s">
        <v>4701</v>
      </c>
      <c r="J72" s="1249">
        <v>4</v>
      </c>
      <c r="K72" s="1249">
        <v>4</v>
      </c>
      <c r="L72" s="1249">
        <v>4</v>
      </c>
      <c r="M72" s="1249">
        <v>100</v>
      </c>
      <c r="N72" s="1249">
        <v>25</v>
      </c>
      <c r="O72" s="338" t="s">
        <v>126</v>
      </c>
      <c r="P72" s="216"/>
      <c r="Q72" s="216"/>
      <c r="R72" s="216"/>
      <c r="S72" s="216"/>
      <c r="T72" s="216"/>
      <c r="U72" s="216"/>
      <c r="V72" s="216"/>
      <c r="W72" s="216"/>
      <c r="X72" s="216"/>
      <c r="Y72" s="216"/>
      <c r="Z72" s="216"/>
      <c r="AA72" s="216"/>
      <c r="AB72" s="216"/>
      <c r="AC72" s="216"/>
      <c r="AD72" s="216"/>
      <c r="AE72" s="216"/>
      <c r="AF72" s="216"/>
    </row>
    <row r="73" spans="1:32" ht="15" customHeight="1">
      <c r="A73" s="1250"/>
      <c r="B73" s="1250"/>
      <c r="C73" s="758" t="s">
        <v>4741</v>
      </c>
      <c r="D73" s="1250"/>
      <c r="E73" s="1250"/>
      <c r="F73" s="1250"/>
      <c r="G73" s="1250"/>
      <c r="H73" s="1250"/>
      <c r="I73" s="1250"/>
      <c r="J73" s="1250"/>
      <c r="K73" s="1250"/>
      <c r="L73" s="1250"/>
      <c r="M73" s="1250"/>
      <c r="N73" s="1250"/>
      <c r="O73" s="338" t="s">
        <v>126</v>
      </c>
      <c r="P73" s="216"/>
      <c r="Q73" s="216"/>
      <c r="R73" s="216"/>
      <c r="S73" s="216"/>
      <c r="T73" s="216"/>
      <c r="U73" s="216"/>
      <c r="V73" s="216"/>
      <c r="W73" s="216"/>
      <c r="X73" s="216"/>
      <c r="Y73" s="216"/>
      <c r="Z73" s="216"/>
      <c r="AA73" s="216"/>
      <c r="AB73" s="216"/>
      <c r="AC73" s="216"/>
      <c r="AD73" s="216"/>
      <c r="AE73" s="216"/>
      <c r="AF73" s="216"/>
    </row>
    <row r="74" spans="1:32" ht="15" customHeight="1">
      <c r="A74" s="162" t="s">
        <v>4742</v>
      </c>
      <c r="B74" s="162" t="s">
        <v>4453</v>
      </c>
      <c r="C74" s="162" t="s">
        <v>4743</v>
      </c>
      <c r="D74" s="162" t="s">
        <v>105</v>
      </c>
      <c r="E74" s="162" t="s">
        <v>4744</v>
      </c>
      <c r="F74" s="162" t="s">
        <v>4745</v>
      </c>
      <c r="G74" s="162" t="s">
        <v>4746</v>
      </c>
      <c r="H74" s="162"/>
      <c r="I74" s="162" t="s">
        <v>4747</v>
      </c>
      <c r="J74" s="162">
        <v>3</v>
      </c>
      <c r="K74" s="162">
        <v>1</v>
      </c>
      <c r="L74" s="162">
        <v>3</v>
      </c>
      <c r="M74" s="162">
        <v>100</v>
      </c>
      <c r="N74" s="162">
        <v>100</v>
      </c>
      <c r="O74" s="338" t="s">
        <v>127</v>
      </c>
      <c r="P74" s="216"/>
      <c r="Q74" s="216"/>
      <c r="R74" s="216"/>
      <c r="S74" s="216"/>
      <c r="T74" s="216"/>
      <c r="U74" s="216"/>
      <c r="V74" s="216"/>
      <c r="W74" s="216"/>
      <c r="X74" s="216"/>
      <c r="Y74" s="216"/>
      <c r="Z74" s="216"/>
      <c r="AA74" s="216"/>
      <c r="AB74" s="216"/>
      <c r="AC74" s="216"/>
      <c r="AD74" s="216"/>
      <c r="AE74" s="216"/>
      <c r="AF74" s="216"/>
    </row>
    <row r="75" spans="1:32" ht="15" customHeight="1">
      <c r="A75" s="162" t="s">
        <v>4748</v>
      </c>
      <c r="B75" s="162" t="s">
        <v>4453</v>
      </c>
      <c r="C75" s="162" t="s">
        <v>4743</v>
      </c>
      <c r="D75" s="162" t="s">
        <v>105</v>
      </c>
      <c r="E75" s="162" t="s">
        <v>4749</v>
      </c>
      <c r="F75" s="162" t="s">
        <v>4745</v>
      </c>
      <c r="G75" s="162" t="s">
        <v>4750</v>
      </c>
      <c r="H75" s="162"/>
      <c r="I75" s="162" t="s">
        <v>4747</v>
      </c>
      <c r="J75" s="162">
        <v>3</v>
      </c>
      <c r="K75" s="162">
        <v>1</v>
      </c>
      <c r="L75" s="162">
        <v>3</v>
      </c>
      <c r="M75" s="162">
        <v>100</v>
      </c>
      <c r="N75" s="162">
        <v>100</v>
      </c>
      <c r="O75" s="338" t="s">
        <v>127</v>
      </c>
      <c r="P75" s="216"/>
      <c r="Q75" s="216"/>
      <c r="R75" s="216"/>
      <c r="S75" s="216"/>
      <c r="T75" s="216"/>
      <c r="U75" s="216"/>
      <c r="V75" s="216"/>
      <c r="W75" s="216"/>
      <c r="X75" s="216"/>
      <c r="Y75" s="216"/>
      <c r="Z75" s="216"/>
      <c r="AA75" s="216"/>
      <c r="AB75" s="216"/>
      <c r="AC75" s="216"/>
      <c r="AD75" s="216"/>
      <c r="AE75" s="216"/>
      <c r="AF75" s="216"/>
    </row>
    <row r="76" spans="1:32" ht="15" customHeight="1">
      <c r="A76" s="134" t="s">
        <v>4702</v>
      </c>
      <c r="B76" s="133" t="s">
        <v>4453</v>
      </c>
      <c r="C76" s="99" t="s">
        <v>4703</v>
      </c>
      <c r="D76" s="99" t="s">
        <v>105</v>
      </c>
      <c r="E76" s="99" t="s">
        <v>4704</v>
      </c>
      <c r="F76" s="99" t="s">
        <v>4705</v>
      </c>
      <c r="G76" s="100">
        <v>1007</v>
      </c>
      <c r="H76" s="751" t="s">
        <v>4706</v>
      </c>
      <c r="I76" s="100" t="s">
        <v>4712</v>
      </c>
      <c r="J76" s="100">
        <v>5</v>
      </c>
      <c r="K76" s="100">
        <v>5</v>
      </c>
      <c r="L76" s="100">
        <v>5</v>
      </c>
      <c r="M76" s="100">
        <v>100</v>
      </c>
      <c r="N76" s="114">
        <f t="shared" ref="N76:N78" si="7">M76/L76</f>
        <v>20</v>
      </c>
      <c r="O76" s="338" t="s">
        <v>119</v>
      </c>
      <c r="P76" s="216"/>
      <c r="Q76" s="216"/>
      <c r="R76" s="216"/>
      <c r="S76" s="216"/>
      <c r="T76" s="216"/>
      <c r="U76" s="216"/>
      <c r="V76" s="216"/>
      <c r="W76" s="216"/>
      <c r="X76" s="216"/>
      <c r="Y76" s="216"/>
      <c r="Z76" s="216"/>
      <c r="AA76" s="216"/>
      <c r="AB76" s="216"/>
      <c r="AC76" s="216"/>
      <c r="AD76" s="216"/>
      <c r="AE76" s="216"/>
      <c r="AF76" s="216"/>
    </row>
    <row r="77" spans="1:32" ht="15" customHeight="1">
      <c r="A77" s="284" t="s">
        <v>4751</v>
      </c>
      <c r="B77" s="133" t="s">
        <v>4453</v>
      </c>
      <c r="C77" s="187" t="s">
        <v>4752</v>
      </c>
      <c r="D77" s="99" t="s">
        <v>105</v>
      </c>
      <c r="E77" s="99" t="s">
        <v>4753</v>
      </c>
      <c r="F77" s="187" t="s">
        <v>4754</v>
      </c>
      <c r="G77" s="188" t="s">
        <v>4755</v>
      </c>
      <c r="H77" s="759" t="s">
        <v>4756</v>
      </c>
      <c r="I77" s="188"/>
      <c r="J77" s="188">
        <v>4</v>
      </c>
      <c r="K77" s="188">
        <v>4</v>
      </c>
      <c r="L77" s="188">
        <v>4</v>
      </c>
      <c r="M77" s="188">
        <v>50</v>
      </c>
      <c r="N77" s="114">
        <f t="shared" si="7"/>
        <v>12.5</v>
      </c>
      <c r="O77" s="338" t="s">
        <v>119</v>
      </c>
      <c r="P77" s="216"/>
      <c r="Q77" s="216"/>
      <c r="R77" s="216"/>
      <c r="S77" s="216"/>
      <c r="T77" s="216"/>
      <c r="U77" s="216"/>
      <c r="V77" s="216"/>
      <c r="W77" s="216"/>
      <c r="X77" s="216"/>
      <c r="Y77" s="216"/>
      <c r="Z77" s="216"/>
      <c r="AA77" s="216"/>
      <c r="AB77" s="216"/>
      <c r="AC77" s="216"/>
      <c r="AD77" s="216"/>
      <c r="AE77" s="216"/>
      <c r="AF77" s="216"/>
    </row>
    <row r="78" spans="1:32" ht="15" customHeight="1">
      <c r="A78" s="134" t="s">
        <v>4723</v>
      </c>
      <c r="B78" s="133" t="s">
        <v>4465</v>
      </c>
      <c r="C78" s="99" t="s">
        <v>4724</v>
      </c>
      <c r="D78" s="99" t="s">
        <v>105</v>
      </c>
      <c r="E78" s="745" t="s">
        <v>4725</v>
      </c>
      <c r="F78" s="99">
        <v>20679238</v>
      </c>
      <c r="G78" s="100" t="s">
        <v>4726</v>
      </c>
      <c r="H78" s="407" t="s">
        <v>4727</v>
      </c>
      <c r="I78" s="100" t="s">
        <v>4728</v>
      </c>
      <c r="J78" s="100">
        <v>5</v>
      </c>
      <c r="K78" s="100">
        <v>4</v>
      </c>
      <c r="L78" s="100">
        <v>5</v>
      </c>
      <c r="M78" s="100">
        <v>100</v>
      </c>
      <c r="N78" s="114">
        <f t="shared" si="7"/>
        <v>20</v>
      </c>
      <c r="O78" s="338" t="s">
        <v>1005</v>
      </c>
      <c r="P78" s="216"/>
      <c r="Q78" s="216"/>
      <c r="R78" s="216"/>
      <c r="S78" s="216"/>
      <c r="T78" s="216"/>
      <c r="U78" s="216"/>
      <c r="V78" s="216"/>
      <c r="W78" s="216"/>
      <c r="X78" s="216"/>
      <c r="Y78" s="216"/>
      <c r="Z78" s="216"/>
      <c r="AA78" s="216"/>
      <c r="AB78" s="216"/>
      <c r="AC78" s="216"/>
      <c r="AD78" s="216"/>
      <c r="AE78" s="216"/>
      <c r="AF78" s="216"/>
    </row>
    <row r="79" spans="1:32" ht="15" customHeight="1">
      <c r="A79" s="134" t="s">
        <v>4757</v>
      </c>
      <c r="B79" s="133" t="s">
        <v>4453</v>
      </c>
      <c r="C79" s="99" t="s">
        <v>4758</v>
      </c>
      <c r="D79" s="99" t="s">
        <v>105</v>
      </c>
      <c r="E79" s="99" t="s">
        <v>4759</v>
      </c>
      <c r="F79" s="99" t="s">
        <v>4760</v>
      </c>
      <c r="G79" s="100" t="s">
        <v>4761</v>
      </c>
      <c r="H79" s="100" t="s">
        <v>4762</v>
      </c>
      <c r="I79" s="407" t="s">
        <v>4763</v>
      </c>
      <c r="J79" s="188">
        <v>4</v>
      </c>
      <c r="K79" s="188">
        <v>1</v>
      </c>
      <c r="L79" s="188">
        <v>4</v>
      </c>
      <c r="M79" s="188">
        <v>100</v>
      </c>
      <c r="N79" s="114">
        <v>25</v>
      </c>
      <c r="O79" s="338" t="s">
        <v>130</v>
      </c>
      <c r="P79" s="216"/>
      <c r="Q79" s="216"/>
      <c r="R79" s="216"/>
      <c r="S79" s="216"/>
      <c r="T79" s="216"/>
      <c r="U79" s="216"/>
      <c r="V79" s="216"/>
      <c r="W79" s="216"/>
      <c r="X79" s="216"/>
      <c r="Y79" s="216"/>
      <c r="Z79" s="216"/>
      <c r="AA79" s="216"/>
      <c r="AB79" s="216"/>
      <c r="AC79" s="216"/>
      <c r="AD79" s="216"/>
      <c r="AE79" s="216"/>
      <c r="AF79" s="216"/>
    </row>
    <row r="80" spans="1:32" ht="15" customHeight="1">
      <c r="A80" s="134" t="s">
        <v>4723</v>
      </c>
      <c r="B80" s="133" t="s">
        <v>4465</v>
      </c>
      <c r="C80" s="99" t="s">
        <v>4724</v>
      </c>
      <c r="D80" s="99" t="s">
        <v>105</v>
      </c>
      <c r="E80" s="658" t="s">
        <v>4725</v>
      </c>
      <c r="F80" s="99" t="s">
        <v>4764</v>
      </c>
      <c r="G80" s="100" t="s">
        <v>4726</v>
      </c>
      <c r="H80" s="407" t="s">
        <v>4727</v>
      </c>
      <c r="I80" s="100" t="s">
        <v>4728</v>
      </c>
      <c r="J80" s="100">
        <v>5</v>
      </c>
      <c r="K80" s="100">
        <v>4</v>
      </c>
      <c r="L80" s="100">
        <v>5</v>
      </c>
      <c r="M80" s="100">
        <v>100</v>
      </c>
      <c r="N80" s="114">
        <f t="shared" ref="N80:N81" si="8">M80/L80</f>
        <v>20</v>
      </c>
      <c r="O80" s="338" t="s">
        <v>138</v>
      </c>
      <c r="P80" s="216"/>
      <c r="Q80" s="216"/>
      <c r="R80" s="216"/>
      <c r="S80" s="216"/>
      <c r="T80" s="216"/>
      <c r="U80" s="216"/>
      <c r="V80" s="216"/>
      <c r="W80" s="216"/>
      <c r="X80" s="216"/>
      <c r="Y80" s="216"/>
      <c r="Z80" s="216"/>
      <c r="AA80" s="216"/>
      <c r="AB80" s="216"/>
      <c r="AC80" s="216"/>
      <c r="AD80" s="216"/>
      <c r="AE80" s="216"/>
      <c r="AF80" s="216"/>
    </row>
    <row r="81" spans="1:32" ht="15" customHeight="1">
      <c r="A81" s="134" t="s">
        <v>4765</v>
      </c>
      <c r="B81" s="133" t="s">
        <v>4465</v>
      </c>
      <c r="C81" s="99" t="s">
        <v>4766</v>
      </c>
      <c r="D81" s="99" t="s">
        <v>105</v>
      </c>
      <c r="E81" s="745" t="s">
        <v>4725</v>
      </c>
      <c r="F81" s="99" t="s">
        <v>4764</v>
      </c>
      <c r="G81" s="100" t="s">
        <v>4767</v>
      </c>
      <c r="H81" s="407" t="s">
        <v>4768</v>
      </c>
      <c r="I81" s="100" t="s">
        <v>4728</v>
      </c>
      <c r="J81" s="100">
        <v>2</v>
      </c>
      <c r="K81" s="100">
        <v>2</v>
      </c>
      <c r="L81" s="100">
        <v>2</v>
      </c>
      <c r="M81" s="100">
        <v>100</v>
      </c>
      <c r="N81" s="114">
        <f t="shared" si="8"/>
        <v>50</v>
      </c>
      <c r="O81" s="338" t="s">
        <v>138</v>
      </c>
      <c r="P81" s="216"/>
      <c r="Q81" s="216"/>
      <c r="R81" s="216"/>
      <c r="S81" s="216"/>
      <c r="T81" s="216"/>
      <c r="U81" s="216"/>
      <c r="V81" s="216"/>
      <c r="W81" s="216"/>
      <c r="X81" s="216"/>
      <c r="Y81" s="216"/>
      <c r="Z81" s="216"/>
      <c r="AA81" s="216"/>
      <c r="AB81" s="216"/>
      <c r="AC81" s="216"/>
      <c r="AD81" s="216"/>
      <c r="AE81" s="216"/>
      <c r="AF81" s="216"/>
    </row>
    <row r="82" spans="1:32" ht="15" customHeight="1">
      <c r="A82" s="134" t="s">
        <v>4769</v>
      </c>
      <c r="B82" s="133" t="s">
        <v>4453</v>
      </c>
      <c r="C82" s="99" t="s">
        <v>4770</v>
      </c>
      <c r="D82" s="99" t="s">
        <v>105</v>
      </c>
      <c r="E82" s="99" t="s">
        <v>4771</v>
      </c>
      <c r="F82" s="99" t="s">
        <v>4648</v>
      </c>
      <c r="G82" s="100" t="s">
        <v>4772</v>
      </c>
      <c r="H82" s="407" t="s">
        <v>4733</v>
      </c>
      <c r="I82" s="100" t="s">
        <v>4585</v>
      </c>
      <c r="J82" s="188"/>
      <c r="K82" s="188">
        <v>4</v>
      </c>
      <c r="L82" s="188">
        <v>4</v>
      </c>
      <c r="M82" s="188">
        <v>100</v>
      </c>
      <c r="N82" s="114">
        <v>25</v>
      </c>
      <c r="O82" s="338" t="s">
        <v>120</v>
      </c>
      <c r="P82" s="216"/>
      <c r="Q82" s="216"/>
      <c r="R82" s="216"/>
      <c r="S82" s="216"/>
      <c r="T82" s="216"/>
      <c r="U82" s="216"/>
      <c r="V82" s="216"/>
      <c r="W82" s="216"/>
      <c r="X82" s="216"/>
      <c r="Y82" s="216"/>
      <c r="Z82" s="216"/>
      <c r="AA82" s="216"/>
      <c r="AB82" s="216"/>
      <c r="AC82" s="216"/>
      <c r="AD82" s="216"/>
      <c r="AE82" s="216"/>
      <c r="AF82" s="216"/>
    </row>
    <row r="83" spans="1:32" ht="15" customHeight="1">
      <c r="A83" s="134" t="s">
        <v>4773</v>
      </c>
      <c r="B83" s="133" t="s">
        <v>4453</v>
      </c>
      <c r="C83" s="99" t="s">
        <v>4774</v>
      </c>
      <c r="D83" s="99" t="s">
        <v>105</v>
      </c>
      <c r="E83" s="99" t="s">
        <v>4771</v>
      </c>
      <c r="F83" s="99" t="s">
        <v>4648</v>
      </c>
      <c r="G83" s="100" t="s">
        <v>4775</v>
      </c>
      <c r="H83" s="407" t="s">
        <v>4756</v>
      </c>
      <c r="I83" s="116" t="s">
        <v>4585</v>
      </c>
      <c r="J83" s="116"/>
      <c r="K83" s="116">
        <v>4</v>
      </c>
      <c r="L83" s="116">
        <v>4</v>
      </c>
      <c r="M83" s="116">
        <v>100</v>
      </c>
      <c r="N83" s="114">
        <v>25</v>
      </c>
      <c r="O83" s="338" t="s">
        <v>120</v>
      </c>
      <c r="P83" s="216"/>
      <c r="Q83" s="216"/>
      <c r="R83" s="216"/>
      <c r="S83" s="216"/>
      <c r="T83" s="216"/>
      <c r="U83" s="216"/>
      <c r="V83" s="216"/>
      <c r="W83" s="216"/>
      <c r="X83" s="216"/>
      <c r="Y83" s="216"/>
      <c r="Z83" s="216"/>
      <c r="AA83" s="216"/>
      <c r="AB83" s="216"/>
      <c r="AC83" s="216"/>
      <c r="AD83" s="216"/>
      <c r="AE83" s="216"/>
      <c r="AF83" s="216"/>
    </row>
    <row r="84" spans="1:32" ht="15" customHeight="1">
      <c r="A84" s="134" t="s">
        <v>4702</v>
      </c>
      <c r="B84" s="133" t="s">
        <v>4453</v>
      </c>
      <c r="C84" s="99" t="s">
        <v>4703</v>
      </c>
      <c r="D84" s="99" t="s">
        <v>105</v>
      </c>
      <c r="E84" s="579" t="s">
        <v>4704</v>
      </c>
      <c r="F84" s="99" t="s">
        <v>4705</v>
      </c>
      <c r="G84" s="116">
        <v>1007</v>
      </c>
      <c r="H84" s="751" t="s">
        <v>4706</v>
      </c>
      <c r="I84" s="116" t="s">
        <v>4712</v>
      </c>
      <c r="J84" s="116">
        <v>5</v>
      </c>
      <c r="K84" s="116">
        <v>5</v>
      </c>
      <c r="L84" s="116">
        <v>5</v>
      </c>
      <c r="M84" s="116">
        <v>100</v>
      </c>
      <c r="N84" s="547">
        <f t="shared" ref="N84:N86" si="9">M84/L84</f>
        <v>20</v>
      </c>
      <c r="O84" s="338" t="s">
        <v>113</v>
      </c>
      <c r="P84" s="216"/>
      <c r="Q84" s="216"/>
      <c r="R84" s="216"/>
      <c r="S84" s="216"/>
      <c r="T84" s="216"/>
      <c r="U84" s="216"/>
      <c r="V84" s="216"/>
      <c r="W84" s="216"/>
      <c r="X84" s="216"/>
      <c r="Y84" s="216"/>
      <c r="Z84" s="216"/>
      <c r="AA84" s="216"/>
      <c r="AB84" s="216"/>
      <c r="AC84" s="216"/>
      <c r="AD84" s="216"/>
      <c r="AE84" s="216"/>
      <c r="AF84" s="216"/>
    </row>
    <row r="85" spans="1:32" ht="15" customHeight="1">
      <c r="A85" s="134" t="s">
        <v>4776</v>
      </c>
      <c r="B85" s="133" t="s">
        <v>4453</v>
      </c>
      <c r="C85" s="99" t="s">
        <v>4777</v>
      </c>
      <c r="D85" s="99" t="s">
        <v>105</v>
      </c>
      <c r="E85" s="579" t="s">
        <v>4778</v>
      </c>
      <c r="F85" s="99" t="s">
        <v>4779</v>
      </c>
      <c r="G85" s="116" t="s">
        <v>4780</v>
      </c>
      <c r="H85" s="116" t="s">
        <v>4781</v>
      </c>
      <c r="I85" s="116" t="s">
        <v>4782</v>
      </c>
      <c r="J85" s="116">
        <v>2</v>
      </c>
      <c r="K85" s="116">
        <v>2</v>
      </c>
      <c r="L85" s="116">
        <v>2</v>
      </c>
      <c r="M85" s="116">
        <v>100</v>
      </c>
      <c r="N85" s="547">
        <f t="shared" si="9"/>
        <v>50</v>
      </c>
      <c r="O85" s="338" t="s">
        <v>113</v>
      </c>
      <c r="P85" s="216"/>
      <c r="Q85" s="216"/>
      <c r="R85" s="216"/>
      <c r="S85" s="216"/>
      <c r="T85" s="216"/>
      <c r="U85" s="216"/>
      <c r="V85" s="216"/>
      <c r="W85" s="216"/>
      <c r="X85" s="216"/>
      <c r="Y85" s="216"/>
      <c r="Z85" s="216"/>
      <c r="AA85" s="216"/>
      <c r="AB85" s="216"/>
      <c r="AC85" s="216"/>
      <c r="AD85" s="216"/>
      <c r="AE85" s="216"/>
      <c r="AF85" s="216"/>
    </row>
    <row r="86" spans="1:32" ht="15" customHeight="1">
      <c r="A86" s="134" t="s">
        <v>4696</v>
      </c>
      <c r="B86" s="133" t="s">
        <v>4465</v>
      </c>
      <c r="C86" s="500" t="s">
        <v>4697</v>
      </c>
      <c r="D86" s="99" t="s">
        <v>105</v>
      </c>
      <c r="E86" s="99" t="s">
        <v>4698</v>
      </c>
      <c r="F86" s="99" t="s">
        <v>4699</v>
      </c>
      <c r="G86" s="116" t="s">
        <v>4700</v>
      </c>
      <c r="H86" s="749" t="s">
        <v>588</v>
      </c>
      <c r="I86" s="407" t="s">
        <v>4701</v>
      </c>
      <c r="J86" s="116">
        <v>4</v>
      </c>
      <c r="K86" s="116">
        <v>4</v>
      </c>
      <c r="L86" s="116">
        <v>4</v>
      </c>
      <c r="M86" s="116">
        <v>100</v>
      </c>
      <c r="N86" s="750">
        <f t="shared" si="9"/>
        <v>25</v>
      </c>
      <c r="O86" s="338" t="s">
        <v>113</v>
      </c>
      <c r="P86" s="216"/>
      <c r="Q86" s="216"/>
      <c r="R86" s="216"/>
      <c r="S86" s="216"/>
      <c r="T86" s="216"/>
      <c r="U86" s="216"/>
      <c r="V86" s="216"/>
      <c r="W86" s="216"/>
      <c r="X86" s="216"/>
      <c r="Y86" s="216"/>
      <c r="Z86" s="216"/>
      <c r="AA86" s="216"/>
      <c r="AB86" s="216"/>
      <c r="AC86" s="216"/>
      <c r="AD86" s="216"/>
      <c r="AE86" s="216"/>
      <c r="AF86" s="216"/>
    </row>
    <row r="87" spans="1:32" ht="15.75" customHeight="1"/>
    <row r="88" spans="1:32" ht="15" customHeight="1">
      <c r="A88" s="332" t="s">
        <v>169</v>
      </c>
      <c r="N88" s="345">
        <f>SUM(N11:N86)</f>
        <v>3685.8266666666659</v>
      </c>
    </row>
    <row r="89" spans="1:32" ht="15.75" customHeight="1"/>
    <row r="90" spans="1:32" ht="15" customHeight="1">
      <c r="A90" s="1231" t="s">
        <v>1156</v>
      </c>
      <c r="B90" s="1232"/>
      <c r="C90" s="1232"/>
      <c r="D90" s="1232"/>
      <c r="E90" s="1232"/>
      <c r="F90" s="1232"/>
      <c r="G90" s="1232"/>
      <c r="H90" s="1233"/>
    </row>
    <row r="91" spans="1:32" ht="15.75" customHeight="1"/>
    <row r="92" spans="1:32" ht="15.75" customHeight="1"/>
    <row r="93" spans="1:32" ht="15.75" customHeight="1"/>
    <row r="94" spans="1:32" ht="15.75" customHeight="1"/>
    <row r="95" spans="1:32" ht="15.75" customHeight="1"/>
    <row r="96" spans="1:32"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A90:H90"/>
    <mergeCell ref="E72:E73"/>
    <mergeCell ref="F72:F73"/>
    <mergeCell ref="G72:G73"/>
    <mergeCell ref="H72:H73"/>
    <mergeCell ref="N72:N73"/>
    <mergeCell ref="A2:N2"/>
    <mergeCell ref="A4:N4"/>
    <mergeCell ref="A5:N5"/>
    <mergeCell ref="A6:N6"/>
    <mergeCell ref="A7:N7"/>
    <mergeCell ref="A8:N8"/>
    <mergeCell ref="A72:A73"/>
    <mergeCell ref="I72:I73"/>
    <mergeCell ref="J72:J73"/>
    <mergeCell ref="K72:K73"/>
    <mergeCell ref="L72:L73"/>
    <mergeCell ref="M72:M73"/>
    <mergeCell ref="B72:B73"/>
    <mergeCell ref="D72:D73"/>
  </mergeCells>
  <hyperlinks>
    <hyperlink ref="H30" r:id="rId1" xr:uid="{00000000-0004-0000-0900-000000000000}"/>
    <hyperlink ref="H31" r:id="rId2" xr:uid="{00000000-0004-0000-0900-000001000000}"/>
    <hyperlink ref="H32" r:id="rId3" xr:uid="{00000000-0004-0000-0900-000002000000}"/>
    <hyperlink ref="H33" r:id="rId4" xr:uid="{00000000-0004-0000-0900-000003000000}"/>
    <hyperlink ref="H34" r:id="rId5" xr:uid="{00000000-0004-0000-0900-000004000000}"/>
    <hyperlink ref="H35" r:id="rId6" xr:uid="{00000000-0004-0000-0900-000005000000}"/>
    <hyperlink ref="H36" r:id="rId7" xr:uid="{00000000-0004-0000-0900-000006000000}"/>
    <hyperlink ref="I48" r:id="rId8" xr:uid="{00000000-0004-0000-0900-000007000000}"/>
    <hyperlink ref="I49" r:id="rId9" xr:uid="{00000000-0004-0000-0900-000008000000}"/>
    <hyperlink ref="A55" r:id="rId10" xr:uid="{00000000-0004-0000-0900-000009000000}"/>
    <hyperlink ref="A57" r:id="rId11" xr:uid="{00000000-0004-0000-0900-00000A000000}"/>
    <hyperlink ref="I57" r:id="rId12" xr:uid="{00000000-0004-0000-0900-00000B000000}"/>
    <hyperlink ref="I58" r:id="rId13" xr:uid="{00000000-0004-0000-0900-00000C000000}"/>
    <hyperlink ref="I63" r:id="rId14" xr:uid="{00000000-0004-0000-0900-00000D000000}"/>
    <hyperlink ref="I64" r:id="rId15" xr:uid="{00000000-0004-0000-0900-00000E000000}"/>
    <hyperlink ref="H65" r:id="rId16" xr:uid="{00000000-0004-0000-0900-00000F000000}"/>
    <hyperlink ref="H69" r:id="rId17" xr:uid="{00000000-0004-0000-0900-000010000000}"/>
    <hyperlink ref="H70" r:id="rId18" xr:uid="{00000000-0004-0000-0900-000011000000}"/>
    <hyperlink ref="I72" r:id="rId19" xr:uid="{00000000-0004-0000-0900-000012000000}"/>
    <hyperlink ref="H76" r:id="rId20" xr:uid="{00000000-0004-0000-0900-000013000000}"/>
    <hyperlink ref="H77" r:id="rId21" xr:uid="{00000000-0004-0000-0900-000014000000}"/>
    <hyperlink ref="H78" r:id="rId22" xr:uid="{00000000-0004-0000-0900-000015000000}"/>
    <hyperlink ref="I79" r:id="rId23" xr:uid="{00000000-0004-0000-0900-000016000000}"/>
    <hyperlink ref="H80" r:id="rId24" xr:uid="{00000000-0004-0000-0900-000017000000}"/>
    <hyperlink ref="H81" r:id="rId25" xr:uid="{00000000-0004-0000-0900-000018000000}"/>
    <hyperlink ref="H82" r:id="rId26" xr:uid="{00000000-0004-0000-0900-000019000000}"/>
    <hyperlink ref="H83" r:id="rId27" xr:uid="{00000000-0004-0000-0900-00001A000000}"/>
    <hyperlink ref="H84" r:id="rId28" xr:uid="{00000000-0004-0000-0900-00001B000000}"/>
    <hyperlink ref="I86" r:id="rId29" xr:uid="{00000000-0004-0000-0900-00001C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E1000"/>
  <sheetViews>
    <sheetView workbookViewId="0"/>
  </sheetViews>
  <sheetFormatPr defaultColWidth="14.3984375" defaultRowHeight="15" customHeight="1"/>
  <cols>
    <col min="1" max="1" width="23.73046875" customWidth="1"/>
    <col min="2" max="2" width="20.86328125" customWidth="1"/>
    <col min="3" max="3" width="12" customWidth="1"/>
    <col min="4" max="4" width="16.3984375" customWidth="1"/>
    <col min="5" max="5" width="13.1328125" customWidth="1"/>
    <col min="6" max="6" width="10.59765625" customWidth="1"/>
    <col min="7" max="7" width="10.3984375" customWidth="1"/>
    <col min="8" max="8" width="9.86328125" customWidth="1"/>
    <col min="9" max="9" width="14.3984375" customWidth="1"/>
    <col min="10" max="10" width="6.265625" customWidth="1"/>
    <col min="11" max="11" width="8.1328125" customWidth="1"/>
    <col min="12" max="13" width="8.86328125" customWidth="1"/>
    <col min="14" max="31" width="8" customWidth="1"/>
  </cols>
  <sheetData>
    <row r="1" spans="1:31" ht="9" customHeight="1">
      <c r="A1" s="64"/>
      <c r="B1" s="65"/>
      <c r="C1" s="65"/>
      <c r="D1" s="1"/>
      <c r="E1" s="1"/>
      <c r="F1" s="1"/>
      <c r="G1" s="1"/>
      <c r="H1" s="1"/>
      <c r="I1" s="1"/>
      <c r="J1" s="1"/>
      <c r="K1" s="1"/>
      <c r="L1" s="216"/>
      <c r="M1" s="216"/>
      <c r="N1" s="216"/>
      <c r="O1" s="216"/>
      <c r="P1" s="216"/>
      <c r="Q1" s="216"/>
      <c r="R1" s="216"/>
      <c r="S1" s="216"/>
      <c r="T1" s="216"/>
      <c r="U1" s="216"/>
      <c r="V1" s="216"/>
      <c r="W1" s="216"/>
      <c r="X1" s="216"/>
      <c r="Y1" s="216"/>
      <c r="Z1" s="216"/>
      <c r="AA1" s="216"/>
      <c r="AB1" s="216"/>
      <c r="AC1" s="216"/>
      <c r="AD1" s="216"/>
      <c r="AE1" s="216"/>
    </row>
    <row r="2" spans="1:31" ht="29.25" customHeight="1">
      <c r="A2" s="1253" t="s">
        <v>4783</v>
      </c>
      <c r="B2" s="1232"/>
      <c r="C2" s="1232"/>
      <c r="D2" s="1232"/>
      <c r="E2" s="1232"/>
      <c r="F2" s="1232"/>
      <c r="G2" s="1232"/>
      <c r="H2" s="1232"/>
      <c r="I2" s="1232"/>
      <c r="J2" s="1232"/>
      <c r="K2" s="1232"/>
      <c r="L2" s="1232"/>
      <c r="M2" s="1233"/>
      <c r="N2" s="69"/>
      <c r="O2" s="69"/>
      <c r="P2" s="69"/>
      <c r="Q2" s="69"/>
      <c r="R2" s="69"/>
      <c r="S2" s="69"/>
      <c r="T2" s="69"/>
      <c r="U2" s="69"/>
      <c r="V2" s="69"/>
      <c r="W2" s="69"/>
      <c r="X2" s="69"/>
      <c r="Y2" s="69"/>
      <c r="Z2" s="69"/>
      <c r="AA2" s="69"/>
      <c r="AB2" s="69"/>
      <c r="AC2" s="69"/>
      <c r="AD2" s="69"/>
      <c r="AE2" s="69"/>
    </row>
    <row r="3" spans="1:31" ht="15.4">
      <c r="A3" s="375"/>
      <c r="B3" s="375"/>
      <c r="C3" s="375"/>
      <c r="D3" s="375"/>
      <c r="E3" s="375"/>
      <c r="F3" s="375"/>
      <c r="G3" s="375"/>
      <c r="H3" s="375"/>
      <c r="I3" s="375"/>
      <c r="J3" s="375"/>
      <c r="K3" s="375"/>
      <c r="L3" s="68"/>
      <c r="M3" s="68"/>
      <c r="N3" s="69"/>
      <c r="O3" s="69"/>
      <c r="P3" s="69"/>
      <c r="Q3" s="69"/>
      <c r="R3" s="69"/>
      <c r="S3" s="69"/>
      <c r="T3" s="69"/>
      <c r="U3" s="69"/>
      <c r="V3" s="69"/>
      <c r="W3" s="69"/>
      <c r="X3" s="69"/>
      <c r="Y3" s="69"/>
      <c r="Z3" s="69"/>
      <c r="AA3" s="69"/>
      <c r="AB3" s="69"/>
      <c r="AC3" s="69"/>
      <c r="AD3" s="69"/>
      <c r="AE3" s="69"/>
    </row>
    <row r="4" spans="1:31" ht="25.5" customHeight="1">
      <c r="A4" s="1226" t="s">
        <v>4784</v>
      </c>
      <c r="B4" s="1227"/>
      <c r="C4" s="1227"/>
      <c r="D4" s="1227"/>
      <c r="E4" s="1227"/>
      <c r="F4" s="1227"/>
      <c r="G4" s="1227"/>
      <c r="H4" s="1227"/>
      <c r="I4" s="1227"/>
      <c r="J4" s="1227"/>
      <c r="K4" s="1227"/>
      <c r="L4" s="1227"/>
      <c r="M4" s="1228"/>
      <c r="N4" s="510"/>
      <c r="O4" s="510"/>
      <c r="P4" s="510"/>
      <c r="Q4" s="510"/>
      <c r="R4" s="510"/>
      <c r="S4" s="510"/>
      <c r="T4" s="510"/>
      <c r="U4" s="510"/>
      <c r="V4" s="510"/>
      <c r="W4" s="510"/>
      <c r="X4" s="510"/>
      <c r="Y4" s="510"/>
      <c r="Z4" s="510"/>
      <c r="AA4" s="510"/>
      <c r="AB4" s="510"/>
      <c r="AC4" s="510"/>
      <c r="AD4" s="510"/>
      <c r="AE4" s="510"/>
    </row>
    <row r="5" spans="1:31" ht="29.25" customHeight="1">
      <c r="A5" s="1226" t="s">
        <v>4785</v>
      </c>
      <c r="B5" s="1227"/>
      <c r="C5" s="1227"/>
      <c r="D5" s="1227"/>
      <c r="E5" s="1227"/>
      <c r="F5" s="1227"/>
      <c r="G5" s="1227"/>
      <c r="H5" s="1227"/>
      <c r="I5" s="1227"/>
      <c r="J5" s="1227"/>
      <c r="K5" s="1227"/>
      <c r="L5" s="1227"/>
      <c r="M5" s="1228"/>
      <c r="N5" s="510"/>
      <c r="O5" s="510"/>
      <c r="P5" s="510"/>
      <c r="Q5" s="510"/>
      <c r="R5" s="510"/>
      <c r="S5" s="510"/>
      <c r="T5" s="510"/>
      <c r="U5" s="510"/>
      <c r="V5" s="510"/>
      <c r="W5" s="510"/>
      <c r="X5" s="510"/>
      <c r="Y5" s="510"/>
      <c r="Z5" s="510"/>
      <c r="AA5" s="510"/>
      <c r="AB5" s="510"/>
      <c r="AC5" s="510"/>
      <c r="AD5" s="510"/>
      <c r="AE5" s="510"/>
    </row>
    <row r="6" spans="1:31" ht="18.75" customHeight="1">
      <c r="A6" s="1226" t="s">
        <v>4786</v>
      </c>
      <c r="B6" s="1227"/>
      <c r="C6" s="1227"/>
      <c r="D6" s="1227"/>
      <c r="E6" s="1227"/>
      <c r="F6" s="1227"/>
      <c r="G6" s="1227"/>
      <c r="H6" s="1227"/>
      <c r="I6" s="1227"/>
      <c r="J6" s="1227"/>
      <c r="K6" s="1227"/>
      <c r="L6" s="1227"/>
      <c r="M6" s="1228"/>
      <c r="N6" s="510"/>
      <c r="O6" s="510"/>
      <c r="P6" s="510"/>
      <c r="Q6" s="510"/>
      <c r="R6" s="510"/>
      <c r="S6" s="510"/>
      <c r="T6" s="510"/>
      <c r="U6" s="510"/>
      <c r="V6" s="510"/>
      <c r="W6" s="510"/>
      <c r="X6" s="510"/>
      <c r="Y6" s="510"/>
      <c r="Z6" s="510"/>
      <c r="AA6" s="510"/>
      <c r="AB6" s="510"/>
      <c r="AC6" s="510"/>
      <c r="AD6" s="510"/>
      <c r="AE6" s="510"/>
    </row>
    <row r="7" spans="1:31" ht="16.5" customHeight="1">
      <c r="A7" s="1226" t="s">
        <v>4787</v>
      </c>
      <c r="B7" s="1227"/>
      <c r="C7" s="1227"/>
      <c r="D7" s="1227"/>
      <c r="E7" s="1227"/>
      <c r="F7" s="1227"/>
      <c r="G7" s="1227"/>
      <c r="H7" s="1227"/>
      <c r="I7" s="1227"/>
      <c r="J7" s="1227"/>
      <c r="K7" s="1227"/>
      <c r="L7" s="1227"/>
      <c r="M7" s="1228"/>
      <c r="N7" s="510"/>
      <c r="O7" s="510"/>
      <c r="P7" s="510"/>
      <c r="Q7" s="510"/>
      <c r="R7" s="510"/>
      <c r="S7" s="510"/>
      <c r="T7" s="510"/>
      <c r="U7" s="510"/>
      <c r="V7" s="510"/>
      <c r="W7" s="510"/>
      <c r="X7" s="510"/>
      <c r="Y7" s="510"/>
      <c r="Z7" s="510"/>
      <c r="AA7" s="510"/>
      <c r="AB7" s="510"/>
      <c r="AC7" s="510"/>
      <c r="AD7" s="510"/>
      <c r="AE7" s="510"/>
    </row>
    <row r="8" spans="1:31" ht="14.25" customHeight="1">
      <c r="A8" s="1226" t="s">
        <v>4788</v>
      </c>
      <c r="B8" s="1227"/>
      <c r="C8" s="1227"/>
      <c r="D8" s="1227"/>
      <c r="E8" s="1227"/>
      <c r="F8" s="1227"/>
      <c r="G8" s="1227"/>
      <c r="H8" s="1227"/>
      <c r="I8" s="1227"/>
      <c r="J8" s="1227"/>
      <c r="K8" s="1227"/>
      <c r="L8" s="1227"/>
      <c r="M8" s="1228"/>
      <c r="N8" s="510"/>
      <c r="O8" s="510"/>
      <c r="P8" s="510"/>
      <c r="Q8" s="510"/>
      <c r="R8" s="510"/>
      <c r="S8" s="510"/>
      <c r="T8" s="510"/>
      <c r="U8" s="510"/>
      <c r="V8" s="510"/>
      <c r="W8" s="510"/>
      <c r="X8" s="510"/>
      <c r="Y8" s="510"/>
      <c r="Z8" s="510"/>
      <c r="AA8" s="510"/>
      <c r="AB8" s="510"/>
      <c r="AC8" s="510"/>
      <c r="AD8" s="510"/>
      <c r="AE8" s="510"/>
    </row>
    <row r="9" spans="1:31" ht="15.75" customHeight="1">
      <c r="A9" s="1226" t="s">
        <v>4789</v>
      </c>
      <c r="B9" s="1227"/>
      <c r="C9" s="1227"/>
      <c r="D9" s="1227"/>
      <c r="E9" s="1227"/>
      <c r="F9" s="1227"/>
      <c r="G9" s="1227"/>
      <c r="H9" s="1227"/>
      <c r="I9" s="1227"/>
      <c r="J9" s="1227"/>
      <c r="K9" s="1227"/>
      <c r="L9" s="1227"/>
      <c r="M9" s="1228"/>
      <c r="N9" s="510"/>
      <c r="O9" s="510"/>
      <c r="P9" s="510"/>
      <c r="Q9" s="510"/>
      <c r="R9" s="510"/>
      <c r="S9" s="510"/>
      <c r="T9" s="510"/>
      <c r="U9" s="510"/>
      <c r="V9" s="510"/>
      <c r="W9" s="510"/>
      <c r="X9" s="510"/>
      <c r="Y9" s="510"/>
      <c r="Z9" s="510"/>
      <c r="AA9" s="510"/>
      <c r="AB9" s="510"/>
      <c r="AC9" s="510"/>
      <c r="AD9" s="510"/>
      <c r="AE9" s="510"/>
    </row>
    <row r="10" spans="1:31" ht="26.25" customHeight="1">
      <c r="A10" s="1226" t="s">
        <v>4790</v>
      </c>
      <c r="B10" s="1227"/>
      <c r="C10" s="1227"/>
      <c r="D10" s="1227"/>
      <c r="E10" s="1227"/>
      <c r="F10" s="1227"/>
      <c r="G10" s="1227"/>
      <c r="H10" s="1227"/>
      <c r="I10" s="1227"/>
      <c r="J10" s="1227"/>
      <c r="K10" s="1227"/>
      <c r="L10" s="1227"/>
      <c r="M10" s="1228"/>
      <c r="N10" s="510"/>
      <c r="O10" s="510"/>
      <c r="P10" s="510"/>
      <c r="Q10" s="510"/>
      <c r="R10" s="510"/>
      <c r="S10" s="510"/>
      <c r="T10" s="510"/>
      <c r="U10" s="510"/>
      <c r="V10" s="510"/>
      <c r="W10" s="510"/>
      <c r="X10" s="510"/>
      <c r="Y10" s="510"/>
      <c r="Z10" s="510"/>
      <c r="AA10" s="510"/>
      <c r="AB10" s="510"/>
      <c r="AC10" s="510"/>
      <c r="AD10" s="510"/>
      <c r="AE10" s="510"/>
    </row>
    <row r="11" spans="1:31" ht="79.5" customHeight="1">
      <c r="A11" s="1229" t="s">
        <v>4791</v>
      </c>
      <c r="B11" s="1227"/>
      <c r="C11" s="1227"/>
      <c r="D11" s="1227"/>
      <c r="E11" s="1227"/>
      <c r="F11" s="1227"/>
      <c r="G11" s="1227"/>
      <c r="H11" s="1227"/>
      <c r="I11" s="1227"/>
      <c r="J11" s="1227"/>
      <c r="K11" s="1227"/>
      <c r="L11" s="1227"/>
      <c r="M11" s="1228"/>
      <c r="N11" s="69"/>
      <c r="O11" s="69"/>
      <c r="P11" s="69"/>
      <c r="Q11" s="69"/>
      <c r="R11" s="69"/>
      <c r="S11" s="69"/>
      <c r="T11" s="69"/>
      <c r="U11" s="69"/>
      <c r="V11" s="69"/>
      <c r="W11" s="69"/>
      <c r="X11" s="69"/>
      <c r="Y11" s="69"/>
      <c r="Z11" s="69"/>
      <c r="AA11" s="69"/>
      <c r="AB11" s="69"/>
      <c r="AC11" s="69"/>
      <c r="AD11" s="69"/>
      <c r="AE11" s="69"/>
    </row>
    <row r="12" spans="1:31" ht="14.25">
      <c r="A12" s="77"/>
      <c r="B12" s="78"/>
      <c r="C12" s="78"/>
      <c r="D12" s="77"/>
      <c r="E12" s="77"/>
      <c r="F12" s="77"/>
      <c r="G12" s="77"/>
      <c r="H12" s="77"/>
      <c r="I12" s="77"/>
      <c r="J12" s="77"/>
      <c r="K12" s="77"/>
      <c r="L12" s="1"/>
      <c r="M12" s="1"/>
      <c r="N12" s="216"/>
      <c r="O12" s="216"/>
      <c r="P12" s="216"/>
      <c r="Q12" s="216"/>
      <c r="R12" s="216"/>
      <c r="S12" s="216"/>
      <c r="T12" s="216"/>
      <c r="U12" s="216"/>
      <c r="V12" s="216"/>
      <c r="W12" s="216"/>
      <c r="X12" s="216"/>
      <c r="Y12" s="216"/>
      <c r="Z12" s="216"/>
      <c r="AA12" s="216"/>
      <c r="AB12" s="216"/>
      <c r="AC12" s="216"/>
      <c r="AD12" s="216"/>
      <c r="AE12" s="216"/>
    </row>
    <row r="13" spans="1:31" ht="14.25">
      <c r="A13" s="64"/>
      <c r="B13" s="65"/>
      <c r="C13" s="65"/>
      <c r="D13" s="1"/>
      <c r="E13" s="1"/>
      <c r="F13" s="1"/>
      <c r="G13" s="1"/>
      <c r="H13" s="1"/>
      <c r="I13" s="1"/>
      <c r="J13" s="1"/>
      <c r="K13" s="1"/>
      <c r="L13" s="216"/>
      <c r="M13" s="216"/>
      <c r="N13" s="216"/>
      <c r="O13" s="216"/>
      <c r="P13" s="216"/>
      <c r="Q13" s="216"/>
      <c r="R13" s="216"/>
      <c r="S13" s="216"/>
      <c r="T13" s="216"/>
      <c r="U13" s="216"/>
      <c r="V13" s="216"/>
      <c r="W13" s="216"/>
      <c r="X13" s="216"/>
      <c r="Y13" s="216"/>
      <c r="Z13" s="216"/>
      <c r="AA13" s="216"/>
      <c r="AB13" s="216"/>
      <c r="AC13" s="216"/>
      <c r="AD13" s="216"/>
      <c r="AE13" s="216"/>
    </row>
    <row r="14" spans="1:31" ht="51.75" customHeight="1">
      <c r="A14" s="350" t="s">
        <v>1164</v>
      </c>
      <c r="B14" s="377" t="s">
        <v>4792</v>
      </c>
      <c r="C14" s="83" t="s">
        <v>7</v>
      </c>
      <c r="D14" s="376" t="s">
        <v>4793</v>
      </c>
      <c r="E14" s="377" t="s">
        <v>4794</v>
      </c>
      <c r="F14" s="377" t="s">
        <v>201</v>
      </c>
      <c r="G14" s="377" t="s">
        <v>4795</v>
      </c>
      <c r="H14" s="760" t="s">
        <v>4796</v>
      </c>
      <c r="I14" s="82" t="s">
        <v>203</v>
      </c>
      <c r="J14" s="82" t="s">
        <v>204</v>
      </c>
      <c r="K14" s="82" t="s">
        <v>205</v>
      </c>
      <c r="L14" s="350" t="s">
        <v>206</v>
      </c>
      <c r="M14" s="350" t="s">
        <v>210</v>
      </c>
      <c r="N14" s="336" t="s">
        <v>211</v>
      </c>
      <c r="O14" s="216"/>
      <c r="P14" s="216"/>
      <c r="Q14" s="216"/>
      <c r="R14" s="216"/>
      <c r="S14" s="216"/>
      <c r="T14" s="216"/>
      <c r="U14" s="216"/>
      <c r="V14" s="216"/>
      <c r="W14" s="216"/>
      <c r="X14" s="216"/>
      <c r="Y14" s="216"/>
      <c r="Z14" s="216"/>
      <c r="AA14" s="216"/>
      <c r="AB14" s="216"/>
      <c r="AC14" s="216"/>
      <c r="AD14" s="216"/>
      <c r="AE14" s="216"/>
    </row>
    <row r="15" spans="1:31" ht="15" customHeight="1">
      <c r="A15" s="134" t="s">
        <v>4797</v>
      </c>
      <c r="B15" s="134" t="s">
        <v>4798</v>
      </c>
      <c r="C15" s="99" t="s">
        <v>51</v>
      </c>
      <c r="D15" s="238" t="s">
        <v>4799</v>
      </c>
      <c r="E15" s="665" t="s">
        <v>4800</v>
      </c>
      <c r="F15" s="100">
        <v>2022</v>
      </c>
      <c r="G15" s="100" t="s">
        <v>4801</v>
      </c>
      <c r="H15" s="761">
        <v>228</v>
      </c>
      <c r="I15" s="186">
        <v>3</v>
      </c>
      <c r="J15" s="186">
        <v>3</v>
      </c>
      <c r="K15" s="186">
        <v>3</v>
      </c>
      <c r="L15" s="31" t="s">
        <v>4802</v>
      </c>
      <c r="M15" s="31">
        <v>304</v>
      </c>
      <c r="N15" s="338" t="s">
        <v>221</v>
      </c>
    </row>
    <row r="16" spans="1:31" ht="15" customHeight="1">
      <c r="A16" s="92" t="s">
        <v>4803</v>
      </c>
      <c r="B16" s="92" t="s">
        <v>4804</v>
      </c>
      <c r="C16" s="92" t="s">
        <v>4805</v>
      </c>
      <c r="D16" s="92" t="s">
        <v>4803</v>
      </c>
      <c r="E16" s="92" t="s">
        <v>4806</v>
      </c>
      <c r="F16" s="340" t="s">
        <v>4807</v>
      </c>
      <c r="G16" s="99" t="s">
        <v>4808</v>
      </c>
      <c r="H16" s="99">
        <v>350</v>
      </c>
      <c r="I16" s="100">
        <v>1</v>
      </c>
      <c r="J16" s="100">
        <v>1</v>
      </c>
      <c r="K16" s="100">
        <v>3</v>
      </c>
      <c r="L16" s="114">
        <v>350</v>
      </c>
      <c r="M16" s="114">
        <v>350</v>
      </c>
      <c r="N16" s="338" t="s">
        <v>1315</v>
      </c>
    </row>
    <row r="17" spans="1:14" ht="15" customHeight="1">
      <c r="A17" s="134" t="s">
        <v>4809</v>
      </c>
      <c r="B17" s="427" t="s">
        <v>1349</v>
      </c>
      <c r="C17" s="387" t="s">
        <v>51</v>
      </c>
      <c r="D17" s="238" t="s">
        <v>4810</v>
      </c>
      <c r="E17" s="762" t="s">
        <v>4811</v>
      </c>
      <c r="F17" s="100">
        <v>2022</v>
      </c>
      <c r="G17" s="100">
        <v>1</v>
      </c>
      <c r="H17" s="761">
        <v>176</v>
      </c>
      <c r="I17" s="186">
        <v>2</v>
      </c>
      <c r="J17" s="186">
        <v>2</v>
      </c>
      <c r="K17" s="186">
        <v>2</v>
      </c>
      <c r="L17" s="31">
        <v>352</v>
      </c>
      <c r="M17" s="31">
        <v>176</v>
      </c>
      <c r="N17" s="338" t="s">
        <v>1339</v>
      </c>
    </row>
    <row r="18" spans="1:14" ht="15" customHeight="1">
      <c r="A18" s="121" t="s">
        <v>4809</v>
      </c>
      <c r="B18" s="271" t="s">
        <v>1349</v>
      </c>
      <c r="C18" s="763" t="s">
        <v>51</v>
      </c>
      <c r="D18" s="123" t="s">
        <v>4810</v>
      </c>
      <c r="E18" s="764" t="s">
        <v>4811</v>
      </c>
      <c r="F18" s="337">
        <v>2022</v>
      </c>
      <c r="G18" s="337">
        <v>1</v>
      </c>
      <c r="H18" s="765">
        <v>176</v>
      </c>
      <c r="I18" s="766">
        <v>2</v>
      </c>
      <c r="J18" s="766">
        <v>2</v>
      </c>
      <c r="K18" s="766">
        <v>2</v>
      </c>
      <c r="L18" s="159">
        <v>352</v>
      </c>
      <c r="M18" s="159">
        <v>176</v>
      </c>
      <c r="N18" s="338" t="s">
        <v>249</v>
      </c>
    </row>
    <row r="19" spans="1:14" ht="15" customHeight="1">
      <c r="A19" s="134" t="s">
        <v>4812</v>
      </c>
      <c r="B19" s="134" t="s">
        <v>4813</v>
      </c>
      <c r="C19" s="99" t="s">
        <v>51</v>
      </c>
      <c r="D19" s="238" t="s">
        <v>4814</v>
      </c>
      <c r="E19" s="125" t="s">
        <v>4815</v>
      </c>
      <c r="F19" s="100">
        <v>2022</v>
      </c>
      <c r="G19" s="100">
        <v>12</v>
      </c>
      <c r="H19" s="761">
        <v>290</v>
      </c>
      <c r="I19" s="186">
        <v>2</v>
      </c>
      <c r="J19" s="186">
        <v>2</v>
      </c>
      <c r="K19" s="186">
        <v>2</v>
      </c>
      <c r="L19" s="31">
        <f t="shared" ref="L19:L26" si="0">H19*2</f>
        <v>580</v>
      </c>
      <c r="M19" s="31">
        <f t="shared" ref="M19:M25" si="1">L19/2</f>
        <v>290</v>
      </c>
      <c r="N19" s="338" t="s">
        <v>1869</v>
      </c>
    </row>
    <row r="20" spans="1:14" ht="15" customHeight="1">
      <c r="A20" s="134" t="s">
        <v>4816</v>
      </c>
      <c r="B20" s="134" t="s">
        <v>4813</v>
      </c>
      <c r="C20" s="99" t="s">
        <v>51</v>
      </c>
      <c r="D20" s="238" t="s">
        <v>4814</v>
      </c>
      <c r="E20" s="650" t="s">
        <v>4817</v>
      </c>
      <c r="F20" s="100">
        <v>2022</v>
      </c>
      <c r="G20" s="116">
        <v>11</v>
      </c>
      <c r="H20" s="761">
        <v>240</v>
      </c>
      <c r="I20" s="186">
        <v>2</v>
      </c>
      <c r="J20" s="186">
        <v>2</v>
      </c>
      <c r="K20" s="186">
        <v>2</v>
      </c>
      <c r="L20" s="31">
        <f t="shared" si="0"/>
        <v>480</v>
      </c>
      <c r="M20" s="31">
        <f t="shared" si="1"/>
        <v>240</v>
      </c>
      <c r="N20" s="338" t="s">
        <v>1869</v>
      </c>
    </row>
    <row r="21" spans="1:14" ht="15" customHeight="1">
      <c r="A21" s="134" t="s">
        <v>4818</v>
      </c>
      <c r="B21" s="134" t="s">
        <v>4813</v>
      </c>
      <c r="C21" s="99" t="s">
        <v>51</v>
      </c>
      <c r="D21" s="238" t="s">
        <v>4814</v>
      </c>
      <c r="E21" s="650" t="s">
        <v>4819</v>
      </c>
      <c r="F21" s="100">
        <v>2022</v>
      </c>
      <c r="G21" s="100">
        <v>11</v>
      </c>
      <c r="H21" s="761">
        <v>232</v>
      </c>
      <c r="I21" s="186">
        <v>2</v>
      </c>
      <c r="J21" s="186">
        <v>2</v>
      </c>
      <c r="K21" s="186">
        <v>2</v>
      </c>
      <c r="L21" s="31">
        <f t="shared" si="0"/>
        <v>464</v>
      </c>
      <c r="M21" s="31">
        <f t="shared" si="1"/>
        <v>232</v>
      </c>
      <c r="N21" s="338" t="s">
        <v>1869</v>
      </c>
    </row>
    <row r="22" spans="1:14" ht="15" customHeight="1">
      <c r="A22" s="134" t="s">
        <v>4820</v>
      </c>
      <c r="B22" s="134" t="s">
        <v>4813</v>
      </c>
      <c r="C22" s="99" t="s">
        <v>51</v>
      </c>
      <c r="D22" s="238" t="s">
        <v>4814</v>
      </c>
      <c r="E22" s="650" t="s">
        <v>4821</v>
      </c>
      <c r="F22" s="100">
        <v>2022</v>
      </c>
      <c r="G22" s="116">
        <v>11</v>
      </c>
      <c r="H22" s="761">
        <v>232</v>
      </c>
      <c r="I22" s="186">
        <v>2</v>
      </c>
      <c r="J22" s="186">
        <v>2</v>
      </c>
      <c r="K22" s="186">
        <v>2</v>
      </c>
      <c r="L22" s="31">
        <f t="shared" si="0"/>
        <v>464</v>
      </c>
      <c r="M22" s="31">
        <f t="shared" si="1"/>
        <v>232</v>
      </c>
      <c r="N22" s="338" t="s">
        <v>1869</v>
      </c>
    </row>
    <row r="23" spans="1:14" ht="15" customHeight="1">
      <c r="A23" s="134" t="s">
        <v>4822</v>
      </c>
      <c r="B23" s="134" t="s">
        <v>4813</v>
      </c>
      <c r="C23" s="99" t="s">
        <v>51</v>
      </c>
      <c r="D23" s="238" t="s">
        <v>4814</v>
      </c>
      <c r="E23" s="650" t="s">
        <v>4823</v>
      </c>
      <c r="F23" s="100">
        <v>2022</v>
      </c>
      <c r="G23" s="116">
        <v>11</v>
      </c>
      <c r="H23" s="761">
        <v>224</v>
      </c>
      <c r="I23" s="186">
        <v>2</v>
      </c>
      <c r="J23" s="186">
        <v>2</v>
      </c>
      <c r="K23" s="186">
        <v>2</v>
      </c>
      <c r="L23" s="31">
        <f t="shared" si="0"/>
        <v>448</v>
      </c>
      <c r="M23" s="31">
        <f t="shared" si="1"/>
        <v>224</v>
      </c>
      <c r="N23" s="338" t="s">
        <v>1869</v>
      </c>
    </row>
    <row r="24" spans="1:14" ht="15" customHeight="1">
      <c r="A24" s="134" t="s">
        <v>4824</v>
      </c>
      <c r="B24" s="134" t="s">
        <v>4813</v>
      </c>
      <c r="C24" s="99" t="s">
        <v>51</v>
      </c>
      <c r="D24" s="238" t="s">
        <v>4814</v>
      </c>
      <c r="E24" s="650" t="s">
        <v>4825</v>
      </c>
      <c r="F24" s="100">
        <v>2022</v>
      </c>
      <c r="G24" s="116">
        <v>11</v>
      </c>
      <c r="H24" s="761">
        <v>228</v>
      </c>
      <c r="I24" s="186">
        <v>2</v>
      </c>
      <c r="J24" s="186">
        <v>2</v>
      </c>
      <c r="K24" s="186">
        <v>2</v>
      </c>
      <c r="L24" s="31">
        <f t="shared" si="0"/>
        <v>456</v>
      </c>
      <c r="M24" s="31">
        <f t="shared" si="1"/>
        <v>228</v>
      </c>
      <c r="N24" s="338" t="s">
        <v>1869</v>
      </c>
    </row>
    <row r="25" spans="1:14" ht="15" customHeight="1">
      <c r="A25" s="134" t="s">
        <v>4826</v>
      </c>
      <c r="B25" s="134" t="s">
        <v>4813</v>
      </c>
      <c r="C25" s="99" t="s">
        <v>51</v>
      </c>
      <c r="D25" s="238" t="s">
        <v>4814</v>
      </c>
      <c r="E25" s="650" t="s">
        <v>4827</v>
      </c>
      <c r="F25" s="100">
        <v>2022</v>
      </c>
      <c r="G25" s="116">
        <v>11</v>
      </c>
      <c r="H25" s="761">
        <v>244</v>
      </c>
      <c r="I25" s="186">
        <v>2</v>
      </c>
      <c r="J25" s="186">
        <v>2</v>
      </c>
      <c r="K25" s="186">
        <v>2</v>
      </c>
      <c r="L25" s="31">
        <f t="shared" si="0"/>
        <v>488</v>
      </c>
      <c r="M25" s="31">
        <f t="shared" si="1"/>
        <v>244</v>
      </c>
      <c r="N25" s="338" t="s">
        <v>1869</v>
      </c>
    </row>
    <row r="26" spans="1:14" ht="15" customHeight="1">
      <c r="A26" s="134" t="s">
        <v>4828</v>
      </c>
      <c r="B26" s="134" t="s">
        <v>4829</v>
      </c>
      <c r="C26" s="99" t="s">
        <v>51</v>
      </c>
      <c r="D26" s="238" t="s">
        <v>4814</v>
      </c>
      <c r="E26" s="650" t="s">
        <v>4830</v>
      </c>
      <c r="F26" s="100">
        <v>2022</v>
      </c>
      <c r="G26" s="116">
        <v>12</v>
      </c>
      <c r="H26" s="761">
        <v>228</v>
      </c>
      <c r="I26" s="186">
        <v>3</v>
      </c>
      <c r="J26" s="186">
        <v>3</v>
      </c>
      <c r="K26" s="186">
        <v>3</v>
      </c>
      <c r="L26" s="31">
        <f t="shared" si="0"/>
        <v>456</v>
      </c>
      <c r="M26" s="31">
        <f>L26/3</f>
        <v>152</v>
      </c>
      <c r="N26" s="338" t="s">
        <v>1869</v>
      </c>
    </row>
    <row r="27" spans="1:14" ht="15" customHeight="1">
      <c r="A27" s="134" t="s">
        <v>4831</v>
      </c>
      <c r="B27" s="134" t="s">
        <v>4832</v>
      </c>
      <c r="C27" s="99" t="s">
        <v>401</v>
      </c>
      <c r="D27" s="238" t="s">
        <v>4833</v>
      </c>
      <c r="E27" s="125" t="s">
        <v>4834</v>
      </c>
      <c r="F27" s="100">
        <v>2022</v>
      </c>
      <c r="G27" s="100" t="s">
        <v>4835</v>
      </c>
      <c r="H27" s="761">
        <v>257</v>
      </c>
      <c r="I27" s="186">
        <v>2</v>
      </c>
      <c r="J27" s="186">
        <v>1</v>
      </c>
      <c r="K27" s="186">
        <v>2</v>
      </c>
      <c r="L27" s="767">
        <v>1028</v>
      </c>
      <c r="M27" s="767">
        <v>514</v>
      </c>
      <c r="N27" s="338" t="s">
        <v>466</v>
      </c>
    </row>
    <row r="28" spans="1:14" ht="15" customHeight="1">
      <c r="A28" s="134" t="s">
        <v>4836</v>
      </c>
      <c r="B28" s="134" t="s">
        <v>4837</v>
      </c>
      <c r="C28" s="99" t="s">
        <v>51</v>
      </c>
      <c r="D28" s="238" t="s">
        <v>4838</v>
      </c>
      <c r="E28" s="650" t="s">
        <v>4839</v>
      </c>
      <c r="F28" s="116">
        <v>2022</v>
      </c>
      <c r="G28" s="116" t="s">
        <v>4840</v>
      </c>
      <c r="H28" s="761">
        <v>167</v>
      </c>
      <c r="I28" s="186">
        <v>1</v>
      </c>
      <c r="J28" s="186">
        <v>1</v>
      </c>
      <c r="K28" s="186">
        <v>2</v>
      </c>
      <c r="L28" s="767">
        <v>334</v>
      </c>
      <c r="M28" s="767">
        <v>167</v>
      </c>
      <c r="N28" s="338" t="s">
        <v>466</v>
      </c>
    </row>
    <row r="29" spans="1:14" ht="15" customHeight="1">
      <c r="A29" s="134" t="s">
        <v>4841</v>
      </c>
      <c r="B29" s="134" t="s">
        <v>4842</v>
      </c>
      <c r="C29" s="99" t="s">
        <v>401</v>
      </c>
      <c r="D29" s="238" t="s">
        <v>4838</v>
      </c>
      <c r="E29" s="650" t="s">
        <v>4843</v>
      </c>
      <c r="F29" s="100">
        <v>2022</v>
      </c>
      <c r="G29" s="100" t="s">
        <v>4844</v>
      </c>
      <c r="H29" s="761">
        <v>202</v>
      </c>
      <c r="I29" s="186">
        <v>3</v>
      </c>
      <c r="J29" s="186">
        <v>1</v>
      </c>
      <c r="K29" s="186">
        <v>3</v>
      </c>
      <c r="L29" s="767">
        <v>202</v>
      </c>
      <c r="M29" s="767">
        <v>67.33</v>
      </c>
      <c r="N29" s="338" t="s">
        <v>466</v>
      </c>
    </row>
    <row r="30" spans="1:14" ht="15" customHeight="1">
      <c r="A30" s="134" t="s">
        <v>4845</v>
      </c>
      <c r="B30" s="134" t="s">
        <v>4846</v>
      </c>
      <c r="C30" s="99" t="s">
        <v>51</v>
      </c>
      <c r="D30" s="238" t="str">
        <f>$D$17</f>
        <v>Editura Universitară</v>
      </c>
      <c r="E30" s="650" t="str">
        <f>$E$17</f>
        <v>978-606-28-1402-1 </v>
      </c>
      <c r="F30" s="116">
        <f>$F$17</f>
        <v>2022</v>
      </c>
      <c r="G30" s="116" t="s">
        <v>4844</v>
      </c>
      <c r="H30" s="761">
        <v>6</v>
      </c>
      <c r="I30" s="186">
        <v>2</v>
      </c>
      <c r="J30" s="186">
        <v>2</v>
      </c>
      <c r="K30" s="186">
        <v>2</v>
      </c>
      <c r="L30" s="767">
        <v>12</v>
      </c>
      <c r="M30" s="767">
        <v>6</v>
      </c>
      <c r="N30" s="338" t="s">
        <v>466</v>
      </c>
    </row>
    <row r="31" spans="1:14" ht="15" customHeight="1">
      <c r="A31" s="134" t="s">
        <v>4847</v>
      </c>
      <c r="B31" s="134" t="s">
        <v>4848</v>
      </c>
      <c r="C31" s="99" t="s">
        <v>51</v>
      </c>
      <c r="D31" s="134" t="s">
        <v>4849</v>
      </c>
      <c r="E31" s="99" t="s">
        <v>4850</v>
      </c>
      <c r="F31" s="99">
        <v>2022</v>
      </c>
      <c r="G31" s="99">
        <v>1</v>
      </c>
      <c r="H31" s="99">
        <v>431</v>
      </c>
      <c r="I31" s="99">
        <v>1</v>
      </c>
      <c r="J31" s="99">
        <v>1</v>
      </c>
      <c r="K31" s="99">
        <v>1</v>
      </c>
      <c r="L31" s="767">
        <v>1724</v>
      </c>
      <c r="M31" s="767">
        <v>1724</v>
      </c>
      <c r="N31" s="338" t="s">
        <v>2207</v>
      </c>
    </row>
    <row r="32" spans="1:14" ht="15" customHeight="1">
      <c r="A32" s="134" t="s">
        <v>4812</v>
      </c>
      <c r="B32" s="134" t="s">
        <v>4851</v>
      </c>
      <c r="C32" s="99" t="s">
        <v>51</v>
      </c>
      <c r="D32" s="238" t="s">
        <v>4814</v>
      </c>
      <c r="E32" s="125" t="s">
        <v>4815</v>
      </c>
      <c r="F32" s="100">
        <v>2022</v>
      </c>
      <c r="G32" s="100">
        <v>12</v>
      </c>
      <c r="H32" s="761">
        <v>290</v>
      </c>
      <c r="I32" s="186">
        <v>2</v>
      </c>
      <c r="J32" s="186">
        <v>2</v>
      </c>
      <c r="K32" s="186">
        <v>2</v>
      </c>
      <c r="L32" s="31">
        <f t="shared" ref="L32:L38" si="2">H32*2</f>
        <v>580</v>
      </c>
      <c r="M32" s="31">
        <f t="shared" ref="M32:M38" si="3">L32/2</f>
        <v>290</v>
      </c>
      <c r="N32" s="338" t="s">
        <v>473</v>
      </c>
    </row>
    <row r="33" spans="1:31" ht="15" customHeight="1">
      <c r="A33" s="134" t="s">
        <v>4816</v>
      </c>
      <c r="B33" s="134" t="s">
        <v>4851</v>
      </c>
      <c r="C33" s="99" t="s">
        <v>51</v>
      </c>
      <c r="D33" s="238" t="s">
        <v>4852</v>
      </c>
      <c r="E33" s="650" t="s">
        <v>4817</v>
      </c>
      <c r="F33" s="116">
        <v>2022</v>
      </c>
      <c r="G33" s="116">
        <v>11</v>
      </c>
      <c r="H33" s="761">
        <v>240</v>
      </c>
      <c r="I33" s="186">
        <v>2</v>
      </c>
      <c r="J33" s="186">
        <v>2</v>
      </c>
      <c r="K33" s="186">
        <v>2</v>
      </c>
      <c r="L33" s="31">
        <f t="shared" si="2"/>
        <v>480</v>
      </c>
      <c r="M33" s="31">
        <f t="shared" si="3"/>
        <v>240</v>
      </c>
      <c r="N33" s="338" t="s">
        <v>473</v>
      </c>
    </row>
    <row r="34" spans="1:31" ht="15" customHeight="1">
      <c r="A34" s="134" t="s">
        <v>4818</v>
      </c>
      <c r="B34" s="134" t="s">
        <v>4851</v>
      </c>
      <c r="C34" s="99" t="s">
        <v>51</v>
      </c>
      <c r="D34" s="238" t="s">
        <v>4853</v>
      </c>
      <c r="E34" s="650" t="s">
        <v>4819</v>
      </c>
      <c r="F34" s="100">
        <v>2022</v>
      </c>
      <c r="G34" s="100">
        <v>11</v>
      </c>
      <c r="H34" s="761">
        <v>232</v>
      </c>
      <c r="I34" s="186">
        <v>2</v>
      </c>
      <c r="J34" s="186">
        <v>2</v>
      </c>
      <c r="K34" s="186">
        <v>2</v>
      </c>
      <c r="L34" s="31">
        <f t="shared" si="2"/>
        <v>464</v>
      </c>
      <c r="M34" s="31">
        <f t="shared" si="3"/>
        <v>232</v>
      </c>
      <c r="N34" s="338" t="s">
        <v>473</v>
      </c>
    </row>
    <row r="35" spans="1:31" ht="15" customHeight="1">
      <c r="A35" s="134" t="s">
        <v>4820</v>
      </c>
      <c r="B35" s="134" t="s">
        <v>4851</v>
      </c>
      <c r="C35" s="99" t="s">
        <v>51</v>
      </c>
      <c r="D35" s="238" t="s">
        <v>4854</v>
      </c>
      <c r="E35" s="650" t="s">
        <v>4821</v>
      </c>
      <c r="F35" s="116">
        <v>2022</v>
      </c>
      <c r="G35" s="116">
        <v>11</v>
      </c>
      <c r="H35" s="761">
        <v>232</v>
      </c>
      <c r="I35" s="186">
        <v>2</v>
      </c>
      <c r="J35" s="186">
        <v>2</v>
      </c>
      <c r="K35" s="186">
        <v>2</v>
      </c>
      <c r="L35" s="31">
        <f t="shared" si="2"/>
        <v>464</v>
      </c>
      <c r="M35" s="31">
        <f t="shared" si="3"/>
        <v>232</v>
      </c>
      <c r="N35" s="338" t="s">
        <v>473</v>
      </c>
    </row>
    <row r="36" spans="1:31" ht="15" customHeight="1">
      <c r="A36" s="134" t="s">
        <v>4822</v>
      </c>
      <c r="B36" s="134" t="s">
        <v>4851</v>
      </c>
      <c r="C36" s="99" t="s">
        <v>51</v>
      </c>
      <c r="D36" s="238" t="s">
        <v>4855</v>
      </c>
      <c r="E36" s="650" t="s">
        <v>4823</v>
      </c>
      <c r="F36" s="116">
        <v>2022</v>
      </c>
      <c r="G36" s="116">
        <v>11</v>
      </c>
      <c r="H36" s="761">
        <v>224</v>
      </c>
      <c r="I36" s="186">
        <v>2</v>
      </c>
      <c r="J36" s="186">
        <v>2</v>
      </c>
      <c r="K36" s="186">
        <v>2</v>
      </c>
      <c r="L36" s="31">
        <f t="shared" si="2"/>
        <v>448</v>
      </c>
      <c r="M36" s="31">
        <f t="shared" si="3"/>
        <v>224</v>
      </c>
      <c r="N36" s="338" t="s">
        <v>473</v>
      </c>
    </row>
    <row r="37" spans="1:31" ht="15" customHeight="1">
      <c r="A37" s="134" t="s">
        <v>4824</v>
      </c>
      <c r="B37" s="134" t="s">
        <v>4851</v>
      </c>
      <c r="C37" s="99" t="s">
        <v>51</v>
      </c>
      <c r="D37" s="238" t="s">
        <v>4856</v>
      </c>
      <c r="E37" s="650" t="s">
        <v>4825</v>
      </c>
      <c r="F37" s="116">
        <v>2022</v>
      </c>
      <c r="G37" s="116">
        <v>11</v>
      </c>
      <c r="H37" s="761">
        <v>228</v>
      </c>
      <c r="I37" s="186">
        <v>2</v>
      </c>
      <c r="J37" s="186">
        <v>2</v>
      </c>
      <c r="K37" s="186">
        <v>2</v>
      </c>
      <c r="L37" s="31">
        <f t="shared" si="2"/>
        <v>456</v>
      </c>
      <c r="M37" s="31">
        <f t="shared" si="3"/>
        <v>228</v>
      </c>
      <c r="N37" s="338" t="s">
        <v>473</v>
      </c>
    </row>
    <row r="38" spans="1:31" ht="15" customHeight="1">
      <c r="A38" s="134" t="s">
        <v>4826</v>
      </c>
      <c r="B38" s="134" t="s">
        <v>4851</v>
      </c>
      <c r="C38" s="99" t="s">
        <v>51</v>
      </c>
      <c r="D38" s="238" t="s">
        <v>4857</v>
      </c>
      <c r="E38" s="650" t="s">
        <v>4827</v>
      </c>
      <c r="F38" s="116">
        <v>2022</v>
      </c>
      <c r="G38" s="116">
        <v>11</v>
      </c>
      <c r="H38" s="761">
        <v>244</v>
      </c>
      <c r="I38" s="186">
        <v>2</v>
      </c>
      <c r="J38" s="186">
        <v>2</v>
      </c>
      <c r="K38" s="186">
        <v>2</v>
      </c>
      <c r="L38" s="31">
        <f t="shared" si="2"/>
        <v>488</v>
      </c>
      <c r="M38" s="31">
        <f t="shared" si="3"/>
        <v>244</v>
      </c>
      <c r="N38" s="338" t="s">
        <v>473</v>
      </c>
    </row>
    <row r="39" spans="1:31" ht="15" customHeight="1">
      <c r="A39" s="134" t="s">
        <v>4858</v>
      </c>
      <c r="B39" s="134" t="s">
        <v>4859</v>
      </c>
      <c r="C39" s="99" t="s">
        <v>51</v>
      </c>
      <c r="D39" s="238" t="s">
        <v>4860</v>
      </c>
      <c r="E39" s="665" t="s">
        <v>4861</v>
      </c>
      <c r="F39" s="116">
        <v>2022</v>
      </c>
      <c r="G39" s="116" t="s">
        <v>4862</v>
      </c>
      <c r="H39" s="768">
        <v>302</v>
      </c>
      <c r="I39" s="528">
        <v>1</v>
      </c>
      <c r="J39" s="528">
        <v>1</v>
      </c>
      <c r="K39" s="528">
        <v>2</v>
      </c>
      <c r="L39" s="119">
        <v>604</v>
      </c>
      <c r="M39" s="119">
        <v>604</v>
      </c>
      <c r="N39" s="338" t="s">
        <v>608</v>
      </c>
    </row>
    <row r="40" spans="1:31" ht="15" customHeight="1">
      <c r="A40" s="134" t="s">
        <v>4863</v>
      </c>
      <c r="B40" s="134" t="s">
        <v>4864</v>
      </c>
      <c r="C40" s="99" t="s">
        <v>105</v>
      </c>
      <c r="D40" s="238" t="s">
        <v>4865</v>
      </c>
      <c r="E40" s="125" t="s">
        <v>4866</v>
      </c>
      <c r="F40" s="100">
        <v>2022</v>
      </c>
      <c r="G40" s="100">
        <v>12</v>
      </c>
      <c r="H40" s="761">
        <v>85</v>
      </c>
      <c r="I40" s="186">
        <v>3</v>
      </c>
      <c r="J40" s="186">
        <v>1</v>
      </c>
      <c r="K40" s="186">
        <v>3</v>
      </c>
      <c r="L40" s="186">
        <v>2</v>
      </c>
      <c r="M40" s="186">
        <v>56.67</v>
      </c>
      <c r="N40" s="338" t="s">
        <v>130</v>
      </c>
      <c r="O40" s="216"/>
      <c r="P40" s="216"/>
      <c r="Q40" s="216"/>
      <c r="R40" s="216"/>
      <c r="S40" s="216"/>
      <c r="T40" s="216"/>
      <c r="U40" s="216"/>
      <c r="V40" s="216"/>
      <c r="W40" s="216"/>
      <c r="X40" s="216"/>
      <c r="Y40" s="216"/>
      <c r="Z40" s="216"/>
      <c r="AA40" s="216"/>
      <c r="AB40" s="216"/>
      <c r="AC40" s="216"/>
      <c r="AD40" s="216"/>
      <c r="AE40" s="216"/>
    </row>
    <row r="41" spans="1:31" ht="15.75" customHeight="1"/>
    <row r="42" spans="1:31" ht="15" customHeight="1">
      <c r="A42" s="332" t="s">
        <v>169</v>
      </c>
      <c r="M42" s="769">
        <f>SUM(M15:M40)</f>
        <v>7677</v>
      </c>
    </row>
    <row r="43" spans="1:31" ht="15.75" customHeight="1"/>
    <row r="44" spans="1:31" ht="15" customHeight="1">
      <c r="A44" s="1231" t="s">
        <v>1156</v>
      </c>
      <c r="B44" s="1232"/>
      <c r="C44" s="1232"/>
      <c r="D44" s="1232"/>
      <c r="E44" s="1232"/>
      <c r="F44" s="1232"/>
      <c r="G44" s="1232"/>
      <c r="H44" s="1233"/>
    </row>
    <row r="45" spans="1:31" ht="15.75" customHeight="1"/>
    <row r="46" spans="1:31" ht="15.75" customHeight="1"/>
    <row r="47" spans="1:31" ht="15.75" customHeight="1"/>
    <row r="48" spans="1:3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44:H44"/>
    <mergeCell ref="A2:M2"/>
    <mergeCell ref="A4:M4"/>
    <mergeCell ref="A5:M5"/>
    <mergeCell ref="A6:M6"/>
    <mergeCell ref="A7:M7"/>
    <mergeCell ref="A8:M8"/>
    <mergeCell ref="A9:M9"/>
  </mergeCells>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Z1000"/>
  <sheetViews>
    <sheetView workbookViewId="0"/>
  </sheetViews>
  <sheetFormatPr defaultColWidth="14.3984375" defaultRowHeight="15" customHeight="1"/>
  <cols>
    <col min="1" max="1" width="23.73046875" customWidth="1"/>
    <col min="2" max="2" width="30.3984375" customWidth="1"/>
    <col min="3" max="3" width="16.86328125" customWidth="1"/>
    <col min="4" max="4" width="22.3984375" customWidth="1"/>
    <col min="5" max="5" width="14.1328125" customWidth="1"/>
    <col min="6" max="6" width="19.86328125" customWidth="1"/>
    <col min="7" max="7" width="9.59765625" customWidth="1"/>
    <col min="8" max="8" width="11.86328125" customWidth="1"/>
    <col min="9" max="9" width="10.265625" customWidth="1"/>
    <col min="10" max="10" width="8" customWidth="1"/>
    <col min="11" max="11" width="8.265625" customWidth="1"/>
    <col min="12" max="26" width="8" customWidth="1"/>
  </cols>
  <sheetData>
    <row r="1" spans="1:26" ht="14.25">
      <c r="A1" s="64"/>
      <c r="B1" s="65"/>
      <c r="C1" s="65"/>
      <c r="D1" s="65"/>
      <c r="E1" s="1"/>
      <c r="F1" s="1"/>
      <c r="G1" s="216"/>
      <c r="H1" s="216"/>
      <c r="I1" s="216"/>
      <c r="J1" s="216"/>
      <c r="K1" s="216"/>
      <c r="L1" s="216"/>
      <c r="M1" s="216"/>
      <c r="N1" s="216"/>
      <c r="O1" s="216"/>
      <c r="P1" s="216"/>
      <c r="Q1" s="216"/>
      <c r="R1" s="216"/>
      <c r="S1" s="216"/>
      <c r="T1" s="216"/>
      <c r="U1" s="216"/>
      <c r="V1" s="216"/>
      <c r="W1" s="216"/>
      <c r="X1" s="216"/>
      <c r="Y1" s="216"/>
      <c r="Z1" s="216"/>
    </row>
    <row r="2" spans="1:26" ht="29.25" customHeight="1">
      <c r="A2" s="1253" t="s">
        <v>4867</v>
      </c>
      <c r="B2" s="1232"/>
      <c r="C2" s="1232"/>
      <c r="D2" s="1232"/>
      <c r="E2" s="1232"/>
      <c r="F2" s="1232"/>
      <c r="G2" s="1232"/>
      <c r="H2" s="1232"/>
      <c r="I2" s="1232"/>
      <c r="J2" s="1233"/>
      <c r="K2" s="69"/>
      <c r="L2" s="69"/>
      <c r="M2" s="69"/>
      <c r="N2" s="69"/>
      <c r="O2" s="69"/>
      <c r="P2" s="69"/>
      <c r="Q2" s="69"/>
      <c r="R2" s="69"/>
      <c r="S2" s="69"/>
      <c r="T2" s="69"/>
      <c r="U2" s="69"/>
      <c r="V2" s="69"/>
      <c r="W2" s="69"/>
      <c r="X2" s="69"/>
      <c r="Y2" s="69"/>
      <c r="Z2" s="69"/>
    </row>
    <row r="3" spans="1:26" ht="14.25">
      <c r="A3" s="80"/>
      <c r="B3" s="80"/>
      <c r="C3" s="80"/>
      <c r="D3" s="80"/>
      <c r="E3" s="80"/>
      <c r="F3" s="68"/>
      <c r="G3" s="69"/>
      <c r="H3" s="69"/>
      <c r="I3" s="69"/>
      <c r="J3" s="69"/>
      <c r="K3" s="69"/>
      <c r="L3" s="69"/>
      <c r="M3" s="69"/>
      <c r="N3" s="69"/>
      <c r="O3" s="69"/>
      <c r="P3" s="69"/>
      <c r="Q3" s="69"/>
      <c r="R3" s="69"/>
      <c r="S3" s="69"/>
      <c r="T3" s="69"/>
      <c r="U3" s="69"/>
      <c r="V3" s="69"/>
      <c r="W3" s="69"/>
      <c r="X3" s="69"/>
      <c r="Y3" s="69"/>
      <c r="Z3" s="69"/>
    </row>
    <row r="4" spans="1:26" ht="42.75" customHeight="1">
      <c r="A4" s="1226" t="s">
        <v>4868</v>
      </c>
      <c r="B4" s="1227"/>
      <c r="C4" s="1227"/>
      <c r="D4" s="1227"/>
      <c r="E4" s="1227"/>
      <c r="F4" s="1227"/>
      <c r="G4" s="1227"/>
      <c r="H4" s="1227"/>
      <c r="I4" s="1227"/>
      <c r="J4" s="1228"/>
      <c r="K4" s="69"/>
      <c r="L4" s="69"/>
      <c r="M4" s="69"/>
      <c r="N4" s="69"/>
      <c r="O4" s="69"/>
      <c r="P4" s="69"/>
      <c r="Q4" s="69"/>
      <c r="R4" s="69"/>
      <c r="S4" s="69"/>
      <c r="T4" s="69"/>
      <c r="U4" s="69"/>
      <c r="V4" s="69"/>
      <c r="W4" s="69"/>
      <c r="X4" s="69"/>
      <c r="Y4" s="69"/>
      <c r="Z4" s="69"/>
    </row>
    <row r="5" spans="1:26" ht="16.5" customHeight="1">
      <c r="A5" s="1226" t="s">
        <v>4869</v>
      </c>
      <c r="B5" s="1227"/>
      <c r="C5" s="1227"/>
      <c r="D5" s="1227"/>
      <c r="E5" s="1227"/>
      <c r="F5" s="1227"/>
      <c r="G5" s="1227"/>
      <c r="H5" s="1227"/>
      <c r="I5" s="1227"/>
      <c r="J5" s="1228"/>
      <c r="K5" s="69"/>
      <c r="L5" s="69"/>
      <c r="M5" s="69"/>
      <c r="N5" s="69"/>
      <c r="O5" s="69"/>
      <c r="P5" s="69"/>
      <c r="Q5" s="69"/>
      <c r="R5" s="69"/>
      <c r="S5" s="69"/>
      <c r="T5" s="69"/>
      <c r="U5" s="69"/>
      <c r="V5" s="69"/>
      <c r="W5" s="69"/>
      <c r="X5" s="69"/>
      <c r="Y5" s="69"/>
      <c r="Z5" s="69"/>
    </row>
    <row r="6" spans="1:26" ht="14.25" customHeight="1">
      <c r="A6" s="1226" t="s">
        <v>4870</v>
      </c>
      <c r="B6" s="1227"/>
      <c r="C6" s="1227"/>
      <c r="D6" s="1227"/>
      <c r="E6" s="1227"/>
      <c r="F6" s="1227"/>
      <c r="G6" s="1227"/>
      <c r="H6" s="1227"/>
      <c r="I6" s="1227"/>
      <c r="J6" s="1228"/>
      <c r="K6" s="69"/>
      <c r="L6" s="69"/>
      <c r="M6" s="69"/>
      <c r="N6" s="69"/>
      <c r="O6" s="69"/>
      <c r="P6" s="69"/>
      <c r="Q6" s="69"/>
      <c r="R6" s="69"/>
      <c r="S6" s="69"/>
      <c r="T6" s="69"/>
      <c r="U6" s="69"/>
      <c r="V6" s="69"/>
      <c r="W6" s="69"/>
      <c r="X6" s="69"/>
      <c r="Y6" s="69"/>
      <c r="Z6" s="69"/>
    </row>
    <row r="7" spans="1:26" ht="32.25" customHeight="1">
      <c r="A7" s="1226" t="s">
        <v>4871</v>
      </c>
      <c r="B7" s="1227"/>
      <c r="C7" s="1227"/>
      <c r="D7" s="1227"/>
      <c r="E7" s="1227"/>
      <c r="F7" s="1227"/>
      <c r="G7" s="1227"/>
      <c r="H7" s="1227"/>
      <c r="I7" s="1227"/>
      <c r="J7" s="1228"/>
      <c r="K7" s="69"/>
      <c r="L7" s="69"/>
      <c r="M7" s="69"/>
      <c r="N7" s="69"/>
      <c r="O7" s="69"/>
      <c r="P7" s="69"/>
      <c r="Q7" s="69"/>
      <c r="R7" s="69"/>
      <c r="S7" s="69"/>
      <c r="T7" s="69"/>
      <c r="U7" s="69"/>
      <c r="V7" s="69"/>
      <c r="W7" s="69"/>
      <c r="X7" s="69"/>
      <c r="Y7" s="69"/>
      <c r="Z7" s="69"/>
    </row>
    <row r="8" spans="1:26" ht="15" customHeight="1">
      <c r="A8" s="1226" t="s">
        <v>4872</v>
      </c>
      <c r="B8" s="1227"/>
      <c r="C8" s="1227"/>
      <c r="D8" s="1227"/>
      <c r="E8" s="1227"/>
      <c r="F8" s="1227"/>
      <c r="G8" s="1227"/>
      <c r="H8" s="1227"/>
      <c r="I8" s="1227"/>
      <c r="J8" s="1228"/>
      <c r="K8" s="69"/>
      <c r="L8" s="69"/>
      <c r="M8" s="69"/>
      <c r="N8" s="69"/>
      <c r="O8" s="69"/>
      <c r="P8" s="69"/>
      <c r="Q8" s="69"/>
      <c r="R8" s="69"/>
      <c r="S8" s="69"/>
      <c r="T8" s="69"/>
      <c r="U8" s="69"/>
      <c r="V8" s="69"/>
      <c r="W8" s="69"/>
      <c r="X8" s="69"/>
      <c r="Y8" s="69"/>
      <c r="Z8" s="69"/>
    </row>
    <row r="9" spans="1:26" ht="19.5" customHeight="1">
      <c r="A9" s="1226" t="s">
        <v>4873</v>
      </c>
      <c r="B9" s="1227"/>
      <c r="C9" s="1227"/>
      <c r="D9" s="1227"/>
      <c r="E9" s="1227"/>
      <c r="F9" s="1227"/>
      <c r="G9" s="1227"/>
      <c r="H9" s="1227"/>
      <c r="I9" s="1227"/>
      <c r="J9" s="1228"/>
      <c r="K9" s="69"/>
      <c r="L9" s="69"/>
      <c r="M9" s="69"/>
      <c r="N9" s="69"/>
      <c r="O9" s="69"/>
      <c r="P9" s="69"/>
      <c r="Q9" s="69"/>
      <c r="R9" s="69"/>
      <c r="S9" s="69"/>
      <c r="T9" s="69"/>
      <c r="U9" s="69"/>
      <c r="V9" s="69"/>
      <c r="W9" s="69"/>
      <c r="X9" s="69"/>
      <c r="Y9" s="69"/>
      <c r="Z9" s="69"/>
    </row>
    <row r="10" spans="1:26" ht="72.75" customHeight="1">
      <c r="A10" s="1229" t="s">
        <v>4874</v>
      </c>
      <c r="B10" s="1227"/>
      <c r="C10" s="1227"/>
      <c r="D10" s="1227"/>
      <c r="E10" s="1227"/>
      <c r="F10" s="1227"/>
      <c r="G10" s="1227"/>
      <c r="H10" s="1227"/>
      <c r="I10" s="1227"/>
      <c r="J10" s="1228"/>
      <c r="K10" s="69"/>
      <c r="L10" s="69"/>
      <c r="M10" s="69"/>
      <c r="N10" s="69"/>
      <c r="O10" s="69"/>
      <c r="P10" s="69"/>
      <c r="Q10" s="69"/>
      <c r="R10" s="69"/>
      <c r="S10" s="69"/>
      <c r="T10" s="69"/>
      <c r="U10" s="69"/>
      <c r="V10" s="69"/>
      <c r="W10" s="69"/>
      <c r="X10" s="69"/>
      <c r="Y10" s="69"/>
      <c r="Z10" s="69"/>
    </row>
    <row r="11" spans="1:26" ht="14.25">
      <c r="A11" s="64"/>
      <c r="B11" s="65"/>
      <c r="C11" s="65"/>
      <c r="D11" s="65"/>
      <c r="E11" s="1"/>
      <c r="F11" s="1"/>
      <c r="G11" s="69"/>
      <c r="H11" s="69"/>
      <c r="I11" s="69"/>
      <c r="J11" s="69"/>
      <c r="K11" s="69"/>
      <c r="L11" s="69"/>
      <c r="M11" s="69"/>
      <c r="N11" s="69"/>
      <c r="O11" s="69"/>
      <c r="P11" s="69"/>
      <c r="Q11" s="69"/>
      <c r="R11" s="69"/>
      <c r="S11" s="69"/>
      <c r="T11" s="69"/>
      <c r="U11" s="69"/>
      <c r="V11" s="69"/>
      <c r="W11" s="69"/>
      <c r="X11" s="69"/>
      <c r="Y11" s="69"/>
      <c r="Z11" s="69"/>
    </row>
    <row r="12" spans="1:26" ht="38.25" customHeight="1">
      <c r="A12" s="377" t="s">
        <v>6</v>
      </c>
      <c r="B12" s="85" t="s">
        <v>1214</v>
      </c>
      <c r="C12" s="85" t="s">
        <v>4875</v>
      </c>
      <c r="D12" s="85" t="s">
        <v>1217</v>
      </c>
      <c r="E12" s="83" t="s">
        <v>7</v>
      </c>
      <c r="F12" s="85" t="s">
        <v>4876</v>
      </c>
      <c r="G12" s="81" t="s">
        <v>4877</v>
      </c>
      <c r="H12" s="81" t="s">
        <v>4878</v>
      </c>
      <c r="I12" s="81" t="s">
        <v>1222</v>
      </c>
      <c r="J12" s="81" t="s">
        <v>210</v>
      </c>
      <c r="K12" s="336" t="s">
        <v>211</v>
      </c>
      <c r="L12" s="216"/>
      <c r="M12" s="216"/>
      <c r="N12" s="216"/>
      <c r="O12" s="216"/>
      <c r="P12" s="216"/>
      <c r="Q12" s="216"/>
      <c r="R12" s="216"/>
      <c r="S12" s="216"/>
      <c r="T12" s="216"/>
      <c r="U12" s="216"/>
      <c r="V12" s="216"/>
      <c r="W12" s="216"/>
      <c r="X12" s="216"/>
      <c r="Y12" s="216"/>
      <c r="Z12" s="216"/>
    </row>
    <row r="13" spans="1:26" ht="15" customHeight="1">
      <c r="A13" s="134" t="s">
        <v>4879</v>
      </c>
      <c r="B13" s="134" t="s">
        <v>4880</v>
      </c>
      <c r="C13" s="99" t="s">
        <v>4881</v>
      </c>
      <c r="D13" s="238" t="s">
        <v>1223</v>
      </c>
      <c r="E13" s="125" t="s">
        <v>51</v>
      </c>
      <c r="F13" s="761" t="s">
        <v>4882</v>
      </c>
      <c r="G13" s="31">
        <v>7900</v>
      </c>
      <c r="H13" s="31">
        <v>7900</v>
      </c>
      <c r="I13" s="31">
        <v>100</v>
      </c>
      <c r="J13" s="31">
        <v>40</v>
      </c>
      <c r="K13" s="338" t="s">
        <v>1331</v>
      </c>
    </row>
    <row r="14" spans="1:26" ht="15" customHeight="1">
      <c r="A14" s="222" t="s">
        <v>4879</v>
      </c>
      <c r="B14" s="197" t="s">
        <v>4883</v>
      </c>
      <c r="C14" s="770" t="s">
        <v>4881</v>
      </c>
      <c r="D14" s="770" t="s">
        <v>1223</v>
      </c>
      <c r="E14" s="771" t="s">
        <v>51</v>
      </c>
      <c r="F14" s="772" t="s">
        <v>4882</v>
      </c>
      <c r="G14" s="773">
        <v>7900</v>
      </c>
      <c r="H14" s="774">
        <v>7900</v>
      </c>
      <c r="I14" s="774">
        <v>100</v>
      </c>
      <c r="J14" s="31">
        <v>10</v>
      </c>
      <c r="K14" s="338" t="s">
        <v>231</v>
      </c>
    </row>
    <row r="15" spans="1:26" ht="15" customHeight="1">
      <c r="A15" s="134" t="s">
        <v>4884</v>
      </c>
      <c r="B15" s="134" t="s">
        <v>4885</v>
      </c>
      <c r="C15" s="99" t="s">
        <v>4886</v>
      </c>
      <c r="D15" s="238" t="s">
        <v>466</v>
      </c>
      <c r="E15" s="125" t="s">
        <v>51</v>
      </c>
      <c r="F15" s="761" t="s">
        <v>4887</v>
      </c>
      <c r="G15" s="767">
        <v>18112</v>
      </c>
      <c r="H15" s="767">
        <v>18112</v>
      </c>
      <c r="I15" s="767">
        <v>100</v>
      </c>
      <c r="J15" s="767">
        <v>33.340000000000003</v>
      </c>
      <c r="K15" s="338" t="s">
        <v>466</v>
      </c>
    </row>
    <row r="16" spans="1:26" ht="15" customHeight="1">
      <c r="A16" s="134" t="s">
        <v>4888</v>
      </c>
      <c r="B16" s="134" t="s">
        <v>4889</v>
      </c>
      <c r="C16" s="99" t="s">
        <v>4890</v>
      </c>
      <c r="D16" s="238" t="s">
        <v>4888</v>
      </c>
      <c r="E16" s="125" t="s">
        <v>51</v>
      </c>
      <c r="F16" s="761" t="s">
        <v>4891</v>
      </c>
      <c r="G16" s="31" t="s">
        <v>4892</v>
      </c>
      <c r="H16" s="31" t="s">
        <v>4892</v>
      </c>
      <c r="I16" s="31">
        <v>100</v>
      </c>
      <c r="J16" s="31">
        <v>100</v>
      </c>
      <c r="K16" s="338" t="s">
        <v>2399</v>
      </c>
    </row>
    <row r="17" spans="1:26" ht="15" customHeight="1">
      <c r="A17" s="134" t="s">
        <v>4888</v>
      </c>
      <c r="B17" s="134" t="s">
        <v>4893</v>
      </c>
      <c r="C17" s="99" t="s">
        <v>4890</v>
      </c>
      <c r="D17" s="238" t="s">
        <v>4888</v>
      </c>
      <c r="E17" s="650" t="s">
        <v>51</v>
      </c>
      <c r="F17" s="761">
        <v>5.9347181008902079E-3</v>
      </c>
      <c r="G17" s="31" t="s">
        <v>4892</v>
      </c>
      <c r="H17" s="31" t="s">
        <v>4892</v>
      </c>
      <c r="I17" s="31">
        <v>100</v>
      </c>
      <c r="J17" s="31">
        <v>100</v>
      </c>
      <c r="K17" s="338" t="s">
        <v>2399</v>
      </c>
    </row>
    <row r="18" spans="1:26" ht="15" customHeight="1">
      <c r="A18" s="134" t="s">
        <v>4879</v>
      </c>
      <c r="B18" s="134" t="s">
        <v>4880</v>
      </c>
      <c r="C18" s="99" t="s">
        <v>4881</v>
      </c>
      <c r="D18" s="238" t="s">
        <v>1223</v>
      </c>
      <c r="E18" s="125" t="s">
        <v>51</v>
      </c>
      <c r="F18" s="761" t="s">
        <v>4882</v>
      </c>
      <c r="G18" s="31">
        <v>7900</v>
      </c>
      <c r="H18" s="31">
        <v>7900</v>
      </c>
      <c r="I18" s="31">
        <v>100</v>
      </c>
      <c r="J18" s="31">
        <v>50</v>
      </c>
      <c r="K18" s="338" t="s">
        <v>510</v>
      </c>
    </row>
    <row r="19" spans="1:26" ht="15" customHeight="1">
      <c r="A19" s="134" t="s">
        <v>2520</v>
      </c>
      <c r="B19" s="134" t="s">
        <v>4894</v>
      </c>
      <c r="C19" s="99" t="s">
        <v>4895</v>
      </c>
      <c r="D19" s="238" t="s">
        <v>4896</v>
      </c>
      <c r="E19" s="125" t="s">
        <v>51</v>
      </c>
      <c r="F19" s="761" t="s">
        <v>4897</v>
      </c>
      <c r="G19" s="31" t="s">
        <v>4898</v>
      </c>
      <c r="H19" s="31" t="s">
        <v>4898</v>
      </c>
      <c r="I19" s="31">
        <v>100</v>
      </c>
      <c r="J19" s="31">
        <f>I19/3</f>
        <v>33.333333333333336</v>
      </c>
      <c r="K19" s="338" t="s">
        <v>2520</v>
      </c>
    </row>
    <row r="20" spans="1:26" ht="15" customHeight="1">
      <c r="A20" s="134" t="s">
        <v>547</v>
      </c>
      <c r="B20" s="134" t="s">
        <v>4899</v>
      </c>
      <c r="C20" s="99" t="s">
        <v>4895</v>
      </c>
      <c r="D20" s="238" t="s">
        <v>4900</v>
      </c>
      <c r="E20" s="665" t="s">
        <v>51</v>
      </c>
      <c r="F20" s="768" t="s">
        <v>4901</v>
      </c>
      <c r="G20" s="238">
        <v>18112</v>
      </c>
      <c r="H20" s="238">
        <v>18112</v>
      </c>
      <c r="I20" s="238" t="s">
        <v>4902</v>
      </c>
      <c r="J20" s="99">
        <v>33.33</v>
      </c>
      <c r="K20" s="338" t="s">
        <v>547</v>
      </c>
    </row>
    <row r="21" spans="1:26" ht="38.25" customHeight="1">
      <c r="A21" s="134" t="s">
        <v>739</v>
      </c>
      <c r="B21" s="134" t="s">
        <v>4903</v>
      </c>
      <c r="C21" s="99" t="s">
        <v>4904</v>
      </c>
      <c r="D21" s="238" t="s">
        <v>798</v>
      </c>
      <c r="E21" s="665" t="s">
        <v>141</v>
      </c>
      <c r="F21" s="768" t="s">
        <v>4905</v>
      </c>
      <c r="G21" s="31" t="s">
        <v>4906</v>
      </c>
      <c r="H21" s="31" t="s">
        <v>4907</v>
      </c>
      <c r="I21" s="31" t="s">
        <v>4908</v>
      </c>
      <c r="J21" s="31">
        <v>100</v>
      </c>
      <c r="K21" s="336" t="str">
        <f t="shared" ref="K21:K23" si="0">A21</f>
        <v>Brad Remus</v>
      </c>
      <c r="L21" s="216"/>
      <c r="M21" s="216"/>
      <c r="N21" s="216"/>
      <c r="O21" s="216"/>
      <c r="P21" s="216"/>
      <c r="Q21" s="216"/>
      <c r="R21" s="216"/>
      <c r="S21" s="216"/>
      <c r="T21" s="216"/>
      <c r="U21" s="216"/>
      <c r="V21" s="216"/>
      <c r="W21" s="216"/>
      <c r="X21" s="216"/>
      <c r="Y21" s="216"/>
      <c r="Z21" s="216"/>
    </row>
    <row r="22" spans="1:26" ht="38.25" customHeight="1">
      <c r="A22" s="134" t="s">
        <v>2962</v>
      </c>
      <c r="B22" s="134" t="s">
        <v>4909</v>
      </c>
      <c r="C22" s="99" t="s">
        <v>4910</v>
      </c>
      <c r="D22" s="238" t="s">
        <v>798</v>
      </c>
      <c r="E22" s="99" t="s">
        <v>141</v>
      </c>
      <c r="F22" s="99" t="s">
        <v>4911</v>
      </c>
      <c r="G22" s="99" t="s">
        <v>4907</v>
      </c>
      <c r="H22" s="99" t="s">
        <v>4912</v>
      </c>
      <c r="I22" s="99">
        <v>300</v>
      </c>
      <c r="J22" s="99">
        <v>100</v>
      </c>
      <c r="K22" s="336" t="str">
        <f t="shared" si="0"/>
        <v>Breazu Macarie</v>
      </c>
      <c r="L22" s="216"/>
      <c r="M22" s="216"/>
      <c r="N22" s="216"/>
      <c r="O22" s="216"/>
      <c r="P22" s="216"/>
      <c r="Q22" s="216"/>
      <c r="R22" s="216"/>
      <c r="S22" s="216"/>
      <c r="T22" s="216"/>
      <c r="U22" s="216"/>
      <c r="V22" s="216"/>
      <c r="W22" s="216"/>
      <c r="X22" s="216"/>
      <c r="Y22" s="216"/>
      <c r="Z22" s="216"/>
    </row>
    <row r="23" spans="1:26" ht="38.25" customHeight="1">
      <c r="A23" s="134" t="s">
        <v>798</v>
      </c>
      <c r="B23" s="134" t="s">
        <v>4909</v>
      </c>
      <c r="C23" s="99" t="s">
        <v>4910</v>
      </c>
      <c r="D23" s="238" t="s">
        <v>798</v>
      </c>
      <c r="E23" s="99" t="s">
        <v>141</v>
      </c>
      <c r="F23" s="99" t="s">
        <v>4911</v>
      </c>
      <c r="G23" s="99" t="s">
        <v>4907</v>
      </c>
      <c r="H23" s="99" t="s">
        <v>4912</v>
      </c>
      <c r="I23" s="99">
        <v>300</v>
      </c>
      <c r="J23" s="99">
        <v>100</v>
      </c>
      <c r="K23" s="336" t="str">
        <f t="shared" si="0"/>
        <v>Florea Adrian</v>
      </c>
      <c r="L23" s="216"/>
      <c r="M23" s="216"/>
      <c r="N23" s="216"/>
      <c r="O23" s="216"/>
      <c r="P23" s="216"/>
      <c r="Q23" s="216"/>
      <c r="R23" s="216"/>
      <c r="S23" s="216"/>
      <c r="T23" s="216"/>
      <c r="U23" s="216"/>
      <c r="V23" s="216"/>
      <c r="W23" s="216"/>
      <c r="X23" s="216"/>
      <c r="Y23" s="216"/>
      <c r="Z23" s="216"/>
    </row>
    <row r="24" spans="1:26" ht="15" customHeight="1">
      <c r="A24" s="238" t="s">
        <v>4913</v>
      </c>
      <c r="B24" s="238" t="s">
        <v>4914</v>
      </c>
      <c r="C24" s="238" t="s">
        <v>4915</v>
      </c>
      <c r="D24" s="238" t="s">
        <v>4913</v>
      </c>
      <c r="E24" s="238" t="s">
        <v>105</v>
      </c>
      <c r="F24" s="238" t="s">
        <v>4916</v>
      </c>
      <c r="G24" s="238">
        <v>26000</v>
      </c>
      <c r="H24" s="238">
        <v>2022</v>
      </c>
      <c r="I24" s="238">
        <v>200</v>
      </c>
      <c r="J24" s="238">
        <v>200</v>
      </c>
      <c r="K24" s="338" t="s">
        <v>127</v>
      </c>
      <c r="L24" s="216"/>
      <c r="M24" s="216"/>
      <c r="N24" s="216"/>
      <c r="O24" s="216"/>
      <c r="P24" s="216"/>
      <c r="Q24" s="216"/>
      <c r="R24" s="216"/>
      <c r="S24" s="216"/>
      <c r="T24" s="216"/>
      <c r="U24" s="216"/>
      <c r="V24" s="216"/>
      <c r="W24" s="216"/>
      <c r="X24" s="216"/>
      <c r="Y24" s="216"/>
      <c r="Z24" s="216"/>
    </row>
    <row r="25" spans="1:26" ht="15.75" customHeight="1"/>
    <row r="26" spans="1:26" ht="15" customHeight="1">
      <c r="A26" s="332" t="s">
        <v>169</v>
      </c>
      <c r="J26" s="332">
        <f>SUM(J13:J24)</f>
        <v>900.00333333333333</v>
      </c>
    </row>
    <row r="27" spans="1:26" ht="15.75" customHeight="1"/>
    <row r="28" spans="1:26" ht="15" customHeight="1">
      <c r="A28" s="1231" t="s">
        <v>1156</v>
      </c>
      <c r="B28" s="1232"/>
      <c r="C28" s="1232"/>
      <c r="D28" s="1232"/>
      <c r="E28" s="1232"/>
      <c r="F28" s="1232"/>
      <c r="G28" s="1232"/>
      <c r="H28" s="1233"/>
    </row>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8:H28"/>
    <mergeCell ref="A2:J2"/>
    <mergeCell ref="A4:J4"/>
    <mergeCell ref="A5:J5"/>
    <mergeCell ref="A6:J6"/>
    <mergeCell ref="A7:J7"/>
    <mergeCell ref="A8:J8"/>
    <mergeCell ref="A9:J9"/>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Z1000"/>
  <sheetViews>
    <sheetView workbookViewId="0"/>
  </sheetViews>
  <sheetFormatPr defaultColWidth="14.3984375" defaultRowHeight="15" customHeight="1"/>
  <cols>
    <col min="1" max="1" width="23.73046875" customWidth="1"/>
    <col min="2" max="2" width="10.265625" customWidth="1"/>
    <col min="3" max="3" width="27.73046875" customWidth="1"/>
    <col min="4" max="4" width="23.3984375" customWidth="1"/>
    <col min="5" max="5" width="15.265625" customWidth="1"/>
    <col min="6" max="6" width="26.3984375" customWidth="1"/>
    <col min="7" max="7" width="10.73046875" customWidth="1"/>
    <col min="8" max="8" width="16.1328125" customWidth="1"/>
    <col min="9" max="11" width="8" customWidth="1"/>
    <col min="12" max="12" width="8.73046875" customWidth="1"/>
    <col min="13" max="26" width="8" customWidth="1"/>
  </cols>
  <sheetData>
    <row r="1" spans="1:26" ht="14.25">
      <c r="A1" s="64"/>
      <c r="B1" s="65"/>
      <c r="C1" s="65"/>
      <c r="D1" s="65"/>
      <c r="E1" s="65"/>
      <c r="F1" s="65"/>
      <c r="G1" s="65"/>
      <c r="H1" s="1"/>
      <c r="I1" s="216"/>
      <c r="J1" s="216"/>
      <c r="K1" s="216"/>
      <c r="L1" s="216"/>
      <c r="M1" s="216"/>
      <c r="N1" s="216"/>
      <c r="O1" s="216"/>
      <c r="P1" s="216"/>
      <c r="Q1" s="216"/>
      <c r="R1" s="216"/>
      <c r="S1" s="216"/>
      <c r="T1" s="216"/>
      <c r="U1" s="216"/>
      <c r="V1" s="216"/>
      <c r="W1" s="216"/>
      <c r="X1" s="216"/>
      <c r="Y1" s="216"/>
      <c r="Z1" s="216"/>
    </row>
    <row r="2" spans="1:26" ht="15.75" customHeight="1">
      <c r="A2" s="1253" t="s">
        <v>4917</v>
      </c>
      <c r="B2" s="1232"/>
      <c r="C2" s="1232"/>
      <c r="D2" s="1232"/>
      <c r="E2" s="1232"/>
      <c r="F2" s="1232"/>
      <c r="G2" s="1232"/>
      <c r="H2" s="1232"/>
      <c r="I2" s="1232"/>
      <c r="J2" s="1232"/>
      <c r="K2" s="1233"/>
      <c r="L2" s="69"/>
      <c r="M2" s="69"/>
      <c r="N2" s="69"/>
      <c r="O2" s="69"/>
      <c r="P2" s="69"/>
      <c r="Q2" s="69"/>
      <c r="R2" s="69"/>
      <c r="S2" s="69"/>
      <c r="T2" s="69"/>
      <c r="U2" s="69"/>
      <c r="V2" s="69"/>
      <c r="W2" s="69"/>
      <c r="X2" s="69"/>
      <c r="Y2" s="69"/>
      <c r="Z2" s="69"/>
    </row>
    <row r="3" spans="1:26" ht="14.25">
      <c r="A3" s="80"/>
      <c r="B3" s="80"/>
      <c r="C3" s="80"/>
      <c r="D3" s="80"/>
      <c r="E3" s="80"/>
      <c r="F3" s="80"/>
      <c r="G3" s="80"/>
      <c r="H3" s="68"/>
      <c r="I3" s="69"/>
      <c r="J3" s="69"/>
      <c r="K3" s="69"/>
      <c r="L3" s="69"/>
      <c r="M3" s="69"/>
      <c r="N3" s="69"/>
      <c r="O3" s="69"/>
      <c r="P3" s="69"/>
      <c r="Q3" s="69"/>
      <c r="R3" s="69"/>
      <c r="S3" s="69"/>
      <c r="T3" s="69"/>
      <c r="U3" s="69"/>
      <c r="V3" s="69"/>
      <c r="W3" s="69"/>
      <c r="X3" s="69"/>
      <c r="Y3" s="69"/>
      <c r="Z3" s="69"/>
    </row>
    <row r="4" spans="1:26" ht="27.75" customHeight="1">
      <c r="A4" s="1226" t="s">
        <v>4918</v>
      </c>
      <c r="B4" s="1227"/>
      <c r="C4" s="1227"/>
      <c r="D4" s="1227"/>
      <c r="E4" s="1227"/>
      <c r="F4" s="1227"/>
      <c r="G4" s="1227"/>
      <c r="H4" s="1227"/>
      <c r="I4" s="1227"/>
      <c r="J4" s="1227"/>
      <c r="K4" s="1228"/>
      <c r="L4" s="348"/>
      <c r="M4" s="348"/>
      <c r="N4" s="348"/>
      <c r="O4" s="348"/>
      <c r="P4" s="348"/>
      <c r="Q4" s="348"/>
      <c r="R4" s="348"/>
      <c r="S4" s="348"/>
      <c r="T4" s="348"/>
      <c r="U4" s="348"/>
      <c r="V4" s="348"/>
      <c r="W4" s="348"/>
      <c r="X4" s="348"/>
      <c r="Y4" s="348"/>
      <c r="Z4" s="348"/>
    </row>
    <row r="5" spans="1:26" ht="28.5" customHeight="1">
      <c r="A5" s="1226" t="s">
        <v>4919</v>
      </c>
      <c r="B5" s="1227"/>
      <c r="C5" s="1227"/>
      <c r="D5" s="1227"/>
      <c r="E5" s="1227"/>
      <c r="F5" s="1227"/>
      <c r="G5" s="1227"/>
      <c r="H5" s="1227"/>
      <c r="I5" s="1227"/>
      <c r="J5" s="1227"/>
      <c r="K5" s="1228"/>
      <c r="L5" s="348"/>
      <c r="M5" s="348"/>
      <c r="N5" s="348"/>
      <c r="O5" s="348"/>
      <c r="P5" s="348"/>
      <c r="Q5" s="348"/>
      <c r="R5" s="348"/>
      <c r="S5" s="348"/>
      <c r="T5" s="348"/>
      <c r="U5" s="348"/>
      <c r="V5" s="348"/>
      <c r="W5" s="348"/>
      <c r="X5" s="348"/>
      <c r="Y5" s="348"/>
      <c r="Z5" s="348"/>
    </row>
    <row r="6" spans="1:26" ht="18" customHeight="1">
      <c r="A6" s="1226" t="s">
        <v>4920</v>
      </c>
      <c r="B6" s="1227"/>
      <c r="C6" s="1227"/>
      <c r="D6" s="1227"/>
      <c r="E6" s="1227"/>
      <c r="F6" s="1227"/>
      <c r="G6" s="1227"/>
      <c r="H6" s="1227"/>
      <c r="I6" s="1227"/>
      <c r="J6" s="1227"/>
      <c r="K6" s="1228"/>
      <c r="L6" s="348"/>
      <c r="M6" s="348"/>
      <c r="N6" s="348"/>
      <c r="O6" s="348"/>
      <c r="P6" s="348"/>
      <c r="Q6" s="348"/>
      <c r="R6" s="348"/>
      <c r="S6" s="348"/>
      <c r="T6" s="348"/>
      <c r="U6" s="348"/>
      <c r="V6" s="348"/>
      <c r="W6" s="348"/>
      <c r="X6" s="348"/>
      <c r="Y6" s="348"/>
      <c r="Z6" s="348"/>
    </row>
    <row r="7" spans="1:26" ht="14.25" customHeight="1">
      <c r="A7" s="1226" t="s">
        <v>4921</v>
      </c>
      <c r="B7" s="1227"/>
      <c r="C7" s="1227"/>
      <c r="D7" s="1227"/>
      <c r="E7" s="1227"/>
      <c r="F7" s="1227"/>
      <c r="G7" s="1227"/>
      <c r="H7" s="1227"/>
      <c r="I7" s="1227"/>
      <c r="J7" s="1227"/>
      <c r="K7" s="1228"/>
      <c r="L7" s="348"/>
      <c r="M7" s="348"/>
      <c r="N7" s="348"/>
      <c r="O7" s="348"/>
      <c r="P7" s="348"/>
      <c r="Q7" s="348"/>
      <c r="R7" s="348"/>
      <c r="S7" s="348"/>
      <c r="T7" s="348"/>
      <c r="U7" s="348"/>
      <c r="V7" s="348"/>
      <c r="W7" s="348"/>
      <c r="X7" s="348"/>
      <c r="Y7" s="348"/>
      <c r="Z7" s="348"/>
    </row>
    <row r="8" spans="1:26" ht="25.5" customHeight="1">
      <c r="A8" s="1226" t="s">
        <v>4922</v>
      </c>
      <c r="B8" s="1227"/>
      <c r="C8" s="1227"/>
      <c r="D8" s="1227"/>
      <c r="E8" s="1227"/>
      <c r="F8" s="1227"/>
      <c r="G8" s="1227"/>
      <c r="H8" s="1227"/>
      <c r="I8" s="1227"/>
      <c r="J8" s="1227"/>
      <c r="K8" s="1228"/>
      <c r="L8" s="348"/>
      <c r="M8" s="348"/>
      <c r="N8" s="348"/>
      <c r="O8" s="348"/>
      <c r="P8" s="348"/>
      <c r="Q8" s="348"/>
      <c r="R8" s="348"/>
      <c r="S8" s="348"/>
      <c r="T8" s="348"/>
      <c r="U8" s="348"/>
      <c r="V8" s="348"/>
      <c r="W8" s="348"/>
      <c r="X8" s="348"/>
      <c r="Y8" s="348"/>
      <c r="Z8" s="348"/>
    </row>
    <row r="9" spans="1:26" ht="26.25" customHeight="1">
      <c r="A9" s="1226" t="s">
        <v>4923</v>
      </c>
      <c r="B9" s="1227"/>
      <c r="C9" s="1227"/>
      <c r="D9" s="1227"/>
      <c r="E9" s="1227"/>
      <c r="F9" s="1227"/>
      <c r="G9" s="1227"/>
      <c r="H9" s="1227"/>
      <c r="I9" s="1227"/>
      <c r="J9" s="1227"/>
      <c r="K9" s="1228"/>
      <c r="L9" s="348"/>
      <c r="M9" s="348"/>
      <c r="N9" s="348"/>
      <c r="O9" s="348"/>
      <c r="P9" s="348"/>
      <c r="Q9" s="348"/>
      <c r="R9" s="348"/>
      <c r="S9" s="348"/>
      <c r="T9" s="348"/>
      <c r="U9" s="348"/>
      <c r="V9" s="348"/>
      <c r="W9" s="348"/>
      <c r="X9" s="348"/>
      <c r="Y9" s="348"/>
      <c r="Z9" s="348"/>
    </row>
    <row r="10" spans="1:26" ht="15.75" customHeight="1">
      <c r="A10" s="1237" t="s">
        <v>1295</v>
      </c>
      <c r="B10" s="1227"/>
      <c r="C10" s="1227"/>
      <c r="D10" s="1227"/>
      <c r="E10" s="1227"/>
      <c r="F10" s="1227"/>
      <c r="G10" s="1227"/>
      <c r="H10" s="1227"/>
      <c r="I10" s="1227"/>
      <c r="J10" s="1227"/>
      <c r="K10" s="1228"/>
      <c r="L10" s="348"/>
      <c r="M10" s="348"/>
      <c r="N10" s="348"/>
      <c r="O10" s="348"/>
      <c r="P10" s="348"/>
      <c r="Q10" s="348"/>
      <c r="R10" s="348"/>
      <c r="S10" s="348"/>
      <c r="T10" s="348"/>
      <c r="U10" s="348"/>
      <c r="V10" s="348"/>
      <c r="W10" s="348"/>
      <c r="X10" s="348"/>
      <c r="Y10" s="348"/>
      <c r="Z10" s="348"/>
    </row>
    <row r="11" spans="1:26" ht="14.25" customHeight="1">
      <c r="A11" s="1226" t="s">
        <v>4924</v>
      </c>
      <c r="B11" s="1227"/>
      <c r="C11" s="1227"/>
      <c r="D11" s="1227"/>
      <c r="E11" s="1227"/>
      <c r="F11" s="1227"/>
      <c r="G11" s="1227"/>
      <c r="H11" s="1227"/>
      <c r="I11" s="1227"/>
      <c r="J11" s="1227"/>
      <c r="K11" s="1228"/>
      <c r="L11" s="348"/>
      <c r="M11" s="348"/>
      <c r="N11" s="348"/>
      <c r="O11" s="348"/>
      <c r="P11" s="348"/>
      <c r="Q11" s="348"/>
      <c r="R11" s="348"/>
      <c r="S11" s="348"/>
      <c r="T11" s="348"/>
      <c r="U11" s="348"/>
      <c r="V11" s="348"/>
      <c r="W11" s="348"/>
      <c r="X11" s="348"/>
      <c r="Y11" s="348"/>
      <c r="Z11" s="348"/>
    </row>
    <row r="12" spans="1:26" ht="41.25" customHeight="1">
      <c r="A12" s="1229" t="s">
        <v>4925</v>
      </c>
      <c r="B12" s="1227"/>
      <c r="C12" s="1227"/>
      <c r="D12" s="1227"/>
      <c r="E12" s="1227"/>
      <c r="F12" s="1227"/>
      <c r="G12" s="1227"/>
      <c r="H12" s="1227"/>
      <c r="I12" s="1227"/>
      <c r="J12" s="1227"/>
      <c r="K12" s="1228"/>
      <c r="L12" s="348"/>
      <c r="M12" s="348"/>
      <c r="N12" s="348"/>
      <c r="O12" s="348"/>
      <c r="P12" s="348"/>
      <c r="Q12" s="348"/>
      <c r="R12" s="348"/>
      <c r="S12" s="348"/>
      <c r="T12" s="348"/>
      <c r="U12" s="348"/>
      <c r="V12" s="348"/>
      <c r="W12" s="348"/>
      <c r="X12" s="348"/>
      <c r="Y12" s="348"/>
      <c r="Z12" s="348"/>
    </row>
    <row r="13" spans="1:26" ht="14.25">
      <c r="A13" s="77"/>
      <c r="B13" s="78"/>
      <c r="C13" s="78"/>
      <c r="D13" s="78"/>
      <c r="E13" s="78"/>
      <c r="F13" s="78"/>
      <c r="G13" s="78"/>
      <c r="H13" s="68"/>
      <c r="I13" s="69"/>
      <c r="J13" s="69"/>
      <c r="K13" s="69"/>
      <c r="L13" s="69"/>
      <c r="M13" s="69"/>
      <c r="N13" s="69"/>
      <c r="O13" s="69"/>
      <c r="P13" s="69"/>
      <c r="Q13" s="69"/>
      <c r="R13" s="69"/>
      <c r="S13" s="69"/>
      <c r="T13" s="69"/>
      <c r="U13" s="69"/>
      <c r="V13" s="69"/>
      <c r="W13" s="69"/>
      <c r="X13" s="69"/>
      <c r="Y13" s="69"/>
      <c r="Z13" s="69"/>
    </row>
    <row r="14" spans="1:26" ht="61.5" customHeight="1">
      <c r="A14" s="350" t="s">
        <v>1299</v>
      </c>
      <c r="B14" s="83" t="s">
        <v>4926</v>
      </c>
      <c r="C14" s="83" t="s">
        <v>7</v>
      </c>
      <c r="D14" s="376" t="s">
        <v>4927</v>
      </c>
      <c r="E14" s="377" t="s">
        <v>1302</v>
      </c>
      <c r="F14" s="376" t="s">
        <v>4928</v>
      </c>
      <c r="G14" s="82" t="s">
        <v>1304</v>
      </c>
      <c r="H14" s="82" t="s">
        <v>204</v>
      </c>
      <c r="I14" s="82" t="s">
        <v>205</v>
      </c>
      <c r="J14" s="81" t="s">
        <v>206</v>
      </c>
      <c r="K14" s="350" t="s">
        <v>210</v>
      </c>
      <c r="L14" s="336" t="s">
        <v>211</v>
      </c>
      <c r="M14" s="69"/>
      <c r="N14" s="69"/>
      <c r="O14" s="69"/>
      <c r="P14" s="69"/>
      <c r="Q14" s="69"/>
      <c r="R14" s="69"/>
      <c r="S14" s="69"/>
      <c r="T14" s="69"/>
      <c r="U14" s="69"/>
      <c r="V14" s="69"/>
      <c r="W14" s="69"/>
      <c r="X14" s="69"/>
      <c r="Y14" s="69"/>
      <c r="Z14" s="69"/>
    </row>
    <row r="15" spans="1:26" ht="15" customHeight="1">
      <c r="A15" s="134" t="s">
        <v>1310</v>
      </c>
      <c r="B15" s="91" t="s">
        <v>1311</v>
      </c>
      <c r="C15" s="99" t="s">
        <v>51</v>
      </c>
      <c r="D15" s="134" t="s">
        <v>4929</v>
      </c>
      <c r="E15" s="378" t="s">
        <v>4930</v>
      </c>
      <c r="F15" s="133"/>
      <c r="G15" s="775">
        <v>2</v>
      </c>
      <c r="H15" s="776">
        <v>2</v>
      </c>
      <c r="I15" s="777">
        <v>4</v>
      </c>
      <c r="J15" s="777">
        <v>10</v>
      </c>
      <c r="K15" s="777">
        <v>5</v>
      </c>
      <c r="L15" s="338" t="s">
        <v>1315</v>
      </c>
    </row>
    <row r="16" spans="1:26" ht="15" customHeight="1">
      <c r="A16" s="134" t="s">
        <v>1310</v>
      </c>
      <c r="B16" s="91" t="s">
        <v>1311</v>
      </c>
      <c r="C16" s="99" t="s">
        <v>51</v>
      </c>
      <c r="D16" s="131" t="s">
        <v>4931</v>
      </c>
      <c r="E16" s="142" t="s">
        <v>4932</v>
      </c>
      <c r="F16" s="131"/>
      <c r="G16" s="778">
        <v>2</v>
      </c>
      <c r="H16" s="779">
        <v>2</v>
      </c>
      <c r="I16" s="780">
        <v>4</v>
      </c>
      <c r="J16" s="780">
        <v>10</v>
      </c>
      <c r="K16" s="780">
        <v>5</v>
      </c>
      <c r="L16" s="338" t="s">
        <v>1315</v>
      </c>
    </row>
    <row r="17" spans="1:12" ht="15" customHeight="1">
      <c r="A17" s="134" t="s">
        <v>4933</v>
      </c>
      <c r="B17" s="384" t="s">
        <v>4934</v>
      </c>
      <c r="C17" s="138" t="s">
        <v>51</v>
      </c>
      <c r="D17" s="134" t="s">
        <v>4935</v>
      </c>
      <c r="E17" s="384" t="s">
        <v>4936</v>
      </c>
      <c r="F17" s="133"/>
      <c r="G17" s="149">
        <v>3</v>
      </c>
      <c r="H17" s="761">
        <v>3</v>
      </c>
      <c r="I17" s="781">
        <v>3</v>
      </c>
      <c r="J17" s="781">
        <v>10</v>
      </c>
      <c r="K17" s="781">
        <v>3.33</v>
      </c>
      <c r="L17" s="338" t="s">
        <v>1315</v>
      </c>
    </row>
    <row r="18" spans="1:12" ht="15" customHeight="1">
      <c r="A18" s="386" t="s">
        <v>1349</v>
      </c>
      <c r="B18" s="121" t="s">
        <v>4937</v>
      </c>
      <c r="C18" s="387" t="s">
        <v>51</v>
      </c>
      <c r="D18" s="386" t="s">
        <v>4938</v>
      </c>
      <c r="E18" s="121" t="s">
        <v>4939</v>
      </c>
      <c r="F18" s="121" t="s">
        <v>4585</v>
      </c>
      <c r="G18" s="121">
        <v>2</v>
      </c>
      <c r="H18" s="410">
        <v>2</v>
      </c>
      <c r="I18" s="782">
        <v>2</v>
      </c>
      <c r="J18" s="782">
        <v>20</v>
      </c>
      <c r="K18" s="782">
        <v>10</v>
      </c>
      <c r="L18" s="338" t="s">
        <v>1339</v>
      </c>
    </row>
    <row r="19" spans="1:12" ht="15" customHeight="1">
      <c r="A19" s="386" t="s">
        <v>1334</v>
      </c>
      <c r="B19" s="386" t="s">
        <v>1335</v>
      </c>
      <c r="C19" s="387" t="s">
        <v>51</v>
      </c>
      <c r="D19" s="386" t="s">
        <v>4940</v>
      </c>
      <c r="E19" s="90" t="s">
        <v>4941</v>
      </c>
      <c r="F19" s="121" t="s">
        <v>4585</v>
      </c>
      <c r="G19" s="121">
        <v>2</v>
      </c>
      <c r="H19" s="410">
        <v>2</v>
      </c>
      <c r="I19" s="782">
        <v>2</v>
      </c>
      <c r="J19" s="782">
        <v>10</v>
      </c>
      <c r="K19" s="782">
        <v>5</v>
      </c>
      <c r="L19" s="338" t="s">
        <v>1339</v>
      </c>
    </row>
    <row r="20" spans="1:12" ht="15" customHeight="1">
      <c r="A20" s="386" t="s">
        <v>1334</v>
      </c>
      <c r="B20" s="386" t="s">
        <v>1335</v>
      </c>
      <c r="C20" s="387" t="s">
        <v>51</v>
      </c>
      <c r="D20" s="386" t="s">
        <v>4942</v>
      </c>
      <c r="E20" s="121" t="s">
        <v>4943</v>
      </c>
      <c r="F20" s="121" t="s">
        <v>4585</v>
      </c>
      <c r="G20" s="121">
        <v>2</v>
      </c>
      <c r="H20" s="410">
        <v>2</v>
      </c>
      <c r="I20" s="782">
        <v>2</v>
      </c>
      <c r="J20" s="782">
        <v>10</v>
      </c>
      <c r="K20" s="782">
        <v>5</v>
      </c>
      <c r="L20" s="338" t="s">
        <v>1339</v>
      </c>
    </row>
    <row r="21" spans="1:12" ht="15" customHeight="1">
      <c r="A21" s="386" t="s">
        <v>1334</v>
      </c>
      <c r="B21" s="386" t="s">
        <v>1335</v>
      </c>
      <c r="C21" s="387" t="s">
        <v>51</v>
      </c>
      <c r="D21" s="386" t="s">
        <v>4944</v>
      </c>
      <c r="E21" s="121" t="s">
        <v>4945</v>
      </c>
      <c r="F21" s="121" t="s">
        <v>4585</v>
      </c>
      <c r="G21" s="121">
        <v>2</v>
      </c>
      <c r="H21" s="410">
        <v>2</v>
      </c>
      <c r="I21" s="782">
        <v>2</v>
      </c>
      <c r="J21" s="782">
        <v>20</v>
      </c>
      <c r="K21" s="782">
        <v>10</v>
      </c>
      <c r="L21" s="338" t="s">
        <v>1339</v>
      </c>
    </row>
    <row r="22" spans="1:12" ht="15" customHeight="1">
      <c r="A22" s="386" t="s">
        <v>1334</v>
      </c>
      <c r="B22" s="386" t="s">
        <v>1348</v>
      </c>
      <c r="C22" s="387" t="s">
        <v>51</v>
      </c>
      <c r="D22" s="386" t="s">
        <v>4946</v>
      </c>
      <c r="E22" s="121" t="s">
        <v>4947</v>
      </c>
      <c r="F22" s="121" t="s">
        <v>4585</v>
      </c>
      <c r="G22" s="121">
        <v>2</v>
      </c>
      <c r="H22" s="410">
        <v>2</v>
      </c>
      <c r="I22" s="782">
        <v>2</v>
      </c>
      <c r="J22" s="782">
        <v>20</v>
      </c>
      <c r="K22" s="782">
        <v>10</v>
      </c>
      <c r="L22" s="338" t="s">
        <v>1339</v>
      </c>
    </row>
    <row r="23" spans="1:12" ht="15" customHeight="1">
      <c r="A23" s="386" t="s">
        <v>1334</v>
      </c>
      <c r="B23" s="386" t="s">
        <v>1348</v>
      </c>
      <c r="C23" s="387" t="s">
        <v>51</v>
      </c>
      <c r="D23" s="386" t="s">
        <v>4948</v>
      </c>
      <c r="E23" s="121" t="s">
        <v>4949</v>
      </c>
      <c r="F23" s="121" t="s">
        <v>4585</v>
      </c>
      <c r="G23" s="121">
        <v>2</v>
      </c>
      <c r="H23" s="410">
        <v>2</v>
      </c>
      <c r="I23" s="782">
        <v>2</v>
      </c>
      <c r="J23" s="782">
        <v>20</v>
      </c>
      <c r="K23" s="782">
        <v>10</v>
      </c>
      <c r="L23" s="338" t="s">
        <v>1339</v>
      </c>
    </row>
    <row r="24" spans="1:12" ht="15" customHeight="1">
      <c r="A24" s="386" t="s">
        <v>1349</v>
      </c>
      <c r="B24" s="386" t="s">
        <v>1352</v>
      </c>
      <c r="C24" s="387" t="s">
        <v>51</v>
      </c>
      <c r="D24" s="386" t="s">
        <v>4950</v>
      </c>
      <c r="E24" s="121" t="s">
        <v>4951</v>
      </c>
      <c r="F24" s="121" t="s">
        <v>4585</v>
      </c>
      <c r="G24" s="121">
        <v>2</v>
      </c>
      <c r="H24" s="410">
        <v>2</v>
      </c>
      <c r="I24" s="782">
        <v>2</v>
      </c>
      <c r="J24" s="782">
        <v>20</v>
      </c>
      <c r="K24" s="782">
        <v>10</v>
      </c>
      <c r="L24" s="338" t="s">
        <v>1339</v>
      </c>
    </row>
    <row r="25" spans="1:12" ht="15" customHeight="1">
      <c r="A25" s="386" t="s">
        <v>1349</v>
      </c>
      <c r="B25" s="386" t="s">
        <v>4952</v>
      </c>
      <c r="C25" s="387" t="s">
        <v>51</v>
      </c>
      <c r="D25" s="386" t="s">
        <v>4953</v>
      </c>
      <c r="E25" s="121" t="s">
        <v>4954</v>
      </c>
      <c r="F25" s="121" t="s">
        <v>4585</v>
      </c>
      <c r="G25" s="121">
        <v>2</v>
      </c>
      <c r="H25" s="410">
        <v>2</v>
      </c>
      <c r="I25" s="782">
        <v>2</v>
      </c>
      <c r="J25" s="782">
        <v>20</v>
      </c>
      <c r="K25" s="782">
        <v>10</v>
      </c>
      <c r="L25" s="338" t="s">
        <v>1339</v>
      </c>
    </row>
    <row r="26" spans="1:12" ht="15" customHeight="1">
      <c r="A26" s="386" t="s">
        <v>1349</v>
      </c>
      <c r="B26" s="386" t="s">
        <v>4952</v>
      </c>
      <c r="C26" s="387" t="s">
        <v>51</v>
      </c>
      <c r="D26" s="386" t="s">
        <v>4955</v>
      </c>
      <c r="E26" s="121" t="s">
        <v>4956</v>
      </c>
      <c r="F26" s="121" t="s">
        <v>4585</v>
      </c>
      <c r="G26" s="121">
        <v>2</v>
      </c>
      <c r="H26" s="410">
        <v>2</v>
      </c>
      <c r="I26" s="782">
        <v>2</v>
      </c>
      <c r="J26" s="782">
        <v>20</v>
      </c>
      <c r="K26" s="782">
        <v>10</v>
      </c>
      <c r="L26" s="338" t="s">
        <v>1339</v>
      </c>
    </row>
    <row r="27" spans="1:12" ht="15" customHeight="1">
      <c r="A27" s="134" t="s">
        <v>1354</v>
      </c>
      <c r="B27" s="99" t="s">
        <v>4957</v>
      </c>
      <c r="C27" s="99" t="s">
        <v>51</v>
      </c>
      <c r="D27" s="133" t="s">
        <v>4958</v>
      </c>
      <c r="E27" s="130" t="s">
        <v>4959</v>
      </c>
      <c r="F27" s="133" t="s">
        <v>4960</v>
      </c>
      <c r="G27" s="133">
        <v>1</v>
      </c>
      <c r="H27" s="495">
        <v>1</v>
      </c>
      <c r="I27" s="783">
        <v>1</v>
      </c>
      <c r="J27" s="783">
        <v>20</v>
      </c>
      <c r="K27" s="783">
        <v>20</v>
      </c>
      <c r="L27" s="338" t="s">
        <v>1359</v>
      </c>
    </row>
    <row r="28" spans="1:12" ht="15" customHeight="1">
      <c r="A28" s="134" t="s">
        <v>1354</v>
      </c>
      <c r="B28" s="99" t="s">
        <v>4957</v>
      </c>
      <c r="C28" s="99" t="s">
        <v>51</v>
      </c>
      <c r="D28" s="133" t="s">
        <v>4961</v>
      </c>
      <c r="E28" s="130" t="s">
        <v>4962</v>
      </c>
      <c r="F28" s="133" t="s">
        <v>4963</v>
      </c>
      <c r="G28" s="133">
        <v>1</v>
      </c>
      <c r="H28" s="495">
        <v>1</v>
      </c>
      <c r="I28" s="783">
        <v>1</v>
      </c>
      <c r="J28" s="783">
        <v>20</v>
      </c>
      <c r="K28" s="783">
        <v>20</v>
      </c>
      <c r="L28" s="338" t="s">
        <v>1359</v>
      </c>
    </row>
    <row r="29" spans="1:12" ht="15" customHeight="1">
      <c r="A29" s="134" t="s">
        <v>1354</v>
      </c>
      <c r="B29" s="228" t="s">
        <v>4964</v>
      </c>
      <c r="C29" s="99" t="s">
        <v>51</v>
      </c>
      <c r="D29" s="131" t="s">
        <v>4965</v>
      </c>
      <c r="E29" s="745" t="s">
        <v>4966</v>
      </c>
      <c r="F29" s="133" t="s">
        <v>4967</v>
      </c>
      <c r="G29" s="133">
        <v>1</v>
      </c>
      <c r="H29" s="495">
        <v>1</v>
      </c>
      <c r="I29" s="783">
        <v>1</v>
      </c>
      <c r="J29" s="783">
        <v>20</v>
      </c>
      <c r="K29" s="783">
        <v>20</v>
      </c>
      <c r="L29" s="338" t="s">
        <v>1359</v>
      </c>
    </row>
    <row r="30" spans="1:12" ht="15" customHeight="1">
      <c r="A30" s="134" t="s">
        <v>1354</v>
      </c>
      <c r="B30" s="228" t="s">
        <v>4968</v>
      </c>
      <c r="C30" s="99" t="s">
        <v>51</v>
      </c>
      <c r="D30" s="138" t="s">
        <v>4969</v>
      </c>
      <c r="E30" s="138" t="s">
        <v>4970</v>
      </c>
      <c r="F30" s="138" t="s">
        <v>4971</v>
      </c>
      <c r="G30" s="133">
        <v>1</v>
      </c>
      <c r="H30" s="495">
        <v>1</v>
      </c>
      <c r="I30" s="783">
        <v>1</v>
      </c>
      <c r="J30" s="783">
        <v>20</v>
      </c>
      <c r="K30" s="783">
        <v>20</v>
      </c>
      <c r="L30" s="338" t="s">
        <v>1359</v>
      </c>
    </row>
    <row r="31" spans="1:12" ht="15" customHeight="1">
      <c r="A31" s="386" t="s">
        <v>1349</v>
      </c>
      <c r="B31" s="121" t="s">
        <v>4937</v>
      </c>
      <c r="C31" s="387" t="s">
        <v>51</v>
      </c>
      <c r="D31" s="386" t="s">
        <v>4938</v>
      </c>
      <c r="E31" s="121" t="s">
        <v>4939</v>
      </c>
      <c r="F31" s="121" t="s">
        <v>4585</v>
      </c>
      <c r="G31" s="121">
        <v>2</v>
      </c>
      <c r="H31" s="410">
        <v>2</v>
      </c>
      <c r="I31" s="782">
        <v>2</v>
      </c>
      <c r="J31" s="782">
        <v>20</v>
      </c>
      <c r="K31" s="782">
        <v>10</v>
      </c>
      <c r="L31" s="338" t="s">
        <v>249</v>
      </c>
    </row>
    <row r="32" spans="1:12" ht="15" customHeight="1">
      <c r="A32" s="386" t="s">
        <v>1334</v>
      </c>
      <c r="B32" s="386" t="s">
        <v>1335</v>
      </c>
      <c r="C32" s="387" t="s">
        <v>51</v>
      </c>
      <c r="D32" s="386" t="s">
        <v>4972</v>
      </c>
      <c r="E32" s="90" t="s">
        <v>4941</v>
      </c>
      <c r="F32" s="121" t="s">
        <v>4585</v>
      </c>
      <c r="G32" s="121">
        <v>2</v>
      </c>
      <c r="H32" s="410">
        <v>2</v>
      </c>
      <c r="I32" s="782">
        <v>2</v>
      </c>
      <c r="J32" s="782">
        <v>10</v>
      </c>
      <c r="K32" s="782">
        <v>5</v>
      </c>
      <c r="L32" s="338" t="s">
        <v>249</v>
      </c>
    </row>
    <row r="33" spans="1:12" ht="15" customHeight="1">
      <c r="A33" s="386" t="s">
        <v>1334</v>
      </c>
      <c r="B33" s="386" t="s">
        <v>1335</v>
      </c>
      <c r="C33" s="387" t="s">
        <v>51</v>
      </c>
      <c r="D33" s="386" t="s">
        <v>4942</v>
      </c>
      <c r="E33" s="121" t="s">
        <v>4943</v>
      </c>
      <c r="F33" s="121" t="s">
        <v>4585</v>
      </c>
      <c r="G33" s="121">
        <v>2</v>
      </c>
      <c r="H33" s="410">
        <v>2</v>
      </c>
      <c r="I33" s="782">
        <v>2</v>
      </c>
      <c r="J33" s="782">
        <v>10</v>
      </c>
      <c r="K33" s="782">
        <v>5</v>
      </c>
      <c r="L33" s="338" t="s">
        <v>249</v>
      </c>
    </row>
    <row r="34" spans="1:12" ht="15" customHeight="1">
      <c r="A34" s="386" t="s">
        <v>1334</v>
      </c>
      <c r="B34" s="386" t="s">
        <v>1335</v>
      </c>
      <c r="C34" s="387" t="s">
        <v>51</v>
      </c>
      <c r="D34" s="386" t="s">
        <v>4973</v>
      </c>
      <c r="E34" s="121" t="s">
        <v>4945</v>
      </c>
      <c r="F34" s="121" t="s">
        <v>4585</v>
      </c>
      <c r="G34" s="121">
        <v>2</v>
      </c>
      <c r="H34" s="410">
        <v>2</v>
      </c>
      <c r="I34" s="782">
        <v>2</v>
      </c>
      <c r="J34" s="782">
        <v>20</v>
      </c>
      <c r="K34" s="782">
        <v>10</v>
      </c>
      <c r="L34" s="338" t="s">
        <v>249</v>
      </c>
    </row>
    <row r="35" spans="1:12" ht="15" customHeight="1">
      <c r="A35" s="386" t="s">
        <v>1334</v>
      </c>
      <c r="B35" s="386" t="s">
        <v>1348</v>
      </c>
      <c r="C35" s="387" t="s">
        <v>51</v>
      </c>
      <c r="D35" s="386" t="s">
        <v>4974</v>
      </c>
      <c r="E35" s="121" t="s">
        <v>4947</v>
      </c>
      <c r="F35" s="121" t="s">
        <v>4585</v>
      </c>
      <c r="G35" s="121">
        <v>2</v>
      </c>
      <c r="H35" s="410">
        <v>2</v>
      </c>
      <c r="I35" s="782">
        <v>2</v>
      </c>
      <c r="J35" s="782">
        <v>20</v>
      </c>
      <c r="K35" s="782">
        <v>10</v>
      </c>
      <c r="L35" s="338" t="s">
        <v>249</v>
      </c>
    </row>
    <row r="36" spans="1:12" ht="15" customHeight="1">
      <c r="A36" s="386" t="s">
        <v>1334</v>
      </c>
      <c r="B36" s="386" t="s">
        <v>1348</v>
      </c>
      <c r="C36" s="387" t="s">
        <v>51</v>
      </c>
      <c r="D36" s="386" t="s">
        <v>4975</v>
      </c>
      <c r="E36" s="121" t="s">
        <v>4949</v>
      </c>
      <c r="F36" s="121" t="s">
        <v>4585</v>
      </c>
      <c r="G36" s="121">
        <v>2</v>
      </c>
      <c r="H36" s="410">
        <v>2</v>
      </c>
      <c r="I36" s="782">
        <v>2</v>
      </c>
      <c r="J36" s="782">
        <v>20</v>
      </c>
      <c r="K36" s="782">
        <v>10</v>
      </c>
      <c r="L36" s="338" t="s">
        <v>249</v>
      </c>
    </row>
    <row r="37" spans="1:12" ht="15" customHeight="1">
      <c r="A37" s="386" t="s">
        <v>1349</v>
      </c>
      <c r="B37" s="386" t="s">
        <v>1352</v>
      </c>
      <c r="C37" s="387" t="s">
        <v>51</v>
      </c>
      <c r="D37" s="386" t="s">
        <v>4950</v>
      </c>
      <c r="E37" s="121" t="s">
        <v>4951</v>
      </c>
      <c r="F37" s="121" t="s">
        <v>4585</v>
      </c>
      <c r="G37" s="121">
        <v>2</v>
      </c>
      <c r="H37" s="410">
        <v>2</v>
      </c>
      <c r="I37" s="782">
        <v>2</v>
      </c>
      <c r="J37" s="782">
        <v>20</v>
      </c>
      <c r="K37" s="782">
        <v>10</v>
      </c>
      <c r="L37" s="338" t="s">
        <v>249</v>
      </c>
    </row>
    <row r="38" spans="1:12" ht="15" customHeight="1">
      <c r="A38" s="386" t="s">
        <v>1349</v>
      </c>
      <c r="B38" s="386" t="s">
        <v>4952</v>
      </c>
      <c r="C38" s="387" t="s">
        <v>51</v>
      </c>
      <c r="D38" s="386" t="s">
        <v>4976</v>
      </c>
      <c r="E38" s="121" t="s">
        <v>4954</v>
      </c>
      <c r="F38" s="121" t="s">
        <v>4585</v>
      </c>
      <c r="G38" s="121">
        <v>2</v>
      </c>
      <c r="H38" s="410">
        <v>2</v>
      </c>
      <c r="I38" s="782">
        <v>2</v>
      </c>
      <c r="J38" s="782">
        <v>20</v>
      </c>
      <c r="K38" s="782">
        <v>10</v>
      </c>
      <c r="L38" s="338" t="s">
        <v>249</v>
      </c>
    </row>
    <row r="39" spans="1:12" ht="15" customHeight="1">
      <c r="A39" s="386" t="s">
        <v>1349</v>
      </c>
      <c r="B39" s="386" t="s">
        <v>4952</v>
      </c>
      <c r="C39" s="387" t="s">
        <v>51</v>
      </c>
      <c r="D39" s="386" t="s">
        <v>4977</v>
      </c>
      <c r="E39" s="121" t="s">
        <v>4956</v>
      </c>
      <c r="F39" s="121" t="s">
        <v>4585</v>
      </c>
      <c r="G39" s="121">
        <v>2</v>
      </c>
      <c r="H39" s="410">
        <v>2</v>
      </c>
      <c r="I39" s="782">
        <v>2</v>
      </c>
      <c r="J39" s="782">
        <v>20</v>
      </c>
      <c r="K39" s="782">
        <v>10</v>
      </c>
      <c r="L39" s="338" t="s">
        <v>249</v>
      </c>
    </row>
    <row r="40" spans="1:12" ht="15" customHeight="1">
      <c r="A40" s="134" t="s">
        <v>1738</v>
      </c>
      <c r="B40" s="91" t="s">
        <v>1739</v>
      </c>
      <c r="C40" s="99" t="s">
        <v>51</v>
      </c>
      <c r="D40" s="133" t="s">
        <v>4978</v>
      </c>
      <c r="E40" s="130" t="s">
        <v>4979</v>
      </c>
      <c r="F40" s="133" t="s">
        <v>4980</v>
      </c>
      <c r="G40" s="398">
        <v>3</v>
      </c>
      <c r="H40" s="495">
        <v>2</v>
      </c>
      <c r="I40" s="784">
        <v>3</v>
      </c>
      <c r="J40" s="784">
        <v>20</v>
      </c>
      <c r="K40" s="784">
        <v>6.66</v>
      </c>
      <c r="L40" s="338" t="s">
        <v>359</v>
      </c>
    </row>
    <row r="41" spans="1:12" ht="15" customHeight="1">
      <c r="A41" s="438" t="s">
        <v>4981</v>
      </c>
      <c r="B41" s="228" t="s">
        <v>4982</v>
      </c>
      <c r="C41" s="228" t="s">
        <v>51</v>
      </c>
      <c r="D41" s="131" t="s">
        <v>4983</v>
      </c>
      <c r="E41" s="142" t="s">
        <v>4984</v>
      </c>
      <c r="F41" s="131" t="s">
        <v>4980</v>
      </c>
      <c r="G41" s="785">
        <v>2</v>
      </c>
      <c r="H41" s="786">
        <v>2</v>
      </c>
      <c r="I41" s="658">
        <v>2</v>
      </c>
      <c r="J41" s="658">
        <v>20</v>
      </c>
      <c r="K41" s="658">
        <v>10</v>
      </c>
      <c r="L41" s="338" t="s">
        <v>359</v>
      </c>
    </row>
    <row r="42" spans="1:12" ht="15" customHeight="1">
      <c r="A42" s="438" t="s">
        <v>4985</v>
      </c>
      <c r="B42" s="228" t="s">
        <v>4986</v>
      </c>
      <c r="C42" s="228" t="s">
        <v>51</v>
      </c>
      <c r="D42" s="133" t="s">
        <v>4987</v>
      </c>
      <c r="E42" s="130" t="s">
        <v>4988</v>
      </c>
      <c r="F42" s="133" t="s">
        <v>4980</v>
      </c>
      <c r="G42" s="787">
        <v>2</v>
      </c>
      <c r="H42" s="788">
        <v>2</v>
      </c>
      <c r="I42" s="658">
        <v>2</v>
      </c>
      <c r="J42" s="658">
        <v>20</v>
      </c>
      <c r="K42" s="658">
        <v>10</v>
      </c>
      <c r="L42" s="338" t="s">
        <v>359</v>
      </c>
    </row>
    <row r="43" spans="1:12" ht="15" customHeight="1">
      <c r="A43" s="438" t="s">
        <v>4985</v>
      </c>
      <c r="B43" s="228" t="s">
        <v>4986</v>
      </c>
      <c r="C43" s="228" t="s">
        <v>51</v>
      </c>
      <c r="D43" s="133" t="s">
        <v>4989</v>
      </c>
      <c r="E43" s="130" t="s">
        <v>4990</v>
      </c>
      <c r="F43" s="133" t="s">
        <v>4980</v>
      </c>
      <c r="G43" s="787">
        <v>2</v>
      </c>
      <c r="H43" s="788">
        <v>2</v>
      </c>
      <c r="I43" s="658">
        <v>2</v>
      </c>
      <c r="J43" s="658">
        <v>20</v>
      </c>
      <c r="K43" s="658">
        <v>10</v>
      </c>
      <c r="L43" s="338" t="s">
        <v>359</v>
      </c>
    </row>
    <row r="44" spans="1:12" ht="15" customHeight="1">
      <c r="A44" s="134" t="s">
        <v>1776</v>
      </c>
      <c r="B44" s="134" t="s">
        <v>1778</v>
      </c>
      <c r="C44" s="99" t="s">
        <v>51</v>
      </c>
      <c r="D44" s="138" t="s">
        <v>4991</v>
      </c>
      <c r="E44" s="130" t="s">
        <v>4992</v>
      </c>
      <c r="F44" s="133" t="s">
        <v>4980</v>
      </c>
      <c r="G44" s="787">
        <v>2</v>
      </c>
      <c r="H44" s="788">
        <v>1</v>
      </c>
      <c r="I44" s="658">
        <v>2</v>
      </c>
      <c r="J44" s="658">
        <v>20</v>
      </c>
      <c r="K44" s="658">
        <v>10</v>
      </c>
      <c r="L44" s="338" t="s">
        <v>359</v>
      </c>
    </row>
    <row r="45" spans="1:12" ht="15" customHeight="1">
      <c r="A45" s="134" t="s">
        <v>4993</v>
      </c>
      <c r="B45" s="134" t="s">
        <v>4994</v>
      </c>
      <c r="C45" s="99" t="s">
        <v>51</v>
      </c>
      <c r="D45" s="138" t="s">
        <v>4995</v>
      </c>
      <c r="E45" s="130" t="s">
        <v>4996</v>
      </c>
      <c r="F45" s="133" t="s">
        <v>4980</v>
      </c>
      <c r="G45" s="787">
        <v>3</v>
      </c>
      <c r="H45" s="788">
        <v>2</v>
      </c>
      <c r="I45" s="658">
        <v>3</v>
      </c>
      <c r="J45" s="658">
        <v>20</v>
      </c>
      <c r="K45" s="658">
        <v>6.66</v>
      </c>
      <c r="L45" s="338" t="s">
        <v>359</v>
      </c>
    </row>
    <row r="46" spans="1:12" ht="15" customHeight="1">
      <c r="A46" s="134" t="s">
        <v>4997</v>
      </c>
      <c r="B46" s="134" t="s">
        <v>4998</v>
      </c>
      <c r="C46" s="99" t="s">
        <v>51</v>
      </c>
      <c r="D46" s="138" t="s">
        <v>4999</v>
      </c>
      <c r="E46" s="130" t="s">
        <v>5000</v>
      </c>
      <c r="F46" s="133" t="s">
        <v>4980</v>
      </c>
      <c r="G46" s="787">
        <v>4</v>
      </c>
      <c r="H46" s="788">
        <v>1</v>
      </c>
      <c r="I46" s="658">
        <v>5</v>
      </c>
      <c r="J46" s="658">
        <v>20</v>
      </c>
      <c r="K46" s="658">
        <v>5</v>
      </c>
      <c r="L46" s="338" t="s">
        <v>359</v>
      </c>
    </row>
    <row r="47" spans="1:12" ht="15" customHeight="1">
      <c r="A47" s="134" t="s">
        <v>5001</v>
      </c>
      <c r="B47" s="99" t="s">
        <v>5002</v>
      </c>
      <c r="C47" s="92" t="s">
        <v>51</v>
      </c>
      <c r="D47" s="133" t="s">
        <v>5003</v>
      </c>
      <c r="E47" s="130" t="s">
        <v>5004</v>
      </c>
      <c r="F47" s="133" t="s">
        <v>5005</v>
      </c>
      <c r="G47" s="133">
        <v>4</v>
      </c>
      <c r="H47" s="495">
        <v>4</v>
      </c>
      <c r="I47" s="789">
        <v>4</v>
      </c>
      <c r="J47" s="789">
        <v>10</v>
      </c>
      <c r="K47" s="789">
        <v>2.5</v>
      </c>
      <c r="L47" s="338" t="s">
        <v>384</v>
      </c>
    </row>
    <row r="48" spans="1:12" ht="15" customHeight="1">
      <c r="A48" s="134" t="s">
        <v>5006</v>
      </c>
      <c r="B48" s="99" t="s">
        <v>1865</v>
      </c>
      <c r="C48" s="99" t="s">
        <v>51</v>
      </c>
      <c r="D48" s="133" t="s">
        <v>5007</v>
      </c>
      <c r="E48" s="130" t="s">
        <v>5008</v>
      </c>
      <c r="F48" s="133" t="s">
        <v>4963</v>
      </c>
      <c r="G48" s="133">
        <v>2</v>
      </c>
      <c r="H48" s="495">
        <v>2</v>
      </c>
      <c r="I48" s="789">
        <v>2</v>
      </c>
      <c r="J48" s="789">
        <v>20</v>
      </c>
      <c r="K48" s="789">
        <f t="shared" ref="K48:K70" si="0">J48/2</f>
        <v>10</v>
      </c>
      <c r="L48" s="338" t="s">
        <v>1869</v>
      </c>
    </row>
    <row r="49" spans="1:12" ht="15" customHeight="1">
      <c r="A49" s="134" t="s">
        <v>5006</v>
      </c>
      <c r="B49" s="99" t="s">
        <v>1865</v>
      </c>
      <c r="C49" s="99" t="s">
        <v>51</v>
      </c>
      <c r="D49" s="131" t="s">
        <v>5009</v>
      </c>
      <c r="E49" s="142" t="s">
        <v>5010</v>
      </c>
      <c r="F49" s="133" t="s">
        <v>4963</v>
      </c>
      <c r="G49" s="133">
        <v>2</v>
      </c>
      <c r="H49" s="495">
        <v>2</v>
      </c>
      <c r="I49" s="789">
        <v>2</v>
      </c>
      <c r="J49" s="789">
        <v>20</v>
      </c>
      <c r="K49" s="789">
        <f t="shared" si="0"/>
        <v>10</v>
      </c>
      <c r="L49" s="338" t="s">
        <v>1869</v>
      </c>
    </row>
    <row r="50" spans="1:12" ht="15" customHeight="1">
      <c r="A50" s="134" t="s">
        <v>5006</v>
      </c>
      <c r="B50" s="99" t="s">
        <v>1865</v>
      </c>
      <c r="C50" s="99" t="s">
        <v>51</v>
      </c>
      <c r="D50" s="133" t="s">
        <v>5011</v>
      </c>
      <c r="E50" s="130" t="s">
        <v>5012</v>
      </c>
      <c r="F50" s="133" t="s">
        <v>4963</v>
      </c>
      <c r="G50" s="133">
        <v>2</v>
      </c>
      <c r="H50" s="495">
        <v>2</v>
      </c>
      <c r="I50" s="789">
        <v>2</v>
      </c>
      <c r="J50" s="789">
        <v>20</v>
      </c>
      <c r="K50" s="789">
        <f t="shared" si="0"/>
        <v>10</v>
      </c>
      <c r="L50" s="338" t="s">
        <v>1869</v>
      </c>
    </row>
    <row r="51" spans="1:12" ht="15" customHeight="1">
      <c r="A51" s="134" t="s">
        <v>5006</v>
      </c>
      <c r="B51" s="99" t="s">
        <v>1865</v>
      </c>
      <c r="C51" s="99" t="s">
        <v>51</v>
      </c>
      <c r="D51" s="133" t="s">
        <v>5013</v>
      </c>
      <c r="E51" s="130" t="s">
        <v>5014</v>
      </c>
      <c r="F51" s="133" t="s">
        <v>4963</v>
      </c>
      <c r="G51" s="133">
        <v>2</v>
      </c>
      <c r="H51" s="495">
        <v>2</v>
      </c>
      <c r="I51" s="789">
        <v>2</v>
      </c>
      <c r="J51" s="789">
        <v>20</v>
      </c>
      <c r="K51" s="789">
        <f t="shared" si="0"/>
        <v>10</v>
      </c>
      <c r="L51" s="338" t="s">
        <v>1869</v>
      </c>
    </row>
    <row r="52" spans="1:12" ht="15" customHeight="1">
      <c r="A52" s="134" t="s">
        <v>5006</v>
      </c>
      <c r="B52" s="99" t="s">
        <v>1865</v>
      </c>
      <c r="C52" s="99" t="s">
        <v>51</v>
      </c>
      <c r="D52" s="133" t="s">
        <v>5015</v>
      </c>
      <c r="E52" s="130" t="s">
        <v>5016</v>
      </c>
      <c r="F52" s="133" t="s">
        <v>4963</v>
      </c>
      <c r="G52" s="133">
        <v>2</v>
      </c>
      <c r="H52" s="495">
        <v>2</v>
      </c>
      <c r="I52" s="789">
        <v>2</v>
      </c>
      <c r="J52" s="789">
        <v>20</v>
      </c>
      <c r="K52" s="789">
        <f t="shared" si="0"/>
        <v>10</v>
      </c>
      <c r="L52" s="338" t="s">
        <v>1869</v>
      </c>
    </row>
    <row r="53" spans="1:12" ht="15" customHeight="1">
      <c r="A53" s="134" t="s">
        <v>5006</v>
      </c>
      <c r="B53" s="99" t="s">
        <v>1865</v>
      </c>
      <c r="C53" s="99" t="s">
        <v>51</v>
      </c>
      <c r="D53" s="133" t="s">
        <v>5017</v>
      </c>
      <c r="E53" s="130" t="s">
        <v>5018</v>
      </c>
      <c r="F53" s="133" t="s">
        <v>4963</v>
      </c>
      <c r="G53" s="133">
        <v>2</v>
      </c>
      <c r="H53" s="495">
        <v>2</v>
      </c>
      <c r="I53" s="789">
        <v>2</v>
      </c>
      <c r="J53" s="789">
        <v>20</v>
      </c>
      <c r="K53" s="789">
        <f t="shared" si="0"/>
        <v>10</v>
      </c>
      <c r="L53" s="338" t="s">
        <v>1869</v>
      </c>
    </row>
    <row r="54" spans="1:12" ht="15" customHeight="1">
      <c r="A54" s="134" t="s">
        <v>5006</v>
      </c>
      <c r="B54" s="99" t="s">
        <v>1865</v>
      </c>
      <c r="C54" s="99" t="s">
        <v>51</v>
      </c>
      <c r="D54" s="133" t="s">
        <v>5019</v>
      </c>
      <c r="E54" s="130" t="s">
        <v>5020</v>
      </c>
      <c r="F54" s="133" t="s">
        <v>4963</v>
      </c>
      <c r="G54" s="133">
        <v>2</v>
      </c>
      <c r="H54" s="495">
        <v>2</v>
      </c>
      <c r="I54" s="789">
        <v>2</v>
      </c>
      <c r="J54" s="789">
        <v>20</v>
      </c>
      <c r="K54" s="789">
        <f t="shared" si="0"/>
        <v>10</v>
      </c>
      <c r="L54" s="338" t="s">
        <v>1869</v>
      </c>
    </row>
    <row r="55" spans="1:12" ht="15" customHeight="1">
      <c r="A55" s="134" t="s">
        <v>5006</v>
      </c>
      <c r="B55" s="99" t="s">
        <v>1865</v>
      </c>
      <c r="C55" s="99" t="s">
        <v>51</v>
      </c>
      <c r="D55" s="133" t="s">
        <v>5021</v>
      </c>
      <c r="E55" s="130" t="s">
        <v>5022</v>
      </c>
      <c r="F55" s="133" t="s">
        <v>4963</v>
      </c>
      <c r="G55" s="133">
        <v>2</v>
      </c>
      <c r="H55" s="495">
        <v>2</v>
      </c>
      <c r="I55" s="789">
        <v>2</v>
      </c>
      <c r="J55" s="789">
        <v>20</v>
      </c>
      <c r="K55" s="789">
        <f t="shared" si="0"/>
        <v>10</v>
      </c>
      <c r="L55" s="338" t="s">
        <v>1869</v>
      </c>
    </row>
    <row r="56" spans="1:12" ht="15" customHeight="1">
      <c r="A56" s="134" t="s">
        <v>5006</v>
      </c>
      <c r="B56" s="99" t="s">
        <v>1865</v>
      </c>
      <c r="C56" s="99" t="s">
        <v>51</v>
      </c>
      <c r="D56" s="133" t="s">
        <v>5023</v>
      </c>
      <c r="E56" s="130" t="s">
        <v>5024</v>
      </c>
      <c r="F56" s="133" t="s">
        <v>4963</v>
      </c>
      <c r="G56" s="133">
        <v>2</v>
      </c>
      <c r="H56" s="495">
        <v>2</v>
      </c>
      <c r="I56" s="789">
        <v>2</v>
      </c>
      <c r="J56" s="789">
        <v>20</v>
      </c>
      <c r="K56" s="789">
        <f t="shared" si="0"/>
        <v>10</v>
      </c>
      <c r="L56" s="338" t="s">
        <v>1869</v>
      </c>
    </row>
    <row r="57" spans="1:12" ht="15" customHeight="1">
      <c r="A57" s="134" t="s">
        <v>5006</v>
      </c>
      <c r="B57" s="99" t="s">
        <v>1865</v>
      </c>
      <c r="C57" s="99" t="s">
        <v>51</v>
      </c>
      <c r="D57" s="133" t="s">
        <v>5025</v>
      </c>
      <c r="E57" s="130" t="s">
        <v>5026</v>
      </c>
      <c r="F57" s="133" t="s">
        <v>4963</v>
      </c>
      <c r="G57" s="133">
        <v>2</v>
      </c>
      <c r="H57" s="495">
        <v>2</v>
      </c>
      <c r="I57" s="789">
        <v>2</v>
      </c>
      <c r="J57" s="789">
        <v>20</v>
      </c>
      <c r="K57" s="789">
        <f t="shared" si="0"/>
        <v>10</v>
      </c>
      <c r="L57" s="338" t="s">
        <v>1869</v>
      </c>
    </row>
    <row r="58" spans="1:12" ht="15" customHeight="1">
      <c r="A58" s="134" t="s">
        <v>5006</v>
      </c>
      <c r="B58" s="99" t="s">
        <v>1865</v>
      </c>
      <c r="C58" s="99" t="s">
        <v>51</v>
      </c>
      <c r="D58" s="133" t="s">
        <v>5027</v>
      </c>
      <c r="E58" s="130" t="s">
        <v>5028</v>
      </c>
      <c r="F58" s="133" t="s">
        <v>4963</v>
      </c>
      <c r="G58" s="133">
        <v>2</v>
      </c>
      <c r="H58" s="495">
        <v>2</v>
      </c>
      <c r="I58" s="789">
        <v>2</v>
      </c>
      <c r="J58" s="789">
        <v>20</v>
      </c>
      <c r="K58" s="789">
        <f t="shared" si="0"/>
        <v>10</v>
      </c>
      <c r="L58" s="338" t="s">
        <v>1869</v>
      </c>
    </row>
    <row r="59" spans="1:12" ht="15" customHeight="1">
      <c r="A59" s="134" t="s">
        <v>5006</v>
      </c>
      <c r="B59" s="99" t="s">
        <v>1865</v>
      </c>
      <c r="C59" s="99" t="s">
        <v>51</v>
      </c>
      <c r="D59" s="133" t="s">
        <v>5029</v>
      </c>
      <c r="E59" s="130" t="s">
        <v>5030</v>
      </c>
      <c r="F59" s="133" t="s">
        <v>4963</v>
      </c>
      <c r="G59" s="133">
        <v>2</v>
      </c>
      <c r="H59" s="495">
        <v>2</v>
      </c>
      <c r="I59" s="789">
        <v>2</v>
      </c>
      <c r="J59" s="789">
        <v>20</v>
      </c>
      <c r="K59" s="789">
        <f t="shared" si="0"/>
        <v>10</v>
      </c>
      <c r="L59" s="338" t="s">
        <v>1869</v>
      </c>
    </row>
    <row r="60" spans="1:12" ht="15" customHeight="1">
      <c r="A60" s="134" t="s">
        <v>5006</v>
      </c>
      <c r="B60" s="99" t="s">
        <v>1865</v>
      </c>
      <c r="C60" s="99" t="s">
        <v>51</v>
      </c>
      <c r="D60" s="133" t="s">
        <v>5031</v>
      </c>
      <c r="E60" s="130" t="s">
        <v>5032</v>
      </c>
      <c r="F60" s="133" t="s">
        <v>4963</v>
      </c>
      <c r="G60" s="133">
        <v>2</v>
      </c>
      <c r="H60" s="495">
        <v>2</v>
      </c>
      <c r="I60" s="789">
        <v>2</v>
      </c>
      <c r="J60" s="789">
        <v>20</v>
      </c>
      <c r="K60" s="789">
        <f t="shared" si="0"/>
        <v>10</v>
      </c>
      <c r="L60" s="338" t="s">
        <v>1869</v>
      </c>
    </row>
    <row r="61" spans="1:12" ht="15" customHeight="1">
      <c r="A61" s="134" t="s">
        <v>5006</v>
      </c>
      <c r="B61" s="99" t="s">
        <v>1865</v>
      </c>
      <c r="C61" s="99" t="s">
        <v>51</v>
      </c>
      <c r="D61" s="133" t="s">
        <v>5033</v>
      </c>
      <c r="E61" s="130" t="s">
        <v>5034</v>
      </c>
      <c r="F61" s="133" t="s">
        <v>4963</v>
      </c>
      <c r="G61" s="133">
        <v>2</v>
      </c>
      <c r="H61" s="495">
        <v>2</v>
      </c>
      <c r="I61" s="789">
        <v>2</v>
      </c>
      <c r="J61" s="789">
        <v>20</v>
      </c>
      <c r="K61" s="789">
        <f t="shared" si="0"/>
        <v>10</v>
      </c>
      <c r="L61" s="338" t="s">
        <v>1869</v>
      </c>
    </row>
    <row r="62" spans="1:12" ht="15" customHeight="1">
      <c r="A62" s="134" t="s">
        <v>5006</v>
      </c>
      <c r="B62" s="99" t="s">
        <v>1865</v>
      </c>
      <c r="C62" s="99" t="s">
        <v>51</v>
      </c>
      <c r="D62" s="133" t="s">
        <v>5035</v>
      </c>
      <c r="E62" s="130" t="s">
        <v>5036</v>
      </c>
      <c r="F62" s="133" t="s">
        <v>4963</v>
      </c>
      <c r="G62" s="133">
        <v>2</v>
      </c>
      <c r="H62" s="495">
        <v>2</v>
      </c>
      <c r="I62" s="789">
        <v>2</v>
      </c>
      <c r="J62" s="789">
        <v>20</v>
      </c>
      <c r="K62" s="789">
        <f t="shared" si="0"/>
        <v>10</v>
      </c>
      <c r="L62" s="338" t="s">
        <v>1869</v>
      </c>
    </row>
    <row r="63" spans="1:12" ht="15" customHeight="1">
      <c r="A63" s="134" t="s">
        <v>5006</v>
      </c>
      <c r="B63" s="99" t="s">
        <v>1865</v>
      </c>
      <c r="C63" s="99" t="s">
        <v>51</v>
      </c>
      <c r="D63" s="133" t="s">
        <v>5037</v>
      </c>
      <c r="E63" s="130" t="s">
        <v>5038</v>
      </c>
      <c r="F63" s="133" t="s">
        <v>4963</v>
      </c>
      <c r="G63" s="133">
        <v>2</v>
      </c>
      <c r="H63" s="495">
        <v>2</v>
      </c>
      <c r="I63" s="789">
        <v>2</v>
      </c>
      <c r="J63" s="789">
        <v>20</v>
      </c>
      <c r="K63" s="789">
        <f t="shared" si="0"/>
        <v>10</v>
      </c>
      <c r="L63" s="338" t="s">
        <v>1869</v>
      </c>
    </row>
    <row r="64" spans="1:12" ht="15" customHeight="1">
      <c r="A64" s="134" t="s">
        <v>5006</v>
      </c>
      <c r="B64" s="99" t="s">
        <v>1865</v>
      </c>
      <c r="C64" s="99" t="s">
        <v>51</v>
      </c>
      <c r="D64" s="133" t="s">
        <v>5039</v>
      </c>
      <c r="E64" s="130" t="s">
        <v>5040</v>
      </c>
      <c r="F64" s="133" t="s">
        <v>4963</v>
      </c>
      <c r="G64" s="133">
        <v>2</v>
      </c>
      <c r="H64" s="495">
        <v>2</v>
      </c>
      <c r="I64" s="789">
        <v>2</v>
      </c>
      <c r="J64" s="789">
        <v>20</v>
      </c>
      <c r="K64" s="789">
        <f t="shared" si="0"/>
        <v>10</v>
      </c>
      <c r="L64" s="338" t="s">
        <v>1869</v>
      </c>
    </row>
    <row r="65" spans="1:12" ht="15" customHeight="1">
      <c r="A65" s="134" t="s">
        <v>5006</v>
      </c>
      <c r="B65" s="99" t="s">
        <v>1865</v>
      </c>
      <c r="C65" s="99" t="s">
        <v>51</v>
      </c>
      <c r="D65" s="133" t="s">
        <v>5041</v>
      </c>
      <c r="E65" s="130" t="s">
        <v>5042</v>
      </c>
      <c r="F65" s="133" t="s">
        <v>4963</v>
      </c>
      <c r="G65" s="133">
        <v>2</v>
      </c>
      <c r="H65" s="495">
        <v>2</v>
      </c>
      <c r="I65" s="789">
        <v>2</v>
      </c>
      <c r="J65" s="789">
        <v>20</v>
      </c>
      <c r="K65" s="789">
        <f t="shared" si="0"/>
        <v>10</v>
      </c>
      <c r="L65" s="338" t="s">
        <v>1869</v>
      </c>
    </row>
    <row r="66" spans="1:12" ht="15" customHeight="1">
      <c r="A66" s="134" t="s">
        <v>5006</v>
      </c>
      <c r="B66" s="99" t="s">
        <v>1865</v>
      </c>
      <c r="C66" s="99" t="s">
        <v>51</v>
      </c>
      <c r="D66" s="133" t="s">
        <v>5043</v>
      </c>
      <c r="E66" s="130" t="s">
        <v>5044</v>
      </c>
      <c r="F66" s="133" t="s">
        <v>4963</v>
      </c>
      <c r="G66" s="133">
        <v>2</v>
      </c>
      <c r="H66" s="495">
        <v>2</v>
      </c>
      <c r="I66" s="789">
        <v>2</v>
      </c>
      <c r="J66" s="789">
        <v>20</v>
      </c>
      <c r="K66" s="789">
        <f t="shared" si="0"/>
        <v>10</v>
      </c>
      <c r="L66" s="338" t="s">
        <v>1869</v>
      </c>
    </row>
    <row r="67" spans="1:12" ht="15" customHeight="1">
      <c r="A67" s="134" t="s">
        <v>5045</v>
      </c>
      <c r="B67" s="99" t="s">
        <v>5046</v>
      </c>
      <c r="C67" s="99" t="s">
        <v>51</v>
      </c>
      <c r="D67" s="133" t="s">
        <v>5047</v>
      </c>
      <c r="E67" s="130" t="s">
        <v>2243</v>
      </c>
      <c r="F67" s="133" t="s">
        <v>4963</v>
      </c>
      <c r="G67" s="133">
        <v>2</v>
      </c>
      <c r="H67" s="495">
        <v>2</v>
      </c>
      <c r="I67" s="789">
        <v>3</v>
      </c>
      <c r="J67" s="789">
        <v>20</v>
      </c>
      <c r="K67" s="789">
        <f t="shared" si="0"/>
        <v>10</v>
      </c>
      <c r="L67" s="338" t="s">
        <v>1869</v>
      </c>
    </row>
    <row r="68" spans="1:12" ht="15" customHeight="1">
      <c r="A68" s="134" t="s">
        <v>5045</v>
      </c>
      <c r="B68" s="99" t="s">
        <v>5046</v>
      </c>
      <c r="C68" s="99" t="s">
        <v>51</v>
      </c>
      <c r="D68" s="133" t="s">
        <v>5048</v>
      </c>
      <c r="E68" s="130" t="s">
        <v>5049</v>
      </c>
      <c r="F68" s="133" t="s">
        <v>4963</v>
      </c>
      <c r="G68" s="133">
        <v>2</v>
      </c>
      <c r="H68" s="495">
        <v>2</v>
      </c>
      <c r="I68" s="789">
        <v>3</v>
      </c>
      <c r="J68" s="789">
        <v>20</v>
      </c>
      <c r="K68" s="789">
        <f t="shared" si="0"/>
        <v>10</v>
      </c>
      <c r="L68" s="338" t="s">
        <v>1869</v>
      </c>
    </row>
    <row r="69" spans="1:12" ht="15" customHeight="1">
      <c r="A69" s="134" t="s">
        <v>5050</v>
      </c>
      <c r="B69" s="99" t="s">
        <v>5051</v>
      </c>
      <c r="C69" s="99" t="s">
        <v>51</v>
      </c>
      <c r="D69" s="133" t="s">
        <v>5052</v>
      </c>
      <c r="E69" s="130" t="s">
        <v>5053</v>
      </c>
      <c r="F69" s="133" t="s">
        <v>4963</v>
      </c>
      <c r="G69" s="133">
        <v>2</v>
      </c>
      <c r="H69" s="495">
        <v>2</v>
      </c>
      <c r="I69" s="789">
        <v>2</v>
      </c>
      <c r="J69" s="789">
        <v>20</v>
      </c>
      <c r="K69" s="789">
        <f t="shared" si="0"/>
        <v>10</v>
      </c>
      <c r="L69" s="338" t="s">
        <v>1869</v>
      </c>
    </row>
    <row r="70" spans="1:12" ht="15" customHeight="1">
      <c r="A70" s="134" t="s">
        <v>5050</v>
      </c>
      <c r="B70" s="99" t="s">
        <v>5054</v>
      </c>
      <c r="C70" s="99" t="s">
        <v>51</v>
      </c>
      <c r="D70" s="133" t="s">
        <v>5055</v>
      </c>
      <c r="E70" s="130" t="s">
        <v>5056</v>
      </c>
      <c r="F70" s="133" t="s">
        <v>4963</v>
      </c>
      <c r="G70" s="133">
        <v>2</v>
      </c>
      <c r="H70" s="495">
        <v>2</v>
      </c>
      <c r="I70" s="789">
        <v>2</v>
      </c>
      <c r="J70" s="789">
        <v>20</v>
      </c>
      <c r="K70" s="789">
        <f t="shared" si="0"/>
        <v>10</v>
      </c>
      <c r="L70" s="338" t="s">
        <v>1869</v>
      </c>
    </row>
    <row r="71" spans="1:12" ht="15" customHeight="1">
      <c r="A71" s="134" t="s">
        <v>5057</v>
      </c>
      <c r="B71" s="99" t="s">
        <v>5058</v>
      </c>
      <c r="C71" s="99" t="s">
        <v>51</v>
      </c>
      <c r="D71" s="133" t="s">
        <v>5059</v>
      </c>
      <c r="E71" s="130" t="s">
        <v>5060</v>
      </c>
      <c r="F71" s="133" t="s">
        <v>4963</v>
      </c>
      <c r="G71" s="133">
        <v>1</v>
      </c>
      <c r="H71" s="495">
        <v>1</v>
      </c>
      <c r="I71" s="789">
        <v>1</v>
      </c>
      <c r="J71" s="789">
        <v>20</v>
      </c>
      <c r="K71" s="789">
        <v>20</v>
      </c>
      <c r="L71" s="338" t="s">
        <v>1869</v>
      </c>
    </row>
    <row r="72" spans="1:12" ht="15" customHeight="1">
      <c r="A72" s="134" t="s">
        <v>5057</v>
      </c>
      <c r="B72" s="99" t="s">
        <v>5061</v>
      </c>
      <c r="C72" s="99" t="s">
        <v>51</v>
      </c>
      <c r="D72" s="133" t="s">
        <v>5059</v>
      </c>
      <c r="E72" s="130" t="s">
        <v>5060</v>
      </c>
      <c r="F72" s="133" t="s">
        <v>4963</v>
      </c>
      <c r="G72" s="133">
        <v>1</v>
      </c>
      <c r="H72" s="495">
        <v>1</v>
      </c>
      <c r="I72" s="789">
        <v>1</v>
      </c>
      <c r="J72" s="789">
        <v>20</v>
      </c>
      <c r="K72" s="789">
        <v>20</v>
      </c>
      <c r="L72" s="338" t="s">
        <v>1869</v>
      </c>
    </row>
    <row r="73" spans="1:12" ht="15" customHeight="1">
      <c r="A73" s="406" t="s">
        <v>5062</v>
      </c>
      <c r="B73" s="406" t="s">
        <v>5063</v>
      </c>
      <c r="C73" s="99" t="s">
        <v>401</v>
      </c>
      <c r="D73" s="406" t="s">
        <v>5064</v>
      </c>
      <c r="E73" s="407" t="s">
        <v>5065</v>
      </c>
      <c r="F73" s="406" t="s">
        <v>5066</v>
      </c>
      <c r="G73" s="406">
        <v>1</v>
      </c>
      <c r="H73" s="406">
        <v>1</v>
      </c>
      <c r="I73" s="406">
        <v>1</v>
      </c>
      <c r="J73" s="406">
        <v>10</v>
      </c>
      <c r="K73" s="406">
        <v>10</v>
      </c>
      <c r="L73" s="338" t="s">
        <v>409</v>
      </c>
    </row>
    <row r="74" spans="1:12" ht="15" customHeight="1">
      <c r="A74" s="406" t="s">
        <v>5067</v>
      </c>
      <c r="B74" s="406" t="s">
        <v>5068</v>
      </c>
      <c r="C74" s="99" t="s">
        <v>401</v>
      </c>
      <c r="D74" s="406" t="s">
        <v>5069</v>
      </c>
      <c r="E74" s="407" t="s">
        <v>5070</v>
      </c>
      <c r="F74" s="406" t="s">
        <v>5071</v>
      </c>
      <c r="G74" s="406">
        <v>3</v>
      </c>
      <c r="H74" s="406">
        <v>3</v>
      </c>
      <c r="I74" s="406">
        <v>3</v>
      </c>
      <c r="J74" s="406">
        <v>20</v>
      </c>
      <c r="K74" s="402">
        <v>6.66</v>
      </c>
      <c r="L74" s="338" t="s">
        <v>409</v>
      </c>
    </row>
    <row r="75" spans="1:12" ht="15" customHeight="1">
      <c r="A75" s="406" t="s">
        <v>5072</v>
      </c>
      <c r="B75" s="406" t="s">
        <v>5073</v>
      </c>
      <c r="C75" s="406" t="s">
        <v>401</v>
      </c>
      <c r="D75" s="406" t="s">
        <v>5074</v>
      </c>
      <c r="E75" s="407" t="s">
        <v>5075</v>
      </c>
      <c r="F75" s="406" t="s">
        <v>5076</v>
      </c>
      <c r="G75" s="406">
        <v>2</v>
      </c>
      <c r="H75" s="406">
        <v>1</v>
      </c>
      <c r="I75" s="406">
        <v>2</v>
      </c>
      <c r="J75" s="406">
        <v>20</v>
      </c>
      <c r="K75" s="402">
        <v>10</v>
      </c>
      <c r="L75" s="338" t="s">
        <v>409</v>
      </c>
    </row>
    <row r="76" spans="1:12" ht="15" customHeight="1">
      <c r="A76" s="406" t="s">
        <v>1917</v>
      </c>
      <c r="B76" s="406" t="s">
        <v>5077</v>
      </c>
      <c r="C76" s="406" t="s">
        <v>401</v>
      </c>
      <c r="D76" s="406" t="s">
        <v>5074</v>
      </c>
      <c r="E76" s="407" t="s">
        <v>5075</v>
      </c>
      <c r="F76" s="406" t="s">
        <v>5076</v>
      </c>
      <c r="G76" s="406">
        <v>5</v>
      </c>
      <c r="H76" s="406">
        <v>1</v>
      </c>
      <c r="I76" s="406">
        <v>5</v>
      </c>
      <c r="J76" s="406">
        <v>20</v>
      </c>
      <c r="K76" s="402">
        <v>4</v>
      </c>
      <c r="L76" s="338" t="s">
        <v>409</v>
      </c>
    </row>
    <row r="77" spans="1:12" ht="15" customHeight="1">
      <c r="A77" s="406" t="s">
        <v>5078</v>
      </c>
      <c r="B77" s="406" t="s">
        <v>5079</v>
      </c>
      <c r="C77" s="406" t="s">
        <v>401</v>
      </c>
      <c r="D77" s="406" t="s">
        <v>5074</v>
      </c>
      <c r="E77" s="407" t="s">
        <v>5075</v>
      </c>
      <c r="F77" s="406" t="s">
        <v>5076</v>
      </c>
      <c r="G77" s="406">
        <v>6</v>
      </c>
      <c r="H77" s="406">
        <v>1</v>
      </c>
      <c r="I77" s="406">
        <v>6</v>
      </c>
      <c r="J77" s="406">
        <v>20</v>
      </c>
      <c r="K77" s="402">
        <v>3.33</v>
      </c>
      <c r="L77" s="338" t="s">
        <v>409</v>
      </c>
    </row>
    <row r="78" spans="1:12" ht="15" customHeight="1">
      <c r="A78" s="401" t="s">
        <v>5080</v>
      </c>
      <c r="B78" s="406" t="s">
        <v>5081</v>
      </c>
      <c r="C78" s="406" t="s">
        <v>401</v>
      </c>
      <c r="D78" s="402" t="s">
        <v>5082</v>
      </c>
      <c r="E78" s="382" t="s">
        <v>5083</v>
      </c>
      <c r="F78" s="406" t="s">
        <v>5066</v>
      </c>
      <c r="G78" s="406">
        <v>5</v>
      </c>
      <c r="H78" s="406">
        <v>3</v>
      </c>
      <c r="I78" s="406">
        <v>5</v>
      </c>
      <c r="J78" s="406">
        <v>10</v>
      </c>
      <c r="K78" s="402">
        <v>2</v>
      </c>
      <c r="L78" s="338" t="s">
        <v>409</v>
      </c>
    </row>
    <row r="79" spans="1:12" ht="15" customHeight="1">
      <c r="A79" s="401" t="s">
        <v>5084</v>
      </c>
      <c r="B79" s="406" t="s">
        <v>1880</v>
      </c>
      <c r="C79" s="406" t="s">
        <v>401</v>
      </c>
      <c r="D79" s="402" t="s">
        <v>5085</v>
      </c>
      <c r="E79" s="382" t="s">
        <v>5086</v>
      </c>
      <c r="F79" s="406" t="s">
        <v>5066</v>
      </c>
      <c r="G79" s="406">
        <v>3</v>
      </c>
      <c r="H79" s="406">
        <v>1</v>
      </c>
      <c r="I79" s="406">
        <v>3</v>
      </c>
      <c r="J79" s="406">
        <v>10</v>
      </c>
      <c r="K79" s="402">
        <v>6.66</v>
      </c>
      <c r="L79" s="338" t="s">
        <v>409</v>
      </c>
    </row>
    <row r="80" spans="1:12" ht="15" customHeight="1">
      <c r="A80" s="406" t="s">
        <v>1955</v>
      </c>
      <c r="B80" s="406" t="s">
        <v>5087</v>
      </c>
      <c r="C80" s="406" t="s">
        <v>401</v>
      </c>
      <c r="D80" s="402" t="s">
        <v>5088</v>
      </c>
      <c r="E80" s="382" t="s">
        <v>5089</v>
      </c>
      <c r="F80" s="406" t="s">
        <v>5090</v>
      </c>
      <c r="G80" s="406">
        <v>9</v>
      </c>
      <c r="H80" s="406">
        <v>1</v>
      </c>
      <c r="I80" s="406">
        <v>9</v>
      </c>
      <c r="J80" s="406">
        <v>20</v>
      </c>
      <c r="K80" s="402">
        <v>2.2000000000000002</v>
      </c>
      <c r="L80" s="338" t="s">
        <v>409</v>
      </c>
    </row>
    <row r="81" spans="1:12" ht="15" customHeight="1">
      <c r="A81" s="401" t="s">
        <v>5091</v>
      </c>
      <c r="B81" s="402" t="s">
        <v>1875</v>
      </c>
      <c r="C81" s="406" t="s">
        <v>401</v>
      </c>
      <c r="D81" s="402" t="s">
        <v>5092</v>
      </c>
      <c r="E81" s="382" t="s">
        <v>5093</v>
      </c>
      <c r="F81" s="406" t="s">
        <v>5066</v>
      </c>
      <c r="G81" s="406">
        <v>2</v>
      </c>
      <c r="H81" s="406">
        <v>1</v>
      </c>
      <c r="I81" s="406">
        <v>2</v>
      </c>
      <c r="J81" s="406">
        <v>10</v>
      </c>
      <c r="K81" s="402">
        <v>5</v>
      </c>
      <c r="L81" s="338" t="s">
        <v>409</v>
      </c>
    </row>
    <row r="82" spans="1:12" ht="15" customHeight="1">
      <c r="A82" s="401" t="s">
        <v>5094</v>
      </c>
      <c r="B82" s="402" t="s">
        <v>5095</v>
      </c>
      <c r="C82" s="99" t="s">
        <v>401</v>
      </c>
      <c r="D82" s="402" t="s">
        <v>5096</v>
      </c>
      <c r="E82" s="382" t="s">
        <v>5097</v>
      </c>
      <c r="F82" s="406" t="s">
        <v>5098</v>
      </c>
      <c r="G82" s="99">
        <v>3</v>
      </c>
      <c r="H82" s="99">
        <v>1</v>
      </c>
      <c r="I82" s="99">
        <v>3</v>
      </c>
      <c r="J82" s="99">
        <v>20</v>
      </c>
      <c r="K82" s="99">
        <v>10</v>
      </c>
      <c r="L82" s="338" t="s">
        <v>409</v>
      </c>
    </row>
    <row r="83" spans="1:12" ht="15" customHeight="1">
      <c r="A83" s="401" t="s">
        <v>5099</v>
      </c>
      <c r="B83" s="402" t="s">
        <v>5100</v>
      </c>
      <c r="C83" s="99" t="s">
        <v>401</v>
      </c>
      <c r="D83" s="402" t="s">
        <v>5101</v>
      </c>
      <c r="E83" s="382" t="s">
        <v>5102</v>
      </c>
      <c r="F83" s="402" t="s">
        <v>5103</v>
      </c>
      <c r="G83" s="99">
        <v>4</v>
      </c>
      <c r="H83" s="99">
        <v>4</v>
      </c>
      <c r="I83" s="99">
        <v>4</v>
      </c>
      <c r="J83" s="99">
        <v>20</v>
      </c>
      <c r="K83" s="99">
        <v>5</v>
      </c>
      <c r="L83" s="338" t="s">
        <v>409</v>
      </c>
    </row>
    <row r="84" spans="1:12" ht="15" customHeight="1">
      <c r="A84" s="401" t="s">
        <v>5104</v>
      </c>
      <c r="B84" s="402" t="s">
        <v>5105</v>
      </c>
      <c r="C84" s="99" t="s">
        <v>401</v>
      </c>
      <c r="D84" s="402" t="s">
        <v>5101</v>
      </c>
      <c r="E84" s="382" t="s">
        <v>5102</v>
      </c>
      <c r="F84" s="402" t="s">
        <v>5103</v>
      </c>
      <c r="G84" s="99">
        <v>6</v>
      </c>
      <c r="H84" s="99">
        <v>6</v>
      </c>
      <c r="I84" s="99">
        <v>6</v>
      </c>
      <c r="J84" s="99">
        <v>20</v>
      </c>
      <c r="K84" s="99">
        <v>3.33</v>
      </c>
      <c r="L84" s="338" t="s">
        <v>409</v>
      </c>
    </row>
    <row r="85" spans="1:12" ht="15" customHeight="1">
      <c r="A85" s="402" t="s">
        <v>5106</v>
      </c>
      <c r="B85" s="402" t="s">
        <v>5107</v>
      </c>
      <c r="C85" s="99" t="s">
        <v>401</v>
      </c>
      <c r="D85" s="402" t="s">
        <v>5101</v>
      </c>
      <c r="E85" s="382" t="s">
        <v>5108</v>
      </c>
      <c r="F85" s="402" t="s">
        <v>5103</v>
      </c>
      <c r="G85" s="99">
        <v>1</v>
      </c>
      <c r="H85" s="99">
        <v>1</v>
      </c>
      <c r="I85" s="99">
        <v>1</v>
      </c>
      <c r="J85" s="99">
        <v>20</v>
      </c>
      <c r="K85" s="99">
        <v>20</v>
      </c>
      <c r="L85" s="338" t="s">
        <v>409</v>
      </c>
    </row>
    <row r="86" spans="1:12" ht="15" customHeight="1">
      <c r="A86" s="406" t="s">
        <v>1963</v>
      </c>
      <c r="B86" s="402" t="s">
        <v>1964</v>
      </c>
      <c r="C86" s="99" t="s">
        <v>401</v>
      </c>
      <c r="D86" s="402" t="s">
        <v>5109</v>
      </c>
      <c r="E86" s="382" t="s">
        <v>5110</v>
      </c>
      <c r="F86" s="406" t="s">
        <v>5111</v>
      </c>
      <c r="G86" s="99">
        <v>5</v>
      </c>
      <c r="H86" s="99">
        <v>3</v>
      </c>
      <c r="I86" s="99">
        <v>5</v>
      </c>
      <c r="J86" s="99">
        <v>20</v>
      </c>
      <c r="K86" s="99">
        <v>4</v>
      </c>
      <c r="L86" s="338" t="s">
        <v>409</v>
      </c>
    </row>
    <row r="87" spans="1:12" ht="15" customHeight="1">
      <c r="A87" s="401" t="s">
        <v>5094</v>
      </c>
      <c r="B87" s="402" t="s">
        <v>5095</v>
      </c>
      <c r="C87" s="99" t="s">
        <v>401</v>
      </c>
      <c r="D87" s="402" t="s">
        <v>5112</v>
      </c>
      <c r="E87" s="382" t="s">
        <v>5113</v>
      </c>
      <c r="F87" s="406" t="s">
        <v>5066</v>
      </c>
      <c r="G87" s="99">
        <v>3</v>
      </c>
      <c r="H87" s="99">
        <v>1</v>
      </c>
      <c r="I87" s="99">
        <v>3</v>
      </c>
      <c r="J87" s="99">
        <v>10</v>
      </c>
      <c r="K87" s="99">
        <v>5</v>
      </c>
      <c r="L87" s="338" t="s">
        <v>409</v>
      </c>
    </row>
    <row r="88" spans="1:12" ht="15" customHeight="1">
      <c r="A88" s="401" t="s">
        <v>5114</v>
      </c>
      <c r="B88" s="401" t="s">
        <v>5115</v>
      </c>
      <c r="C88" s="99" t="s">
        <v>401</v>
      </c>
      <c r="D88" s="402" t="s">
        <v>5116</v>
      </c>
      <c r="E88" s="382" t="s">
        <v>5117</v>
      </c>
      <c r="F88" s="402" t="s">
        <v>5118</v>
      </c>
      <c r="G88" s="99">
        <v>9</v>
      </c>
      <c r="H88" s="99">
        <v>1</v>
      </c>
      <c r="I88" s="99">
        <v>9</v>
      </c>
      <c r="J88" s="99">
        <v>20</v>
      </c>
      <c r="K88" s="99">
        <v>2.2200000000000002</v>
      </c>
      <c r="L88" s="338" t="s">
        <v>409</v>
      </c>
    </row>
    <row r="89" spans="1:12" ht="15" customHeight="1">
      <c r="A89" s="131" t="s">
        <v>5119</v>
      </c>
      <c r="B89" s="133" t="s">
        <v>5120</v>
      </c>
      <c r="C89" s="790" t="s">
        <v>51</v>
      </c>
      <c r="D89" s="791" t="s">
        <v>5121</v>
      </c>
      <c r="E89" s="130" t="s">
        <v>5122</v>
      </c>
      <c r="F89" s="99"/>
      <c r="G89" s="398">
        <v>2</v>
      </c>
      <c r="H89" s="495">
        <v>2</v>
      </c>
      <c r="I89" s="792">
        <v>2</v>
      </c>
      <c r="J89" s="792">
        <v>10</v>
      </c>
      <c r="K89" s="792">
        <v>5</v>
      </c>
      <c r="L89" s="338" t="s">
        <v>2115</v>
      </c>
    </row>
    <row r="90" spans="1:12" ht="15" customHeight="1">
      <c r="A90" s="793" t="s">
        <v>2139</v>
      </c>
      <c r="B90" s="133" t="s">
        <v>2140</v>
      </c>
      <c r="C90" s="419" t="s">
        <v>401</v>
      </c>
      <c r="D90" s="131" t="s">
        <v>5123</v>
      </c>
      <c r="E90" s="142" t="s">
        <v>5124</v>
      </c>
      <c r="F90" s="131"/>
      <c r="G90" s="398">
        <v>3</v>
      </c>
      <c r="H90" s="495">
        <v>3</v>
      </c>
      <c r="I90" s="792">
        <v>3</v>
      </c>
      <c r="J90" s="792">
        <v>20</v>
      </c>
      <c r="K90" s="792">
        <v>6.67</v>
      </c>
      <c r="L90" s="338" t="s">
        <v>2115</v>
      </c>
    </row>
    <row r="91" spans="1:12" ht="15" customHeight="1">
      <c r="A91" s="91" t="s">
        <v>2111</v>
      </c>
      <c r="B91" s="133" t="s">
        <v>2112</v>
      </c>
      <c r="C91" s="419" t="s">
        <v>401</v>
      </c>
      <c r="D91" s="794" t="s">
        <v>5125</v>
      </c>
      <c r="E91" s="133" t="s">
        <v>5126</v>
      </c>
      <c r="F91" s="133"/>
      <c r="G91" s="775">
        <v>2</v>
      </c>
      <c r="H91" s="776">
        <v>2</v>
      </c>
      <c r="I91" s="795">
        <v>2</v>
      </c>
      <c r="J91" s="795">
        <v>10</v>
      </c>
      <c r="K91" s="795">
        <v>5</v>
      </c>
      <c r="L91" s="338" t="s">
        <v>2115</v>
      </c>
    </row>
    <row r="92" spans="1:12" ht="15" customHeight="1">
      <c r="A92" s="134" t="s">
        <v>2153</v>
      </c>
      <c r="B92" s="99" t="s">
        <v>2154</v>
      </c>
      <c r="C92" s="99" t="s">
        <v>401</v>
      </c>
      <c r="D92" s="133" t="s">
        <v>2157</v>
      </c>
      <c r="E92" s="133" t="s">
        <v>2158</v>
      </c>
      <c r="F92" s="99" t="s">
        <v>4585</v>
      </c>
      <c r="G92" s="99">
        <v>2</v>
      </c>
      <c r="H92" s="500">
        <v>2</v>
      </c>
      <c r="I92" s="521">
        <v>2</v>
      </c>
      <c r="J92" s="521">
        <v>20</v>
      </c>
      <c r="K92" s="521">
        <v>10</v>
      </c>
      <c r="L92" s="338" t="s">
        <v>466</v>
      </c>
    </row>
    <row r="93" spans="1:12" ht="15" customHeight="1">
      <c r="A93" s="438" t="s">
        <v>2165</v>
      </c>
      <c r="B93" s="228" t="s">
        <v>2166</v>
      </c>
      <c r="C93" s="228" t="s">
        <v>401</v>
      </c>
      <c r="D93" s="131" t="s">
        <v>5127</v>
      </c>
      <c r="E93" s="131" t="s">
        <v>2164</v>
      </c>
      <c r="F93" s="92" t="s">
        <v>4585</v>
      </c>
      <c r="G93" s="796">
        <v>3</v>
      </c>
      <c r="H93" s="797">
        <v>1</v>
      </c>
      <c r="I93" s="798">
        <v>3</v>
      </c>
      <c r="J93" s="798">
        <v>20</v>
      </c>
      <c r="K93" s="798">
        <v>6.67</v>
      </c>
      <c r="L93" s="338" t="s">
        <v>466</v>
      </c>
    </row>
    <row r="94" spans="1:12" ht="15" customHeight="1">
      <c r="A94" s="438" t="s">
        <v>5128</v>
      </c>
      <c r="B94" s="228" t="s">
        <v>1964</v>
      </c>
      <c r="C94" s="228" t="s">
        <v>401</v>
      </c>
      <c r="D94" s="133" t="s">
        <v>5129</v>
      </c>
      <c r="E94" s="130" t="s">
        <v>5130</v>
      </c>
      <c r="F94" s="99" t="s">
        <v>4585</v>
      </c>
      <c r="G94" s="100">
        <v>5</v>
      </c>
      <c r="H94" s="761">
        <v>2</v>
      </c>
      <c r="I94" s="798">
        <v>5</v>
      </c>
      <c r="J94" s="798">
        <v>20</v>
      </c>
      <c r="K94" s="798">
        <v>4</v>
      </c>
      <c r="L94" s="338" t="s">
        <v>466</v>
      </c>
    </row>
    <row r="95" spans="1:12" ht="15" customHeight="1">
      <c r="A95" s="438" t="s">
        <v>2169</v>
      </c>
      <c r="B95" s="228" t="s">
        <v>1964</v>
      </c>
      <c r="C95" s="479" t="s">
        <v>401</v>
      </c>
      <c r="D95" s="133" t="s">
        <v>5131</v>
      </c>
      <c r="E95" s="130" t="s">
        <v>5132</v>
      </c>
      <c r="F95" s="99" t="s">
        <v>4585</v>
      </c>
      <c r="G95" s="100">
        <v>5</v>
      </c>
      <c r="H95" s="761">
        <v>2</v>
      </c>
      <c r="I95" s="798">
        <v>5</v>
      </c>
      <c r="J95" s="798">
        <v>20</v>
      </c>
      <c r="K95" s="798">
        <v>4</v>
      </c>
      <c r="L95" s="338" t="s">
        <v>466</v>
      </c>
    </row>
    <row r="96" spans="1:12" ht="15" customHeight="1">
      <c r="A96" s="438" t="s">
        <v>5080</v>
      </c>
      <c r="B96" s="228" t="s">
        <v>5081</v>
      </c>
      <c r="C96" s="228" t="s">
        <v>401</v>
      </c>
      <c r="D96" s="138" t="s">
        <v>5082</v>
      </c>
      <c r="E96" s="138" t="s">
        <v>5083</v>
      </c>
      <c r="F96" s="138" t="s">
        <v>5066</v>
      </c>
      <c r="G96" s="229">
        <v>5</v>
      </c>
      <c r="H96" s="799">
        <v>3</v>
      </c>
      <c r="I96" s="798">
        <v>5</v>
      </c>
      <c r="J96" s="798">
        <v>10</v>
      </c>
      <c r="K96" s="798">
        <v>2</v>
      </c>
      <c r="L96" s="338" t="s">
        <v>466</v>
      </c>
    </row>
    <row r="97" spans="1:12" ht="15" customHeight="1">
      <c r="A97" s="107" t="s">
        <v>1963</v>
      </c>
      <c r="B97" s="110" t="s">
        <v>1964</v>
      </c>
      <c r="C97" s="110" t="s">
        <v>401</v>
      </c>
      <c r="D97" s="659" t="s">
        <v>5109</v>
      </c>
      <c r="E97" s="659" t="s">
        <v>5110</v>
      </c>
      <c r="F97" s="659" t="s">
        <v>5111</v>
      </c>
      <c r="G97" s="800">
        <v>5</v>
      </c>
      <c r="H97" s="801">
        <v>3</v>
      </c>
      <c r="I97" s="802">
        <v>5</v>
      </c>
      <c r="J97" s="802">
        <v>20</v>
      </c>
      <c r="K97" s="802">
        <v>4</v>
      </c>
      <c r="L97" s="338" t="s">
        <v>466</v>
      </c>
    </row>
    <row r="98" spans="1:12" ht="15" customHeight="1">
      <c r="A98" s="438" t="s">
        <v>2139</v>
      </c>
      <c r="B98" s="228" t="s">
        <v>2140</v>
      </c>
      <c r="C98" s="228" t="s">
        <v>401</v>
      </c>
      <c r="D98" s="138" t="s">
        <v>5123</v>
      </c>
      <c r="E98" s="138" t="s">
        <v>5124</v>
      </c>
      <c r="F98" s="138"/>
      <c r="G98" s="229">
        <v>3</v>
      </c>
      <c r="H98" s="241">
        <v>3</v>
      </c>
      <c r="I98" s="803">
        <v>3</v>
      </c>
      <c r="J98" s="803">
        <v>20</v>
      </c>
      <c r="K98" s="803">
        <v>6.67</v>
      </c>
      <c r="L98" s="338" t="s">
        <v>466</v>
      </c>
    </row>
    <row r="99" spans="1:12" ht="15" customHeight="1">
      <c r="A99" s="438" t="s">
        <v>2111</v>
      </c>
      <c r="B99" s="228" t="s">
        <v>2112</v>
      </c>
      <c r="C99" s="228" t="s">
        <v>401</v>
      </c>
      <c r="D99" s="138" t="s">
        <v>5125</v>
      </c>
      <c r="E99" s="138" t="s">
        <v>5126</v>
      </c>
      <c r="F99" s="138"/>
      <c r="G99" s="229">
        <v>2</v>
      </c>
      <c r="H99" s="241">
        <v>2</v>
      </c>
      <c r="I99" s="803">
        <v>2</v>
      </c>
      <c r="J99" s="803">
        <v>10</v>
      </c>
      <c r="K99" s="803">
        <v>5</v>
      </c>
      <c r="L99" s="338" t="s">
        <v>466</v>
      </c>
    </row>
    <row r="100" spans="1:12" ht="15" customHeight="1">
      <c r="A100" s="134" t="s">
        <v>2179</v>
      </c>
      <c r="B100" s="134" t="s">
        <v>2180</v>
      </c>
      <c r="C100" s="99" t="s">
        <v>401</v>
      </c>
      <c r="D100" s="134" t="s">
        <v>5133</v>
      </c>
      <c r="E100" s="99" t="s">
        <v>5134</v>
      </c>
      <c r="F100" s="238" t="s">
        <v>4585</v>
      </c>
      <c r="G100" s="99">
        <v>3</v>
      </c>
      <c r="H100" s="99">
        <v>3</v>
      </c>
      <c r="I100" s="99">
        <v>3</v>
      </c>
      <c r="J100" s="125">
        <v>20</v>
      </c>
      <c r="K100" s="114">
        <v>6.66</v>
      </c>
      <c r="L100" s="338" t="s">
        <v>466</v>
      </c>
    </row>
    <row r="101" spans="1:12" ht="15" customHeight="1">
      <c r="A101" s="134" t="s">
        <v>2179</v>
      </c>
      <c r="B101" s="134" t="s">
        <v>2180</v>
      </c>
      <c r="C101" s="99" t="s">
        <v>401</v>
      </c>
      <c r="D101" s="134" t="s">
        <v>5135</v>
      </c>
      <c r="E101" s="382" t="s">
        <v>5136</v>
      </c>
      <c r="F101" s="238" t="s">
        <v>4585</v>
      </c>
      <c r="G101" s="99">
        <v>3</v>
      </c>
      <c r="H101" s="99">
        <v>3</v>
      </c>
      <c r="I101" s="99">
        <v>3</v>
      </c>
      <c r="J101" s="125">
        <v>20</v>
      </c>
      <c r="K101" s="114">
        <v>6.66</v>
      </c>
      <c r="L101" s="338" t="s">
        <v>466</v>
      </c>
    </row>
    <row r="102" spans="1:12" ht="15" customHeight="1">
      <c r="A102" s="134" t="s">
        <v>2179</v>
      </c>
      <c r="B102" s="134" t="s">
        <v>2180</v>
      </c>
      <c r="C102" s="99" t="s">
        <v>401</v>
      </c>
      <c r="D102" s="134" t="s">
        <v>5137</v>
      </c>
      <c r="E102" s="382" t="s">
        <v>5138</v>
      </c>
      <c r="F102" s="238"/>
      <c r="G102" s="99">
        <v>3</v>
      </c>
      <c r="H102" s="99">
        <v>3</v>
      </c>
      <c r="I102" s="99">
        <v>3</v>
      </c>
      <c r="J102" s="125">
        <v>20</v>
      </c>
      <c r="K102" s="114">
        <v>6.66</v>
      </c>
      <c r="L102" s="338" t="s">
        <v>466</v>
      </c>
    </row>
    <row r="103" spans="1:12" ht="15" customHeight="1">
      <c r="A103" s="134" t="s">
        <v>2179</v>
      </c>
      <c r="B103" s="134" t="str">
        <f>$B$25</f>
        <v>Is organizational skill a will or a way to a successful lifestyle and workstyle?</v>
      </c>
      <c r="C103" s="99" t="s">
        <v>401</v>
      </c>
      <c r="D103" s="134" t="s">
        <v>5139</v>
      </c>
      <c r="E103" s="382" t="s">
        <v>2190</v>
      </c>
      <c r="F103" s="238"/>
      <c r="G103" s="99">
        <v>3</v>
      </c>
      <c r="H103" s="99">
        <v>3</v>
      </c>
      <c r="I103" s="99">
        <v>3</v>
      </c>
      <c r="J103" s="125">
        <v>50</v>
      </c>
      <c r="K103" s="114">
        <v>16.66</v>
      </c>
      <c r="L103" s="338" t="s">
        <v>466</v>
      </c>
    </row>
    <row r="104" spans="1:12" ht="15" customHeight="1">
      <c r="A104" s="134" t="s">
        <v>2179</v>
      </c>
      <c r="B104" s="134" t="s">
        <v>2180</v>
      </c>
      <c r="C104" s="99" t="s">
        <v>401</v>
      </c>
      <c r="D104" s="134" t="s">
        <v>5140</v>
      </c>
      <c r="E104" s="382" t="s">
        <v>2186</v>
      </c>
      <c r="F104" s="238" t="s">
        <v>2133</v>
      </c>
      <c r="G104" s="99">
        <v>3</v>
      </c>
      <c r="H104" s="99">
        <v>3</v>
      </c>
      <c r="I104" s="99">
        <v>3</v>
      </c>
      <c r="J104" s="125">
        <v>50</v>
      </c>
      <c r="K104" s="114">
        <v>16.66</v>
      </c>
      <c r="L104" s="338" t="s">
        <v>466</v>
      </c>
    </row>
    <row r="105" spans="1:12" ht="15" customHeight="1">
      <c r="A105" s="133" t="s">
        <v>2203</v>
      </c>
      <c r="B105" s="133" t="s">
        <v>5141</v>
      </c>
      <c r="C105" s="133" t="s">
        <v>51</v>
      </c>
      <c r="D105" s="133" t="s">
        <v>5142</v>
      </c>
      <c r="E105" s="130" t="s">
        <v>5143</v>
      </c>
      <c r="F105" s="133" t="s">
        <v>5144</v>
      </c>
      <c r="G105" s="133">
        <v>1</v>
      </c>
      <c r="H105" s="804">
        <v>1</v>
      </c>
      <c r="I105" s="804">
        <v>1</v>
      </c>
      <c r="J105" s="804">
        <v>20</v>
      </c>
      <c r="K105" s="804">
        <v>20</v>
      </c>
      <c r="L105" s="338" t="s">
        <v>2207</v>
      </c>
    </row>
    <row r="106" spans="1:12" ht="15" customHeight="1">
      <c r="A106" s="138" t="s">
        <v>2203</v>
      </c>
      <c r="B106" s="133" t="s">
        <v>5141</v>
      </c>
      <c r="C106" s="133" t="s">
        <v>51</v>
      </c>
      <c r="D106" s="133" t="s">
        <v>5145</v>
      </c>
      <c r="E106" s="142" t="s">
        <v>5146</v>
      </c>
      <c r="F106" s="133" t="s">
        <v>5144</v>
      </c>
      <c r="G106" s="805">
        <v>1</v>
      </c>
      <c r="H106" s="806">
        <v>1</v>
      </c>
      <c r="I106" s="806">
        <v>1</v>
      </c>
      <c r="J106" s="806">
        <v>20</v>
      </c>
      <c r="K106" s="806">
        <v>20</v>
      </c>
      <c r="L106" s="338" t="s">
        <v>2207</v>
      </c>
    </row>
    <row r="107" spans="1:12" ht="15" customHeight="1">
      <c r="A107" s="134" t="s">
        <v>5006</v>
      </c>
      <c r="B107" s="99" t="s">
        <v>1865</v>
      </c>
      <c r="C107" s="99" t="s">
        <v>51</v>
      </c>
      <c r="D107" s="133" t="s">
        <v>5007</v>
      </c>
      <c r="E107" s="130" t="s">
        <v>5008</v>
      </c>
      <c r="F107" s="133" t="s">
        <v>4963</v>
      </c>
      <c r="G107" s="133">
        <v>2</v>
      </c>
      <c r="H107" s="495">
        <v>2</v>
      </c>
      <c r="I107" s="789">
        <v>2</v>
      </c>
      <c r="J107" s="789">
        <v>20</v>
      </c>
      <c r="K107" s="789">
        <f t="shared" ref="K107:K125" si="1">J107/2</f>
        <v>10</v>
      </c>
      <c r="L107" s="338" t="s">
        <v>473</v>
      </c>
    </row>
    <row r="108" spans="1:12" ht="15" customHeight="1">
      <c r="A108" s="134" t="s">
        <v>5006</v>
      </c>
      <c r="B108" s="99" t="s">
        <v>1865</v>
      </c>
      <c r="C108" s="99" t="s">
        <v>51</v>
      </c>
      <c r="D108" s="131" t="s">
        <v>5009</v>
      </c>
      <c r="E108" s="142" t="s">
        <v>5010</v>
      </c>
      <c r="F108" s="133" t="s">
        <v>4963</v>
      </c>
      <c r="G108" s="133">
        <v>2</v>
      </c>
      <c r="H108" s="495">
        <v>2</v>
      </c>
      <c r="I108" s="789">
        <v>2</v>
      </c>
      <c r="J108" s="789">
        <v>20</v>
      </c>
      <c r="K108" s="789">
        <f t="shared" si="1"/>
        <v>10</v>
      </c>
      <c r="L108" s="338" t="s">
        <v>473</v>
      </c>
    </row>
    <row r="109" spans="1:12" ht="15" customHeight="1">
      <c r="A109" s="134" t="s">
        <v>5006</v>
      </c>
      <c r="B109" s="99" t="s">
        <v>1865</v>
      </c>
      <c r="C109" s="99" t="s">
        <v>51</v>
      </c>
      <c r="D109" s="133" t="s">
        <v>5011</v>
      </c>
      <c r="E109" s="130" t="s">
        <v>5012</v>
      </c>
      <c r="F109" s="133" t="s">
        <v>4963</v>
      </c>
      <c r="G109" s="133">
        <v>2</v>
      </c>
      <c r="H109" s="495">
        <v>2</v>
      </c>
      <c r="I109" s="789">
        <v>2</v>
      </c>
      <c r="J109" s="789">
        <v>20</v>
      </c>
      <c r="K109" s="789">
        <f t="shared" si="1"/>
        <v>10</v>
      </c>
      <c r="L109" s="338" t="s">
        <v>473</v>
      </c>
    </row>
    <row r="110" spans="1:12" ht="15" customHeight="1">
      <c r="A110" s="134" t="s">
        <v>5006</v>
      </c>
      <c r="B110" s="99" t="s">
        <v>1865</v>
      </c>
      <c r="C110" s="99" t="s">
        <v>51</v>
      </c>
      <c r="D110" s="133" t="s">
        <v>5013</v>
      </c>
      <c r="E110" s="130" t="s">
        <v>5014</v>
      </c>
      <c r="F110" s="133" t="s">
        <v>4963</v>
      </c>
      <c r="G110" s="133">
        <v>2</v>
      </c>
      <c r="H110" s="495">
        <v>2</v>
      </c>
      <c r="I110" s="789">
        <v>2</v>
      </c>
      <c r="J110" s="789">
        <v>20</v>
      </c>
      <c r="K110" s="789">
        <f t="shared" si="1"/>
        <v>10</v>
      </c>
      <c r="L110" s="338" t="s">
        <v>473</v>
      </c>
    </row>
    <row r="111" spans="1:12" ht="15" customHeight="1">
      <c r="A111" s="134" t="s">
        <v>5006</v>
      </c>
      <c r="B111" s="99" t="s">
        <v>1865</v>
      </c>
      <c r="C111" s="99" t="s">
        <v>51</v>
      </c>
      <c r="D111" s="133" t="s">
        <v>5015</v>
      </c>
      <c r="E111" s="130" t="s">
        <v>5016</v>
      </c>
      <c r="F111" s="133" t="s">
        <v>4963</v>
      </c>
      <c r="G111" s="133">
        <v>2</v>
      </c>
      <c r="H111" s="495">
        <v>2</v>
      </c>
      <c r="I111" s="789">
        <v>2</v>
      </c>
      <c r="J111" s="789">
        <v>20</v>
      </c>
      <c r="K111" s="789">
        <f t="shared" si="1"/>
        <v>10</v>
      </c>
      <c r="L111" s="338" t="s">
        <v>473</v>
      </c>
    </row>
    <row r="112" spans="1:12" ht="15" customHeight="1">
      <c r="A112" s="134" t="s">
        <v>5006</v>
      </c>
      <c r="B112" s="99" t="s">
        <v>1865</v>
      </c>
      <c r="C112" s="99" t="s">
        <v>51</v>
      </c>
      <c r="D112" s="133" t="s">
        <v>5147</v>
      </c>
      <c r="E112" s="130" t="s">
        <v>5018</v>
      </c>
      <c r="F112" s="133" t="s">
        <v>4963</v>
      </c>
      <c r="G112" s="133">
        <v>2</v>
      </c>
      <c r="H112" s="495">
        <v>2</v>
      </c>
      <c r="I112" s="789">
        <v>2</v>
      </c>
      <c r="J112" s="789">
        <v>20</v>
      </c>
      <c r="K112" s="789">
        <f t="shared" si="1"/>
        <v>10</v>
      </c>
      <c r="L112" s="338" t="s">
        <v>473</v>
      </c>
    </row>
    <row r="113" spans="1:12" ht="15" customHeight="1">
      <c r="A113" s="134" t="s">
        <v>5006</v>
      </c>
      <c r="B113" s="99" t="s">
        <v>1865</v>
      </c>
      <c r="C113" s="99" t="s">
        <v>51</v>
      </c>
      <c r="D113" s="133" t="s">
        <v>5148</v>
      </c>
      <c r="E113" s="130" t="s">
        <v>5020</v>
      </c>
      <c r="F113" s="133" t="s">
        <v>4963</v>
      </c>
      <c r="G113" s="133">
        <v>2</v>
      </c>
      <c r="H113" s="495">
        <v>2</v>
      </c>
      <c r="I113" s="789">
        <v>2</v>
      </c>
      <c r="J113" s="789">
        <v>20</v>
      </c>
      <c r="K113" s="789">
        <f t="shared" si="1"/>
        <v>10</v>
      </c>
      <c r="L113" s="338" t="s">
        <v>473</v>
      </c>
    </row>
    <row r="114" spans="1:12" ht="15" customHeight="1">
      <c r="A114" s="134" t="s">
        <v>5006</v>
      </c>
      <c r="B114" s="99" t="s">
        <v>1865</v>
      </c>
      <c r="C114" s="99" t="s">
        <v>51</v>
      </c>
      <c r="D114" s="133" t="s">
        <v>5149</v>
      </c>
      <c r="E114" s="130" t="s">
        <v>5022</v>
      </c>
      <c r="F114" s="133" t="s">
        <v>4963</v>
      </c>
      <c r="G114" s="133">
        <v>2</v>
      </c>
      <c r="H114" s="495">
        <v>2</v>
      </c>
      <c r="I114" s="789">
        <v>2</v>
      </c>
      <c r="J114" s="789">
        <v>20</v>
      </c>
      <c r="K114" s="789">
        <f t="shared" si="1"/>
        <v>10</v>
      </c>
      <c r="L114" s="338" t="s">
        <v>473</v>
      </c>
    </row>
    <row r="115" spans="1:12" ht="15" customHeight="1">
      <c r="A115" s="134" t="s">
        <v>5006</v>
      </c>
      <c r="B115" s="99" t="s">
        <v>1865</v>
      </c>
      <c r="C115" s="99" t="s">
        <v>51</v>
      </c>
      <c r="D115" s="133" t="s">
        <v>5023</v>
      </c>
      <c r="E115" s="130" t="s">
        <v>5024</v>
      </c>
      <c r="F115" s="133" t="s">
        <v>4963</v>
      </c>
      <c r="G115" s="133">
        <v>2</v>
      </c>
      <c r="H115" s="495">
        <v>2</v>
      </c>
      <c r="I115" s="789">
        <v>2</v>
      </c>
      <c r="J115" s="789">
        <v>20</v>
      </c>
      <c r="K115" s="789">
        <f t="shared" si="1"/>
        <v>10</v>
      </c>
      <c r="L115" s="338" t="s">
        <v>473</v>
      </c>
    </row>
    <row r="116" spans="1:12" ht="15" customHeight="1">
      <c r="A116" s="134" t="s">
        <v>5006</v>
      </c>
      <c r="B116" s="99" t="s">
        <v>1865</v>
      </c>
      <c r="C116" s="99" t="s">
        <v>51</v>
      </c>
      <c r="D116" s="133" t="s">
        <v>5150</v>
      </c>
      <c r="E116" s="130" t="s">
        <v>5026</v>
      </c>
      <c r="F116" s="133" t="s">
        <v>4963</v>
      </c>
      <c r="G116" s="133">
        <v>2</v>
      </c>
      <c r="H116" s="495">
        <v>2</v>
      </c>
      <c r="I116" s="789">
        <v>2</v>
      </c>
      <c r="J116" s="789">
        <v>20</v>
      </c>
      <c r="K116" s="789">
        <f t="shared" si="1"/>
        <v>10</v>
      </c>
      <c r="L116" s="338" t="s">
        <v>473</v>
      </c>
    </row>
    <row r="117" spans="1:12" ht="15" customHeight="1">
      <c r="A117" s="134" t="s">
        <v>5006</v>
      </c>
      <c r="B117" s="99" t="s">
        <v>1865</v>
      </c>
      <c r="C117" s="99" t="s">
        <v>51</v>
      </c>
      <c r="D117" s="133" t="s">
        <v>5151</v>
      </c>
      <c r="E117" s="130" t="s">
        <v>5028</v>
      </c>
      <c r="F117" s="133" t="s">
        <v>4963</v>
      </c>
      <c r="G117" s="133">
        <v>2</v>
      </c>
      <c r="H117" s="495">
        <v>2</v>
      </c>
      <c r="I117" s="789">
        <v>2</v>
      </c>
      <c r="J117" s="789">
        <v>20</v>
      </c>
      <c r="K117" s="789">
        <f t="shared" si="1"/>
        <v>10</v>
      </c>
      <c r="L117" s="338" t="s">
        <v>473</v>
      </c>
    </row>
    <row r="118" spans="1:12" ht="15" customHeight="1">
      <c r="A118" s="134" t="s">
        <v>5006</v>
      </c>
      <c r="B118" s="99" t="s">
        <v>1865</v>
      </c>
      <c r="C118" s="99" t="s">
        <v>51</v>
      </c>
      <c r="D118" s="133" t="s">
        <v>5152</v>
      </c>
      <c r="E118" s="130" t="s">
        <v>5030</v>
      </c>
      <c r="F118" s="133" t="s">
        <v>4963</v>
      </c>
      <c r="G118" s="133">
        <v>2</v>
      </c>
      <c r="H118" s="495">
        <v>2</v>
      </c>
      <c r="I118" s="789">
        <v>2</v>
      </c>
      <c r="J118" s="789">
        <v>20</v>
      </c>
      <c r="K118" s="789">
        <f t="shared" si="1"/>
        <v>10</v>
      </c>
      <c r="L118" s="338" t="s">
        <v>473</v>
      </c>
    </row>
    <row r="119" spans="1:12" ht="15" customHeight="1">
      <c r="A119" s="134" t="s">
        <v>5006</v>
      </c>
      <c r="B119" s="99" t="s">
        <v>1865</v>
      </c>
      <c r="C119" s="99" t="s">
        <v>51</v>
      </c>
      <c r="D119" s="133" t="s">
        <v>5153</v>
      </c>
      <c r="E119" s="130" t="s">
        <v>5032</v>
      </c>
      <c r="F119" s="133" t="s">
        <v>4963</v>
      </c>
      <c r="G119" s="133">
        <v>2</v>
      </c>
      <c r="H119" s="495">
        <v>2</v>
      </c>
      <c r="I119" s="789">
        <v>2</v>
      </c>
      <c r="J119" s="789">
        <v>20</v>
      </c>
      <c r="K119" s="789">
        <f t="shared" si="1"/>
        <v>10</v>
      </c>
      <c r="L119" s="338" t="s">
        <v>473</v>
      </c>
    </row>
    <row r="120" spans="1:12" ht="15" customHeight="1">
      <c r="A120" s="134" t="s">
        <v>5006</v>
      </c>
      <c r="B120" s="99" t="s">
        <v>1865</v>
      </c>
      <c r="C120" s="99" t="s">
        <v>51</v>
      </c>
      <c r="D120" s="133" t="s">
        <v>5033</v>
      </c>
      <c r="E120" s="130" t="s">
        <v>5034</v>
      </c>
      <c r="F120" s="133" t="s">
        <v>4963</v>
      </c>
      <c r="G120" s="133">
        <v>2</v>
      </c>
      <c r="H120" s="495">
        <v>2</v>
      </c>
      <c r="I120" s="789">
        <v>2</v>
      </c>
      <c r="J120" s="789">
        <v>20</v>
      </c>
      <c r="K120" s="789">
        <f t="shared" si="1"/>
        <v>10</v>
      </c>
      <c r="L120" s="338" t="s">
        <v>473</v>
      </c>
    </row>
    <row r="121" spans="1:12" ht="15" customHeight="1">
      <c r="A121" s="134" t="s">
        <v>5006</v>
      </c>
      <c r="B121" s="99" t="s">
        <v>1865</v>
      </c>
      <c r="C121" s="99" t="s">
        <v>51</v>
      </c>
      <c r="D121" s="133" t="s">
        <v>5035</v>
      </c>
      <c r="E121" s="130" t="s">
        <v>5036</v>
      </c>
      <c r="F121" s="133" t="s">
        <v>4963</v>
      </c>
      <c r="G121" s="133">
        <v>2</v>
      </c>
      <c r="H121" s="495">
        <v>2</v>
      </c>
      <c r="I121" s="789">
        <v>2</v>
      </c>
      <c r="J121" s="789">
        <v>20</v>
      </c>
      <c r="K121" s="789">
        <f t="shared" si="1"/>
        <v>10</v>
      </c>
      <c r="L121" s="338" t="s">
        <v>473</v>
      </c>
    </row>
    <row r="122" spans="1:12" ht="15" customHeight="1">
      <c r="A122" s="134" t="s">
        <v>5006</v>
      </c>
      <c r="B122" s="99" t="s">
        <v>1865</v>
      </c>
      <c r="C122" s="99" t="s">
        <v>51</v>
      </c>
      <c r="D122" s="133" t="s">
        <v>5037</v>
      </c>
      <c r="E122" s="130" t="s">
        <v>5038</v>
      </c>
      <c r="F122" s="133" t="s">
        <v>4963</v>
      </c>
      <c r="G122" s="133">
        <v>2</v>
      </c>
      <c r="H122" s="495">
        <v>2</v>
      </c>
      <c r="I122" s="789">
        <v>2</v>
      </c>
      <c r="J122" s="789">
        <v>20</v>
      </c>
      <c r="K122" s="789">
        <f t="shared" si="1"/>
        <v>10</v>
      </c>
      <c r="L122" s="338" t="s">
        <v>473</v>
      </c>
    </row>
    <row r="123" spans="1:12" ht="15" customHeight="1">
      <c r="A123" s="134" t="s">
        <v>5006</v>
      </c>
      <c r="B123" s="99" t="s">
        <v>1865</v>
      </c>
      <c r="C123" s="99" t="s">
        <v>51</v>
      </c>
      <c r="D123" s="133" t="s">
        <v>5154</v>
      </c>
      <c r="E123" s="130" t="s">
        <v>5040</v>
      </c>
      <c r="F123" s="133" t="s">
        <v>4963</v>
      </c>
      <c r="G123" s="133">
        <v>2</v>
      </c>
      <c r="H123" s="495">
        <v>2</v>
      </c>
      <c r="I123" s="789">
        <v>2</v>
      </c>
      <c r="J123" s="789">
        <v>20</v>
      </c>
      <c r="K123" s="789">
        <f t="shared" si="1"/>
        <v>10</v>
      </c>
      <c r="L123" s="338" t="s">
        <v>473</v>
      </c>
    </row>
    <row r="124" spans="1:12" ht="15" customHeight="1">
      <c r="A124" s="134" t="s">
        <v>5006</v>
      </c>
      <c r="B124" s="99" t="s">
        <v>1865</v>
      </c>
      <c r="C124" s="99" t="s">
        <v>51</v>
      </c>
      <c r="D124" s="133" t="s">
        <v>5041</v>
      </c>
      <c r="E124" s="130" t="s">
        <v>5042</v>
      </c>
      <c r="F124" s="133" t="s">
        <v>4963</v>
      </c>
      <c r="G124" s="133">
        <v>2</v>
      </c>
      <c r="H124" s="495">
        <v>2</v>
      </c>
      <c r="I124" s="789">
        <v>2</v>
      </c>
      <c r="J124" s="789">
        <v>20</v>
      </c>
      <c r="K124" s="789">
        <f t="shared" si="1"/>
        <v>10</v>
      </c>
      <c r="L124" s="338" t="s">
        <v>473</v>
      </c>
    </row>
    <row r="125" spans="1:12" ht="15" customHeight="1">
      <c r="A125" s="134" t="s">
        <v>5006</v>
      </c>
      <c r="B125" s="99" t="s">
        <v>1865</v>
      </c>
      <c r="C125" s="99" t="s">
        <v>51</v>
      </c>
      <c r="D125" s="133" t="s">
        <v>5043</v>
      </c>
      <c r="E125" s="130" t="s">
        <v>5044</v>
      </c>
      <c r="F125" s="133" t="s">
        <v>4963</v>
      </c>
      <c r="G125" s="133">
        <v>2</v>
      </c>
      <c r="H125" s="495">
        <v>2</v>
      </c>
      <c r="I125" s="789">
        <v>2</v>
      </c>
      <c r="J125" s="789">
        <v>20</v>
      </c>
      <c r="K125" s="789">
        <f t="shared" si="1"/>
        <v>10</v>
      </c>
      <c r="L125" s="338" t="s">
        <v>473</v>
      </c>
    </row>
    <row r="126" spans="1:12" ht="15" customHeight="1">
      <c r="A126" s="134" t="s">
        <v>5155</v>
      </c>
      <c r="B126" s="99" t="s">
        <v>5156</v>
      </c>
      <c r="C126" s="99" t="s">
        <v>51</v>
      </c>
      <c r="D126" s="133" t="s">
        <v>5157</v>
      </c>
      <c r="E126" s="130" t="s">
        <v>5158</v>
      </c>
      <c r="F126" s="133" t="s">
        <v>4963</v>
      </c>
      <c r="G126" s="133">
        <v>2</v>
      </c>
      <c r="H126" s="495">
        <v>1</v>
      </c>
      <c r="I126" s="789">
        <v>2</v>
      </c>
      <c r="J126" s="789">
        <v>20</v>
      </c>
      <c r="K126" s="789">
        <f t="shared" ref="K126:K143" si="2">J126</f>
        <v>20</v>
      </c>
      <c r="L126" s="338" t="s">
        <v>473</v>
      </c>
    </row>
    <row r="127" spans="1:12" ht="15" customHeight="1">
      <c r="A127" s="134" t="s">
        <v>5155</v>
      </c>
      <c r="B127" s="99" t="s">
        <v>5156</v>
      </c>
      <c r="C127" s="99" t="s">
        <v>51</v>
      </c>
      <c r="D127" s="133" t="s">
        <v>5159</v>
      </c>
      <c r="E127" s="130" t="s">
        <v>5160</v>
      </c>
      <c r="F127" s="133" t="s">
        <v>4963</v>
      </c>
      <c r="G127" s="133">
        <v>2</v>
      </c>
      <c r="H127" s="495">
        <v>1</v>
      </c>
      <c r="I127" s="789">
        <v>2</v>
      </c>
      <c r="J127" s="789">
        <v>20</v>
      </c>
      <c r="K127" s="789">
        <f t="shared" si="2"/>
        <v>20</v>
      </c>
      <c r="L127" s="338" t="s">
        <v>473</v>
      </c>
    </row>
    <row r="128" spans="1:12" ht="15" customHeight="1">
      <c r="A128" s="134" t="s">
        <v>5155</v>
      </c>
      <c r="B128" s="99" t="s">
        <v>5156</v>
      </c>
      <c r="C128" s="99" t="s">
        <v>51</v>
      </c>
      <c r="D128" s="133" t="s">
        <v>5161</v>
      </c>
      <c r="E128" s="130" t="s">
        <v>5162</v>
      </c>
      <c r="F128" s="133" t="s">
        <v>4963</v>
      </c>
      <c r="G128" s="133">
        <v>2</v>
      </c>
      <c r="H128" s="495">
        <v>1</v>
      </c>
      <c r="I128" s="789">
        <v>2</v>
      </c>
      <c r="J128" s="789">
        <v>20</v>
      </c>
      <c r="K128" s="789">
        <f t="shared" si="2"/>
        <v>20</v>
      </c>
      <c r="L128" s="338" t="s">
        <v>473</v>
      </c>
    </row>
    <row r="129" spans="1:12" ht="15" customHeight="1">
      <c r="A129" s="134" t="s">
        <v>5155</v>
      </c>
      <c r="B129" s="99" t="s">
        <v>5156</v>
      </c>
      <c r="C129" s="99" t="s">
        <v>51</v>
      </c>
      <c r="D129" s="133" t="s">
        <v>5163</v>
      </c>
      <c r="E129" s="130" t="s">
        <v>5164</v>
      </c>
      <c r="F129" s="133" t="s">
        <v>4963</v>
      </c>
      <c r="G129" s="133">
        <v>2</v>
      </c>
      <c r="H129" s="495">
        <v>1</v>
      </c>
      <c r="I129" s="789">
        <v>2</v>
      </c>
      <c r="J129" s="789">
        <v>20</v>
      </c>
      <c r="K129" s="789">
        <f t="shared" si="2"/>
        <v>20</v>
      </c>
      <c r="L129" s="338" t="s">
        <v>473</v>
      </c>
    </row>
    <row r="130" spans="1:12" ht="15" customHeight="1">
      <c r="A130" s="134" t="s">
        <v>5155</v>
      </c>
      <c r="B130" s="99" t="s">
        <v>5156</v>
      </c>
      <c r="C130" s="99" t="s">
        <v>51</v>
      </c>
      <c r="D130" s="133" t="s">
        <v>5165</v>
      </c>
      <c r="E130" s="130" t="s">
        <v>5166</v>
      </c>
      <c r="F130" s="133" t="s">
        <v>4963</v>
      </c>
      <c r="G130" s="133">
        <v>2</v>
      </c>
      <c r="H130" s="495">
        <v>1</v>
      </c>
      <c r="I130" s="789">
        <v>2</v>
      </c>
      <c r="J130" s="789">
        <v>20</v>
      </c>
      <c r="K130" s="789">
        <f t="shared" si="2"/>
        <v>20</v>
      </c>
      <c r="L130" s="338" t="s">
        <v>473</v>
      </c>
    </row>
    <row r="131" spans="1:12" ht="15" customHeight="1">
      <c r="A131" s="134" t="s">
        <v>5155</v>
      </c>
      <c r="B131" s="99" t="s">
        <v>5156</v>
      </c>
      <c r="C131" s="99" t="s">
        <v>51</v>
      </c>
      <c r="D131" s="133" t="s">
        <v>5167</v>
      </c>
      <c r="E131" s="130" t="s">
        <v>5168</v>
      </c>
      <c r="F131" s="133" t="s">
        <v>4963</v>
      </c>
      <c r="G131" s="133">
        <v>2</v>
      </c>
      <c r="H131" s="495">
        <v>1</v>
      </c>
      <c r="I131" s="789">
        <v>2</v>
      </c>
      <c r="J131" s="789">
        <v>20</v>
      </c>
      <c r="K131" s="789">
        <f t="shared" si="2"/>
        <v>20</v>
      </c>
      <c r="L131" s="338" t="s">
        <v>473</v>
      </c>
    </row>
    <row r="132" spans="1:12" ht="15" customHeight="1">
      <c r="A132" s="134" t="s">
        <v>5155</v>
      </c>
      <c r="B132" s="99" t="s">
        <v>5156</v>
      </c>
      <c r="C132" s="99" t="s">
        <v>51</v>
      </c>
      <c r="D132" s="133" t="s">
        <v>5169</v>
      </c>
      <c r="E132" s="130" t="s">
        <v>5170</v>
      </c>
      <c r="F132" s="133" t="s">
        <v>4963</v>
      </c>
      <c r="G132" s="133">
        <v>2</v>
      </c>
      <c r="H132" s="495">
        <v>1</v>
      </c>
      <c r="I132" s="789">
        <v>2</v>
      </c>
      <c r="J132" s="789">
        <v>20</v>
      </c>
      <c r="K132" s="789">
        <f t="shared" si="2"/>
        <v>20</v>
      </c>
      <c r="L132" s="338" t="s">
        <v>473</v>
      </c>
    </row>
    <row r="133" spans="1:12" ht="15" customHeight="1">
      <c r="A133" s="134" t="s">
        <v>5155</v>
      </c>
      <c r="B133" s="99" t="s">
        <v>5156</v>
      </c>
      <c r="C133" s="99" t="s">
        <v>51</v>
      </c>
      <c r="D133" s="133" t="s">
        <v>5171</v>
      </c>
      <c r="E133" s="130" t="s">
        <v>2356</v>
      </c>
      <c r="F133" s="133" t="s">
        <v>4963</v>
      </c>
      <c r="G133" s="133">
        <v>2</v>
      </c>
      <c r="H133" s="495">
        <v>1</v>
      </c>
      <c r="I133" s="789">
        <v>2</v>
      </c>
      <c r="J133" s="789">
        <v>20</v>
      </c>
      <c r="K133" s="789">
        <f t="shared" si="2"/>
        <v>20</v>
      </c>
      <c r="L133" s="338" t="s">
        <v>473</v>
      </c>
    </row>
    <row r="134" spans="1:12" ht="15" customHeight="1">
      <c r="A134" s="134" t="s">
        <v>5155</v>
      </c>
      <c r="B134" s="99" t="s">
        <v>5156</v>
      </c>
      <c r="C134" s="99" t="s">
        <v>51</v>
      </c>
      <c r="D134" s="133" t="s">
        <v>5172</v>
      </c>
      <c r="E134" s="130" t="s">
        <v>5173</v>
      </c>
      <c r="F134" s="133" t="s">
        <v>4963</v>
      </c>
      <c r="G134" s="133">
        <v>2</v>
      </c>
      <c r="H134" s="495">
        <v>1</v>
      </c>
      <c r="I134" s="789">
        <v>2</v>
      </c>
      <c r="J134" s="789">
        <v>20</v>
      </c>
      <c r="K134" s="789">
        <f t="shared" si="2"/>
        <v>20</v>
      </c>
      <c r="L134" s="338" t="s">
        <v>473</v>
      </c>
    </row>
    <row r="135" spans="1:12" ht="15" customHeight="1">
      <c r="A135" s="134" t="s">
        <v>5155</v>
      </c>
      <c r="B135" s="99" t="s">
        <v>5156</v>
      </c>
      <c r="C135" s="99" t="s">
        <v>51</v>
      </c>
      <c r="D135" s="133" t="s">
        <v>5174</v>
      </c>
      <c r="E135" s="130" t="s">
        <v>5175</v>
      </c>
      <c r="F135" s="133" t="s">
        <v>4963</v>
      </c>
      <c r="G135" s="133">
        <v>2</v>
      </c>
      <c r="H135" s="495">
        <v>1</v>
      </c>
      <c r="I135" s="789">
        <v>2</v>
      </c>
      <c r="J135" s="789">
        <v>20</v>
      </c>
      <c r="K135" s="789">
        <f t="shared" si="2"/>
        <v>20</v>
      </c>
      <c r="L135" s="338" t="s">
        <v>473</v>
      </c>
    </row>
    <row r="136" spans="1:12" ht="15" customHeight="1">
      <c r="A136" s="134" t="s">
        <v>5176</v>
      </c>
      <c r="B136" s="99" t="s">
        <v>5177</v>
      </c>
      <c r="C136" s="99" t="s">
        <v>51</v>
      </c>
      <c r="D136" s="133" t="s">
        <v>5178</v>
      </c>
      <c r="E136" s="130" t="s">
        <v>5179</v>
      </c>
      <c r="F136" s="133" t="s">
        <v>4963</v>
      </c>
      <c r="G136" s="133">
        <v>4</v>
      </c>
      <c r="H136" s="495">
        <v>1</v>
      </c>
      <c r="I136" s="789">
        <v>4</v>
      </c>
      <c r="J136" s="789">
        <v>20</v>
      </c>
      <c r="K136" s="789">
        <f t="shared" si="2"/>
        <v>20</v>
      </c>
      <c r="L136" s="338" t="s">
        <v>473</v>
      </c>
    </row>
    <row r="137" spans="1:12" ht="15" customHeight="1">
      <c r="A137" s="134" t="s">
        <v>5176</v>
      </c>
      <c r="B137" s="99" t="s">
        <v>5177</v>
      </c>
      <c r="C137" s="99" t="s">
        <v>51</v>
      </c>
      <c r="D137" s="133" t="s">
        <v>5180</v>
      </c>
      <c r="E137" s="130" t="s">
        <v>5181</v>
      </c>
      <c r="F137" s="133" t="s">
        <v>4963</v>
      </c>
      <c r="G137" s="133">
        <v>4</v>
      </c>
      <c r="H137" s="495">
        <v>1</v>
      </c>
      <c r="I137" s="789">
        <v>4</v>
      </c>
      <c r="J137" s="789">
        <v>20</v>
      </c>
      <c r="K137" s="789">
        <f t="shared" si="2"/>
        <v>20</v>
      </c>
      <c r="L137" s="338" t="s">
        <v>473</v>
      </c>
    </row>
    <row r="138" spans="1:12" ht="15" customHeight="1">
      <c r="A138" s="134" t="s">
        <v>5176</v>
      </c>
      <c r="B138" s="99" t="s">
        <v>5177</v>
      </c>
      <c r="C138" s="99" t="s">
        <v>51</v>
      </c>
      <c r="D138" s="133" t="s">
        <v>5182</v>
      </c>
      <c r="E138" s="130" t="s">
        <v>5183</v>
      </c>
      <c r="F138" s="133" t="s">
        <v>4963</v>
      </c>
      <c r="G138" s="133">
        <v>4</v>
      </c>
      <c r="H138" s="495">
        <v>1</v>
      </c>
      <c r="I138" s="789">
        <v>4</v>
      </c>
      <c r="J138" s="789">
        <v>20</v>
      </c>
      <c r="K138" s="789">
        <f t="shared" si="2"/>
        <v>20</v>
      </c>
      <c r="L138" s="338" t="s">
        <v>473</v>
      </c>
    </row>
    <row r="139" spans="1:12" ht="15" customHeight="1">
      <c r="A139" s="134" t="s">
        <v>5176</v>
      </c>
      <c r="B139" s="99" t="s">
        <v>5177</v>
      </c>
      <c r="C139" s="99" t="s">
        <v>51</v>
      </c>
      <c r="D139" s="133" t="s">
        <v>5184</v>
      </c>
      <c r="E139" s="130" t="s">
        <v>5185</v>
      </c>
      <c r="F139" s="133" t="s">
        <v>4963</v>
      </c>
      <c r="G139" s="133">
        <v>4</v>
      </c>
      <c r="H139" s="495">
        <v>1</v>
      </c>
      <c r="I139" s="789">
        <v>4</v>
      </c>
      <c r="J139" s="789">
        <v>20</v>
      </c>
      <c r="K139" s="789">
        <f t="shared" si="2"/>
        <v>20</v>
      </c>
      <c r="L139" s="338" t="s">
        <v>473</v>
      </c>
    </row>
    <row r="140" spans="1:12" ht="15" customHeight="1">
      <c r="A140" s="134" t="s">
        <v>5176</v>
      </c>
      <c r="B140" s="99" t="s">
        <v>5177</v>
      </c>
      <c r="C140" s="99" t="s">
        <v>51</v>
      </c>
      <c r="D140" s="133" t="s">
        <v>5186</v>
      </c>
      <c r="E140" s="130" t="s">
        <v>2237</v>
      </c>
      <c r="F140" s="133" t="s">
        <v>4963</v>
      </c>
      <c r="G140" s="133">
        <v>4</v>
      </c>
      <c r="H140" s="495">
        <v>1</v>
      </c>
      <c r="I140" s="789">
        <v>4</v>
      </c>
      <c r="J140" s="789">
        <v>20</v>
      </c>
      <c r="K140" s="789">
        <f t="shared" si="2"/>
        <v>20</v>
      </c>
      <c r="L140" s="338" t="s">
        <v>473</v>
      </c>
    </row>
    <row r="141" spans="1:12" ht="15" customHeight="1">
      <c r="A141" s="134" t="s">
        <v>5176</v>
      </c>
      <c r="B141" s="99" t="s">
        <v>5177</v>
      </c>
      <c r="C141" s="99" t="s">
        <v>51</v>
      </c>
      <c r="D141" s="133" t="s">
        <v>5187</v>
      </c>
      <c r="E141" s="130" t="s">
        <v>5188</v>
      </c>
      <c r="F141" s="133" t="s">
        <v>4963</v>
      </c>
      <c r="G141" s="133">
        <v>4</v>
      </c>
      <c r="H141" s="495">
        <v>1</v>
      </c>
      <c r="I141" s="789">
        <v>4</v>
      </c>
      <c r="J141" s="789">
        <v>20</v>
      </c>
      <c r="K141" s="789">
        <f t="shared" si="2"/>
        <v>20</v>
      </c>
      <c r="L141" s="338" t="s">
        <v>473</v>
      </c>
    </row>
    <row r="142" spans="1:12" ht="15" customHeight="1">
      <c r="A142" s="134" t="s">
        <v>5189</v>
      </c>
      <c r="B142" s="99" t="s">
        <v>5190</v>
      </c>
      <c r="C142" s="99" t="s">
        <v>51</v>
      </c>
      <c r="D142" s="133" t="s">
        <v>5186</v>
      </c>
      <c r="E142" s="130" t="s">
        <v>2237</v>
      </c>
      <c r="F142" s="133" t="s">
        <v>4963</v>
      </c>
      <c r="G142" s="133">
        <v>2</v>
      </c>
      <c r="H142" s="495">
        <v>1</v>
      </c>
      <c r="I142" s="789">
        <v>2</v>
      </c>
      <c r="J142" s="789">
        <v>20</v>
      </c>
      <c r="K142" s="789">
        <f t="shared" si="2"/>
        <v>20</v>
      </c>
      <c r="L142" s="338" t="s">
        <v>473</v>
      </c>
    </row>
    <row r="143" spans="1:12" ht="15" customHeight="1">
      <c r="A143" s="134" t="s">
        <v>5189</v>
      </c>
      <c r="B143" s="99" t="s">
        <v>5190</v>
      </c>
      <c r="C143" s="99" t="s">
        <v>51</v>
      </c>
      <c r="D143" s="133" t="s">
        <v>5187</v>
      </c>
      <c r="E143" s="130" t="s">
        <v>5188</v>
      </c>
      <c r="F143" s="133" t="s">
        <v>4963</v>
      </c>
      <c r="G143" s="133">
        <v>2</v>
      </c>
      <c r="H143" s="495">
        <v>1</v>
      </c>
      <c r="I143" s="789">
        <v>2</v>
      </c>
      <c r="J143" s="789">
        <v>20</v>
      </c>
      <c r="K143" s="789">
        <f t="shared" si="2"/>
        <v>20</v>
      </c>
      <c r="L143" s="338" t="s">
        <v>473</v>
      </c>
    </row>
    <row r="144" spans="1:12" ht="15" customHeight="1">
      <c r="A144" s="134" t="s">
        <v>5191</v>
      </c>
      <c r="B144" s="99" t="s">
        <v>2209</v>
      </c>
      <c r="C144" s="99" t="s">
        <v>51</v>
      </c>
      <c r="D144" s="133" t="s">
        <v>5192</v>
      </c>
      <c r="E144" s="130" t="s">
        <v>5193</v>
      </c>
      <c r="F144" s="133" t="s">
        <v>4963</v>
      </c>
      <c r="G144" s="133">
        <v>3</v>
      </c>
      <c r="H144" s="495">
        <v>3</v>
      </c>
      <c r="I144" s="789">
        <v>3</v>
      </c>
      <c r="J144" s="789">
        <v>20</v>
      </c>
      <c r="K144" s="789">
        <f t="shared" ref="K144:K149" si="3">J144/3</f>
        <v>6.666666666666667</v>
      </c>
      <c r="L144" s="338" t="s">
        <v>473</v>
      </c>
    </row>
    <row r="145" spans="1:12" ht="15" customHeight="1">
      <c r="A145" s="134" t="s">
        <v>5191</v>
      </c>
      <c r="B145" s="99" t="s">
        <v>2209</v>
      </c>
      <c r="C145" s="99" t="s">
        <v>51</v>
      </c>
      <c r="D145" s="133" t="s">
        <v>5194</v>
      </c>
      <c r="E145" s="130" t="s">
        <v>5195</v>
      </c>
      <c r="F145" s="133" t="s">
        <v>4963</v>
      </c>
      <c r="G145" s="133">
        <v>3</v>
      </c>
      <c r="H145" s="495">
        <v>3</v>
      </c>
      <c r="I145" s="789">
        <v>3</v>
      </c>
      <c r="J145" s="789">
        <v>20</v>
      </c>
      <c r="K145" s="789">
        <f t="shared" si="3"/>
        <v>6.666666666666667</v>
      </c>
      <c r="L145" s="338" t="s">
        <v>473</v>
      </c>
    </row>
    <row r="146" spans="1:12" ht="15" customHeight="1">
      <c r="A146" s="134" t="s">
        <v>5191</v>
      </c>
      <c r="B146" s="99" t="s">
        <v>2209</v>
      </c>
      <c r="C146" s="99" t="s">
        <v>51</v>
      </c>
      <c r="D146" s="133" t="s">
        <v>5196</v>
      </c>
      <c r="E146" s="130" t="s">
        <v>2229</v>
      </c>
      <c r="F146" s="133" t="s">
        <v>4963</v>
      </c>
      <c r="G146" s="133">
        <v>3</v>
      </c>
      <c r="H146" s="495">
        <v>3</v>
      </c>
      <c r="I146" s="789">
        <v>3</v>
      </c>
      <c r="J146" s="789">
        <v>20</v>
      </c>
      <c r="K146" s="789">
        <f t="shared" si="3"/>
        <v>6.666666666666667</v>
      </c>
      <c r="L146" s="338" t="s">
        <v>473</v>
      </c>
    </row>
    <row r="147" spans="1:12" ht="15" customHeight="1">
      <c r="A147" s="134" t="s">
        <v>5191</v>
      </c>
      <c r="B147" s="99" t="s">
        <v>2209</v>
      </c>
      <c r="C147" s="99" t="s">
        <v>51</v>
      </c>
      <c r="D147" s="133" t="s">
        <v>5197</v>
      </c>
      <c r="E147" s="130" t="s">
        <v>2235</v>
      </c>
      <c r="F147" s="133" t="s">
        <v>4963</v>
      </c>
      <c r="G147" s="133">
        <v>3</v>
      </c>
      <c r="H147" s="495">
        <v>3</v>
      </c>
      <c r="I147" s="789">
        <v>3</v>
      </c>
      <c r="J147" s="789">
        <v>20</v>
      </c>
      <c r="K147" s="789">
        <f t="shared" si="3"/>
        <v>6.666666666666667</v>
      </c>
      <c r="L147" s="338" t="s">
        <v>473</v>
      </c>
    </row>
    <row r="148" spans="1:12" ht="15" customHeight="1">
      <c r="A148" s="134" t="s">
        <v>5191</v>
      </c>
      <c r="B148" s="99" t="s">
        <v>2209</v>
      </c>
      <c r="C148" s="99" t="s">
        <v>51</v>
      </c>
      <c r="D148" s="133" t="s">
        <v>5198</v>
      </c>
      <c r="E148" s="130" t="s">
        <v>2233</v>
      </c>
      <c r="F148" s="133" t="s">
        <v>4963</v>
      </c>
      <c r="G148" s="133">
        <v>3</v>
      </c>
      <c r="H148" s="495">
        <v>3</v>
      </c>
      <c r="I148" s="789">
        <v>3</v>
      </c>
      <c r="J148" s="789">
        <v>20</v>
      </c>
      <c r="K148" s="789">
        <f t="shared" si="3"/>
        <v>6.666666666666667</v>
      </c>
      <c r="L148" s="338" t="s">
        <v>473</v>
      </c>
    </row>
    <row r="149" spans="1:12" ht="15" customHeight="1">
      <c r="A149" s="134" t="s">
        <v>5191</v>
      </c>
      <c r="B149" s="99" t="s">
        <v>2209</v>
      </c>
      <c r="C149" s="99" t="s">
        <v>51</v>
      </c>
      <c r="D149" s="133" t="s">
        <v>5199</v>
      </c>
      <c r="E149" s="130" t="s">
        <v>5200</v>
      </c>
      <c r="F149" s="133" t="s">
        <v>4963</v>
      </c>
      <c r="G149" s="133">
        <v>3</v>
      </c>
      <c r="H149" s="495">
        <v>3</v>
      </c>
      <c r="I149" s="789">
        <v>3</v>
      </c>
      <c r="J149" s="789">
        <v>20</v>
      </c>
      <c r="K149" s="789">
        <f t="shared" si="3"/>
        <v>6.666666666666667</v>
      </c>
      <c r="L149" s="338" t="s">
        <v>473</v>
      </c>
    </row>
    <row r="150" spans="1:12" ht="15" customHeight="1">
      <c r="A150" s="134" t="s">
        <v>5201</v>
      </c>
      <c r="B150" s="99" t="s">
        <v>5202</v>
      </c>
      <c r="C150" s="99" t="s">
        <v>51</v>
      </c>
      <c r="D150" s="133" t="s">
        <v>5203</v>
      </c>
      <c r="E150" s="130" t="s">
        <v>5204</v>
      </c>
      <c r="F150" s="133" t="s">
        <v>4963</v>
      </c>
      <c r="G150" s="133">
        <v>2</v>
      </c>
      <c r="H150" s="495">
        <v>2</v>
      </c>
      <c r="I150" s="789">
        <v>2</v>
      </c>
      <c r="J150" s="789">
        <v>20</v>
      </c>
      <c r="K150" s="789">
        <f t="shared" ref="K150:K151" si="4">J150/2</f>
        <v>10</v>
      </c>
      <c r="L150" s="338" t="s">
        <v>473</v>
      </c>
    </row>
    <row r="151" spans="1:12" ht="15" customHeight="1">
      <c r="A151" s="134" t="s">
        <v>5201</v>
      </c>
      <c r="B151" s="99" t="s">
        <v>5202</v>
      </c>
      <c r="C151" s="99" t="s">
        <v>51</v>
      </c>
      <c r="D151" s="133" t="s">
        <v>5184</v>
      </c>
      <c r="E151" s="130" t="s">
        <v>5185</v>
      </c>
      <c r="F151" s="133" t="s">
        <v>4963</v>
      </c>
      <c r="G151" s="133">
        <v>2</v>
      </c>
      <c r="H151" s="495">
        <v>2</v>
      </c>
      <c r="I151" s="789">
        <v>2</v>
      </c>
      <c r="J151" s="789">
        <v>20</v>
      </c>
      <c r="K151" s="789">
        <f t="shared" si="4"/>
        <v>10</v>
      </c>
      <c r="L151" s="338" t="s">
        <v>473</v>
      </c>
    </row>
    <row r="152" spans="1:12" ht="15" customHeight="1">
      <c r="A152" s="134" t="s">
        <v>5205</v>
      </c>
      <c r="B152" s="99" t="s">
        <v>5206</v>
      </c>
      <c r="C152" s="99" t="s">
        <v>51</v>
      </c>
      <c r="D152" s="133" t="s">
        <v>5207</v>
      </c>
      <c r="E152" s="130" t="s">
        <v>5208</v>
      </c>
      <c r="F152" s="133" t="s">
        <v>4963</v>
      </c>
      <c r="G152" s="133">
        <v>1</v>
      </c>
      <c r="H152" s="495">
        <v>1</v>
      </c>
      <c r="I152" s="789">
        <v>1</v>
      </c>
      <c r="J152" s="789">
        <v>20</v>
      </c>
      <c r="K152" s="789">
        <f t="shared" ref="K152:K154" si="5">J152/1</f>
        <v>20</v>
      </c>
      <c r="L152" s="338" t="s">
        <v>473</v>
      </c>
    </row>
    <row r="153" spans="1:12" ht="15" customHeight="1">
      <c r="A153" s="134" t="s">
        <v>5205</v>
      </c>
      <c r="B153" s="99" t="s">
        <v>5206</v>
      </c>
      <c r="C153" s="99" t="s">
        <v>51</v>
      </c>
      <c r="D153" s="133" t="s">
        <v>5209</v>
      </c>
      <c r="E153" s="130" t="s">
        <v>5210</v>
      </c>
      <c r="F153" s="133" t="s">
        <v>4963</v>
      </c>
      <c r="G153" s="133">
        <v>1</v>
      </c>
      <c r="H153" s="495">
        <v>1</v>
      </c>
      <c r="I153" s="789">
        <v>1</v>
      </c>
      <c r="J153" s="789">
        <v>20</v>
      </c>
      <c r="K153" s="789">
        <f t="shared" si="5"/>
        <v>20</v>
      </c>
      <c r="L153" s="338" t="s">
        <v>473</v>
      </c>
    </row>
    <row r="154" spans="1:12" ht="15" customHeight="1">
      <c r="A154" s="134" t="s">
        <v>5205</v>
      </c>
      <c r="B154" s="99" t="s">
        <v>5206</v>
      </c>
      <c r="C154" s="99" t="s">
        <v>51</v>
      </c>
      <c r="D154" s="133" t="s">
        <v>5211</v>
      </c>
      <c r="E154" s="130" t="s">
        <v>5212</v>
      </c>
      <c r="F154" s="133" t="s">
        <v>4963</v>
      </c>
      <c r="G154" s="133">
        <v>1</v>
      </c>
      <c r="H154" s="495">
        <v>1</v>
      </c>
      <c r="I154" s="789">
        <v>1</v>
      </c>
      <c r="J154" s="789">
        <v>20</v>
      </c>
      <c r="K154" s="789">
        <f t="shared" si="5"/>
        <v>20</v>
      </c>
      <c r="L154" s="338" t="s">
        <v>473</v>
      </c>
    </row>
    <row r="155" spans="1:12" ht="15" customHeight="1">
      <c r="A155" s="134" t="s">
        <v>5213</v>
      </c>
      <c r="B155" s="99" t="s">
        <v>3752</v>
      </c>
      <c r="C155" s="99" t="s">
        <v>51</v>
      </c>
      <c r="D155" s="133" t="s">
        <v>5214</v>
      </c>
      <c r="E155" s="130" t="s">
        <v>2254</v>
      </c>
      <c r="F155" s="133" t="s">
        <v>4963</v>
      </c>
      <c r="G155" s="133">
        <v>3</v>
      </c>
      <c r="H155" s="495">
        <v>3</v>
      </c>
      <c r="I155" s="789">
        <v>3</v>
      </c>
      <c r="J155" s="789">
        <v>20</v>
      </c>
      <c r="K155" s="789">
        <f t="shared" ref="K155:K156" si="6">J155/3</f>
        <v>6.666666666666667</v>
      </c>
      <c r="L155" s="338" t="s">
        <v>473</v>
      </c>
    </row>
    <row r="156" spans="1:12" ht="15" customHeight="1">
      <c r="A156" s="134" t="s">
        <v>5213</v>
      </c>
      <c r="B156" s="99" t="s">
        <v>3752</v>
      </c>
      <c r="C156" s="99" t="s">
        <v>51</v>
      </c>
      <c r="D156" s="133" t="s">
        <v>5215</v>
      </c>
      <c r="E156" s="130" t="s">
        <v>2252</v>
      </c>
      <c r="F156" s="133" t="s">
        <v>4963</v>
      </c>
      <c r="G156" s="133">
        <v>3</v>
      </c>
      <c r="H156" s="495">
        <v>3</v>
      </c>
      <c r="I156" s="789">
        <v>3</v>
      </c>
      <c r="J156" s="789">
        <v>20</v>
      </c>
      <c r="K156" s="789">
        <f t="shared" si="6"/>
        <v>6.666666666666667</v>
      </c>
      <c r="L156" s="338" t="s">
        <v>473</v>
      </c>
    </row>
    <row r="157" spans="1:12" ht="15" customHeight="1">
      <c r="A157" s="134" t="s">
        <v>5045</v>
      </c>
      <c r="B157" s="99" t="s">
        <v>5046</v>
      </c>
      <c r="C157" s="99" t="s">
        <v>51</v>
      </c>
      <c r="D157" s="133" t="s">
        <v>5216</v>
      </c>
      <c r="E157" s="130" t="s">
        <v>2243</v>
      </c>
      <c r="F157" s="133" t="s">
        <v>4963</v>
      </c>
      <c r="G157" s="133">
        <v>2</v>
      </c>
      <c r="H157" s="495">
        <v>2</v>
      </c>
      <c r="I157" s="789">
        <v>3</v>
      </c>
      <c r="J157" s="789">
        <v>20</v>
      </c>
      <c r="K157" s="789">
        <f t="shared" ref="K157:K161" si="7">J157/2</f>
        <v>10</v>
      </c>
      <c r="L157" s="338" t="s">
        <v>473</v>
      </c>
    </row>
    <row r="158" spans="1:12" ht="15" customHeight="1">
      <c r="A158" s="134" t="s">
        <v>5045</v>
      </c>
      <c r="B158" s="99" t="s">
        <v>5046</v>
      </c>
      <c r="C158" s="99" t="s">
        <v>51</v>
      </c>
      <c r="D158" s="133" t="s">
        <v>5217</v>
      </c>
      <c r="E158" s="130" t="s">
        <v>5049</v>
      </c>
      <c r="F158" s="133" t="s">
        <v>4963</v>
      </c>
      <c r="G158" s="133">
        <v>2</v>
      </c>
      <c r="H158" s="495">
        <v>2</v>
      </c>
      <c r="I158" s="789">
        <v>3</v>
      </c>
      <c r="J158" s="789">
        <v>20</v>
      </c>
      <c r="K158" s="789">
        <f t="shared" si="7"/>
        <v>10</v>
      </c>
      <c r="L158" s="338" t="s">
        <v>473</v>
      </c>
    </row>
    <row r="159" spans="1:12" ht="15" customHeight="1">
      <c r="A159" s="134" t="s">
        <v>5218</v>
      </c>
      <c r="B159" s="99" t="s">
        <v>5219</v>
      </c>
      <c r="C159" s="99" t="s">
        <v>51</v>
      </c>
      <c r="D159" s="133" t="s">
        <v>5220</v>
      </c>
      <c r="E159" s="130" t="s">
        <v>2231</v>
      </c>
      <c r="F159" s="133" t="s">
        <v>4963</v>
      </c>
      <c r="G159" s="133">
        <v>2</v>
      </c>
      <c r="H159" s="495">
        <v>2</v>
      </c>
      <c r="I159" s="789">
        <v>3</v>
      </c>
      <c r="J159" s="789">
        <v>20</v>
      </c>
      <c r="K159" s="789">
        <f t="shared" si="7"/>
        <v>10</v>
      </c>
      <c r="L159" s="338" t="s">
        <v>473</v>
      </c>
    </row>
    <row r="160" spans="1:12" ht="15" customHeight="1">
      <c r="A160" s="134" t="s">
        <v>5218</v>
      </c>
      <c r="B160" s="99" t="s">
        <v>5219</v>
      </c>
      <c r="C160" s="99" t="s">
        <v>51</v>
      </c>
      <c r="D160" s="133" t="s">
        <v>5221</v>
      </c>
      <c r="E160" s="130" t="s">
        <v>5222</v>
      </c>
      <c r="F160" s="133" t="s">
        <v>4963</v>
      </c>
      <c r="G160" s="133">
        <v>2</v>
      </c>
      <c r="H160" s="495">
        <v>2</v>
      </c>
      <c r="I160" s="789">
        <v>3</v>
      </c>
      <c r="J160" s="789">
        <v>20</v>
      </c>
      <c r="K160" s="789">
        <f t="shared" si="7"/>
        <v>10</v>
      </c>
      <c r="L160" s="338" t="s">
        <v>473</v>
      </c>
    </row>
    <row r="161" spans="1:12" ht="15" customHeight="1">
      <c r="A161" s="134" t="s">
        <v>5050</v>
      </c>
      <c r="B161" s="99" t="s">
        <v>5051</v>
      </c>
      <c r="C161" s="99" t="s">
        <v>51</v>
      </c>
      <c r="D161" s="133" t="s">
        <v>5223</v>
      </c>
      <c r="E161" s="130" t="s">
        <v>5053</v>
      </c>
      <c r="F161" s="133" t="s">
        <v>4963</v>
      </c>
      <c r="G161" s="133">
        <v>2</v>
      </c>
      <c r="H161" s="495">
        <v>2</v>
      </c>
      <c r="I161" s="789">
        <v>2</v>
      </c>
      <c r="J161" s="789">
        <v>20</v>
      </c>
      <c r="K161" s="789">
        <f t="shared" si="7"/>
        <v>10</v>
      </c>
      <c r="L161" s="338" t="s">
        <v>473</v>
      </c>
    </row>
    <row r="162" spans="1:12" ht="15" customHeight="1">
      <c r="A162" s="134" t="s">
        <v>5224</v>
      </c>
      <c r="B162" s="99" t="s">
        <v>5225</v>
      </c>
      <c r="C162" s="99" t="s">
        <v>51</v>
      </c>
      <c r="D162" s="133" t="s">
        <v>5226</v>
      </c>
      <c r="E162" s="130" t="s">
        <v>5227</v>
      </c>
      <c r="F162" s="133" t="s">
        <v>4963</v>
      </c>
      <c r="G162" s="133">
        <v>3</v>
      </c>
      <c r="H162" s="495">
        <v>3</v>
      </c>
      <c r="I162" s="789">
        <v>3</v>
      </c>
      <c r="J162" s="789">
        <v>20</v>
      </c>
      <c r="K162" s="789">
        <f>J162/3</f>
        <v>6.666666666666667</v>
      </c>
      <c r="L162" s="338" t="s">
        <v>473</v>
      </c>
    </row>
    <row r="163" spans="1:12" ht="15" customHeight="1">
      <c r="A163" s="134" t="s">
        <v>5228</v>
      </c>
      <c r="B163" s="99" t="s">
        <v>467</v>
      </c>
      <c r="C163" s="99" t="s">
        <v>51</v>
      </c>
      <c r="D163" s="133" t="s">
        <v>5229</v>
      </c>
      <c r="E163" s="130" t="s">
        <v>5230</v>
      </c>
      <c r="F163" s="133" t="s">
        <v>4963</v>
      </c>
      <c r="G163" s="133">
        <v>4</v>
      </c>
      <c r="H163" s="495">
        <v>4</v>
      </c>
      <c r="I163" s="789">
        <v>4</v>
      </c>
      <c r="J163" s="789">
        <v>20</v>
      </c>
      <c r="K163" s="789">
        <f t="shared" ref="K163:K165" si="8">J163/2</f>
        <v>10</v>
      </c>
      <c r="L163" s="338" t="s">
        <v>473</v>
      </c>
    </row>
    <row r="164" spans="1:12" ht="15" customHeight="1">
      <c r="A164" s="134" t="s">
        <v>5228</v>
      </c>
      <c r="B164" s="99" t="s">
        <v>467</v>
      </c>
      <c r="C164" s="99" t="s">
        <v>51</v>
      </c>
      <c r="D164" s="133" t="s">
        <v>5231</v>
      </c>
      <c r="E164" s="130" t="s">
        <v>5232</v>
      </c>
      <c r="F164" s="133" t="s">
        <v>4963</v>
      </c>
      <c r="G164" s="133">
        <v>4</v>
      </c>
      <c r="H164" s="495">
        <v>4</v>
      </c>
      <c r="I164" s="789">
        <v>4</v>
      </c>
      <c r="J164" s="789">
        <v>20</v>
      </c>
      <c r="K164" s="789">
        <f t="shared" si="8"/>
        <v>10</v>
      </c>
      <c r="L164" s="338" t="s">
        <v>473</v>
      </c>
    </row>
    <row r="165" spans="1:12" ht="15" customHeight="1">
      <c r="A165" s="134" t="s">
        <v>5050</v>
      </c>
      <c r="B165" s="99" t="s">
        <v>5054</v>
      </c>
      <c r="C165" s="99" t="s">
        <v>51</v>
      </c>
      <c r="D165" s="133" t="s">
        <v>5055</v>
      </c>
      <c r="E165" s="130" t="s">
        <v>5056</v>
      </c>
      <c r="F165" s="133" t="s">
        <v>4963</v>
      </c>
      <c r="G165" s="133">
        <v>2</v>
      </c>
      <c r="H165" s="495">
        <v>2</v>
      </c>
      <c r="I165" s="789">
        <v>2</v>
      </c>
      <c r="J165" s="789">
        <v>20</v>
      </c>
      <c r="K165" s="789">
        <f t="shared" si="8"/>
        <v>10</v>
      </c>
      <c r="L165" s="338" t="s">
        <v>473</v>
      </c>
    </row>
    <row r="166" spans="1:12" ht="15" customHeight="1">
      <c r="A166" s="134" t="s">
        <v>5233</v>
      </c>
      <c r="B166" s="99" t="s">
        <v>5234</v>
      </c>
      <c r="C166" s="99" t="s">
        <v>51</v>
      </c>
      <c r="D166" s="133" t="s">
        <v>5235</v>
      </c>
      <c r="E166" s="133" t="s">
        <v>5236</v>
      </c>
      <c r="F166" s="162" t="s">
        <v>4585</v>
      </c>
      <c r="G166" s="162">
        <v>4</v>
      </c>
      <c r="H166" s="451">
        <v>4</v>
      </c>
      <c r="I166" s="485">
        <v>4</v>
      </c>
      <c r="J166" s="807">
        <v>10</v>
      </c>
      <c r="K166" s="807">
        <f t="shared" ref="K166:K168" si="9">J166/I166</f>
        <v>2.5</v>
      </c>
      <c r="L166" s="338" t="s">
        <v>2260</v>
      </c>
    </row>
    <row r="167" spans="1:12" ht="15" customHeight="1">
      <c r="A167" s="438" t="s">
        <v>5237</v>
      </c>
      <c r="B167" s="228" t="s">
        <v>5238</v>
      </c>
      <c r="C167" s="99" t="s">
        <v>51</v>
      </c>
      <c r="D167" s="131" t="s">
        <v>5239</v>
      </c>
      <c r="E167" s="131" t="s">
        <v>5240</v>
      </c>
      <c r="F167" s="162" t="s">
        <v>4585</v>
      </c>
      <c r="G167" s="481">
        <v>1</v>
      </c>
      <c r="H167" s="451">
        <v>1</v>
      </c>
      <c r="I167" s="18">
        <v>1</v>
      </c>
      <c r="J167" s="18">
        <v>10</v>
      </c>
      <c r="K167" s="18">
        <f t="shared" si="9"/>
        <v>10</v>
      </c>
      <c r="L167" s="338" t="s">
        <v>2260</v>
      </c>
    </row>
    <row r="168" spans="1:12" ht="15" customHeight="1">
      <c r="A168" s="438" t="s">
        <v>5241</v>
      </c>
      <c r="B168" s="228" t="s">
        <v>5242</v>
      </c>
      <c r="C168" s="228" t="s">
        <v>51</v>
      </c>
      <c r="D168" s="133" t="s">
        <v>5243</v>
      </c>
      <c r="E168" s="133" t="s">
        <v>5244</v>
      </c>
      <c r="F168" s="162" t="s">
        <v>4585</v>
      </c>
      <c r="G168" s="737">
        <v>2</v>
      </c>
      <c r="H168" s="451">
        <v>1</v>
      </c>
      <c r="I168" s="18">
        <v>2</v>
      </c>
      <c r="J168" s="18">
        <v>10</v>
      </c>
      <c r="K168" s="18">
        <f t="shared" si="9"/>
        <v>5</v>
      </c>
      <c r="L168" s="338" t="s">
        <v>2260</v>
      </c>
    </row>
    <row r="169" spans="1:12" ht="15" customHeight="1">
      <c r="A169" s="438" t="s">
        <v>5245</v>
      </c>
      <c r="B169" s="228" t="s">
        <v>5246</v>
      </c>
      <c r="C169" s="228" t="s">
        <v>51</v>
      </c>
      <c r="D169" s="133" t="s">
        <v>5247</v>
      </c>
      <c r="E169" s="133" t="s">
        <v>5248</v>
      </c>
      <c r="F169" s="162" t="s">
        <v>4585</v>
      </c>
      <c r="G169" s="737">
        <v>2</v>
      </c>
      <c r="H169" s="737">
        <v>2</v>
      </c>
      <c r="I169" s="737">
        <v>3</v>
      </c>
      <c r="J169" s="18">
        <v>10</v>
      </c>
      <c r="K169" s="18">
        <f>10/H169</f>
        <v>5</v>
      </c>
      <c r="L169" s="338" t="s">
        <v>2260</v>
      </c>
    </row>
    <row r="170" spans="1:12" ht="15" customHeight="1">
      <c r="A170" s="134" t="s">
        <v>5249</v>
      </c>
      <c r="B170" s="99" t="s">
        <v>5250</v>
      </c>
      <c r="C170" s="99" t="s">
        <v>51</v>
      </c>
      <c r="D170" s="133" t="s">
        <v>5251</v>
      </c>
      <c r="E170" s="130" t="s">
        <v>5252</v>
      </c>
      <c r="F170" s="133" t="s">
        <v>5253</v>
      </c>
      <c r="G170" s="133">
        <v>5</v>
      </c>
      <c r="H170" s="495">
        <v>5</v>
      </c>
      <c r="I170" s="789">
        <v>6</v>
      </c>
      <c r="J170" s="789">
        <v>20</v>
      </c>
      <c r="K170" s="789">
        <v>4</v>
      </c>
      <c r="L170" s="338" t="s">
        <v>5254</v>
      </c>
    </row>
    <row r="171" spans="1:12" ht="15" customHeight="1">
      <c r="A171" s="438" t="s">
        <v>5249</v>
      </c>
      <c r="B171" s="99" t="s">
        <v>5250</v>
      </c>
      <c r="C171" s="99" t="s">
        <v>105</v>
      </c>
      <c r="D171" s="131" t="s">
        <v>5255</v>
      </c>
      <c r="E171" s="142" t="s">
        <v>5256</v>
      </c>
      <c r="F171" s="131" t="s">
        <v>5257</v>
      </c>
      <c r="G171" s="133">
        <v>5</v>
      </c>
      <c r="H171" s="495">
        <v>5</v>
      </c>
      <c r="I171" s="789">
        <v>6</v>
      </c>
      <c r="J171" s="789">
        <v>20</v>
      </c>
      <c r="K171" s="789">
        <v>4</v>
      </c>
      <c r="L171" s="338" t="s">
        <v>5254</v>
      </c>
    </row>
    <row r="172" spans="1:12" ht="15" customHeight="1">
      <c r="A172" s="91" t="s">
        <v>475</v>
      </c>
      <c r="B172" s="256" t="s">
        <v>474</v>
      </c>
      <c r="C172" s="99" t="s">
        <v>51</v>
      </c>
      <c r="D172" s="134" t="s">
        <v>5258</v>
      </c>
      <c r="E172" s="382" t="s">
        <v>5259</v>
      </c>
      <c r="F172" s="238" t="s">
        <v>5260</v>
      </c>
      <c r="G172" s="94">
        <v>3</v>
      </c>
      <c r="H172" s="94">
        <v>3</v>
      </c>
      <c r="I172" s="94">
        <v>3</v>
      </c>
      <c r="J172" s="385">
        <v>10</v>
      </c>
      <c r="K172" s="114">
        <f>J172/3</f>
        <v>3.3333333333333335</v>
      </c>
      <c r="L172" s="338" t="s">
        <v>482</v>
      </c>
    </row>
    <row r="173" spans="1:12" ht="15" customHeight="1">
      <c r="A173" s="91" t="s">
        <v>2273</v>
      </c>
      <c r="B173" s="256" t="s">
        <v>2274</v>
      </c>
      <c r="C173" s="99" t="s">
        <v>51</v>
      </c>
      <c r="D173" s="134" t="s">
        <v>5261</v>
      </c>
      <c r="E173" s="465" t="s">
        <v>5262</v>
      </c>
      <c r="F173" s="238" t="s">
        <v>5263</v>
      </c>
      <c r="G173" s="94">
        <v>7</v>
      </c>
      <c r="H173" s="94">
        <v>7</v>
      </c>
      <c r="I173" s="94">
        <v>7</v>
      </c>
      <c r="J173" s="385">
        <v>20</v>
      </c>
      <c r="K173" s="114">
        <f>J173/7</f>
        <v>2.8571428571428572</v>
      </c>
      <c r="L173" s="338" t="s">
        <v>482</v>
      </c>
    </row>
    <row r="174" spans="1:12" ht="15" customHeight="1">
      <c r="A174" s="91" t="s">
        <v>5264</v>
      </c>
      <c r="B174" s="256" t="s">
        <v>5265</v>
      </c>
      <c r="C174" s="99" t="s">
        <v>51</v>
      </c>
      <c r="D174" s="134" t="s">
        <v>5266</v>
      </c>
      <c r="E174" s="382" t="s">
        <v>5267</v>
      </c>
      <c r="F174" s="238" t="s">
        <v>5268</v>
      </c>
      <c r="G174" s="94">
        <v>2</v>
      </c>
      <c r="H174" s="94">
        <v>2</v>
      </c>
      <c r="I174" s="94">
        <v>2</v>
      </c>
      <c r="J174" s="385">
        <v>20</v>
      </c>
      <c r="K174" s="114">
        <v>10</v>
      </c>
      <c r="L174" s="338" t="s">
        <v>482</v>
      </c>
    </row>
    <row r="175" spans="1:12" ht="15" customHeight="1">
      <c r="A175" s="134" t="s">
        <v>2316</v>
      </c>
      <c r="B175" s="134" t="s">
        <v>2317</v>
      </c>
      <c r="C175" s="92" t="s">
        <v>51</v>
      </c>
      <c r="D175" s="134" t="s">
        <v>5269</v>
      </c>
      <c r="E175" s="382" t="s">
        <v>5270</v>
      </c>
      <c r="F175" s="238" t="s">
        <v>5271</v>
      </c>
      <c r="G175" s="99">
        <v>1</v>
      </c>
      <c r="H175" s="99">
        <v>1</v>
      </c>
      <c r="I175" s="99">
        <v>4</v>
      </c>
      <c r="J175" s="385">
        <v>20</v>
      </c>
      <c r="K175" s="114">
        <v>20</v>
      </c>
      <c r="L175" s="338" t="s">
        <v>482</v>
      </c>
    </row>
    <row r="176" spans="1:12" ht="15" customHeight="1">
      <c r="A176" s="134" t="s">
        <v>2277</v>
      </c>
      <c r="B176" s="134" t="s">
        <v>2278</v>
      </c>
      <c r="C176" s="92" t="s">
        <v>51</v>
      </c>
      <c r="D176" s="133" t="s">
        <v>5272</v>
      </c>
      <c r="E176" s="382" t="s">
        <v>5273</v>
      </c>
      <c r="F176" s="238" t="s">
        <v>5274</v>
      </c>
      <c r="G176" s="99">
        <v>7</v>
      </c>
      <c r="H176" s="99">
        <v>7</v>
      </c>
      <c r="I176" s="99">
        <v>7</v>
      </c>
      <c r="J176" s="385">
        <v>20</v>
      </c>
      <c r="K176" s="114">
        <v>2.85</v>
      </c>
      <c r="L176" s="338" t="s">
        <v>482</v>
      </c>
    </row>
    <row r="177" spans="1:12" ht="15" customHeight="1">
      <c r="A177" s="134" t="s">
        <v>2277</v>
      </c>
      <c r="B177" s="134" t="s">
        <v>2278</v>
      </c>
      <c r="C177" s="92" t="s">
        <v>51</v>
      </c>
      <c r="D177" s="133" t="s">
        <v>5275</v>
      </c>
      <c r="E177" s="382" t="s">
        <v>5273</v>
      </c>
      <c r="F177" s="238" t="s">
        <v>5276</v>
      </c>
      <c r="G177" s="99">
        <v>7</v>
      </c>
      <c r="H177" s="99">
        <v>7</v>
      </c>
      <c r="I177" s="99">
        <v>7</v>
      </c>
      <c r="J177" s="385">
        <v>20</v>
      </c>
      <c r="K177" s="114">
        <v>2.85</v>
      </c>
      <c r="L177" s="338" t="s">
        <v>482</v>
      </c>
    </row>
    <row r="178" spans="1:12" ht="15" customHeight="1">
      <c r="A178" s="134" t="s">
        <v>2277</v>
      </c>
      <c r="B178" s="134" t="s">
        <v>2278</v>
      </c>
      <c r="C178" s="92" t="s">
        <v>51</v>
      </c>
      <c r="D178" s="133" t="s">
        <v>5277</v>
      </c>
      <c r="E178" s="382" t="s">
        <v>5278</v>
      </c>
      <c r="F178" s="238" t="s">
        <v>5271</v>
      </c>
      <c r="G178" s="99">
        <v>7</v>
      </c>
      <c r="H178" s="500">
        <v>7</v>
      </c>
      <c r="I178" s="99">
        <v>7</v>
      </c>
      <c r="J178" s="385">
        <v>10</v>
      </c>
      <c r="K178" s="114">
        <v>1.8</v>
      </c>
      <c r="L178" s="338" t="s">
        <v>482</v>
      </c>
    </row>
    <row r="179" spans="1:12" ht="15" customHeight="1">
      <c r="A179" s="134" t="s">
        <v>2277</v>
      </c>
      <c r="B179" s="134" t="s">
        <v>2278</v>
      </c>
      <c r="C179" s="92" t="s">
        <v>51</v>
      </c>
      <c r="D179" s="138" t="s">
        <v>5279</v>
      </c>
      <c r="E179" s="130" t="s">
        <v>5280</v>
      </c>
      <c r="F179" s="238" t="s">
        <v>5271</v>
      </c>
      <c r="G179" s="99">
        <v>7</v>
      </c>
      <c r="H179" s="500">
        <v>7</v>
      </c>
      <c r="I179" s="99">
        <v>7</v>
      </c>
      <c r="J179" s="385">
        <v>10</v>
      </c>
      <c r="K179" s="114">
        <v>1.8</v>
      </c>
      <c r="L179" s="338" t="s">
        <v>482</v>
      </c>
    </row>
    <row r="180" spans="1:12" ht="15" customHeight="1">
      <c r="A180" s="399" t="s">
        <v>5281</v>
      </c>
      <c r="B180" s="399" t="s">
        <v>5282</v>
      </c>
      <c r="C180" s="92" t="s">
        <v>51</v>
      </c>
      <c r="D180" s="808" t="s">
        <v>5283</v>
      </c>
      <c r="E180" s="264" t="s">
        <v>5284</v>
      </c>
      <c r="F180" s="440" t="s">
        <v>5271</v>
      </c>
      <c r="G180" s="139">
        <v>2</v>
      </c>
      <c r="H180" s="139">
        <v>2</v>
      </c>
      <c r="I180" s="139">
        <v>2</v>
      </c>
      <c r="J180" s="441">
        <v>10</v>
      </c>
      <c r="K180" s="442">
        <v>5</v>
      </c>
      <c r="L180" s="338" t="s">
        <v>482</v>
      </c>
    </row>
    <row r="181" spans="1:12" ht="15" customHeight="1">
      <c r="A181" s="399" t="s">
        <v>5285</v>
      </c>
      <c r="B181" s="399" t="s">
        <v>5286</v>
      </c>
      <c r="C181" s="92" t="s">
        <v>51</v>
      </c>
      <c r="D181" s="808" t="s">
        <v>5287</v>
      </c>
      <c r="E181" s="264" t="s">
        <v>5288</v>
      </c>
      <c r="F181" s="440" t="s">
        <v>5271</v>
      </c>
      <c r="G181" s="139">
        <v>4</v>
      </c>
      <c r="H181" s="139">
        <v>4</v>
      </c>
      <c r="I181" s="139">
        <v>4</v>
      </c>
      <c r="J181" s="441">
        <v>20</v>
      </c>
      <c r="K181" s="442">
        <v>5</v>
      </c>
      <c r="L181" s="338" t="s">
        <v>482</v>
      </c>
    </row>
    <row r="182" spans="1:12" ht="15" customHeight="1">
      <c r="A182" s="399" t="s">
        <v>5289</v>
      </c>
      <c r="B182" s="399" t="s">
        <v>5290</v>
      </c>
      <c r="C182" s="92" t="s">
        <v>51</v>
      </c>
      <c r="D182" s="808" t="s">
        <v>5291</v>
      </c>
      <c r="E182" s="264" t="s">
        <v>5292</v>
      </c>
      <c r="F182" s="440" t="s">
        <v>5293</v>
      </c>
      <c r="G182" s="139">
        <v>2</v>
      </c>
      <c r="H182" s="139">
        <v>2</v>
      </c>
      <c r="I182" s="139">
        <v>2</v>
      </c>
      <c r="J182" s="441">
        <v>20</v>
      </c>
      <c r="K182" s="442">
        <v>10</v>
      </c>
      <c r="L182" s="338" t="s">
        <v>482</v>
      </c>
    </row>
    <row r="183" spans="1:12" ht="15" customHeight="1">
      <c r="A183" s="399" t="s">
        <v>5289</v>
      </c>
      <c r="B183" s="399" t="s">
        <v>5290</v>
      </c>
      <c r="C183" s="92" t="s">
        <v>51</v>
      </c>
      <c r="D183" s="399" t="s">
        <v>5294</v>
      </c>
      <c r="E183" s="264" t="s">
        <v>5295</v>
      </c>
      <c r="F183" s="440" t="s">
        <v>5271</v>
      </c>
      <c r="G183" s="139">
        <v>2</v>
      </c>
      <c r="H183" s="139">
        <v>2</v>
      </c>
      <c r="I183" s="139">
        <v>2</v>
      </c>
      <c r="J183" s="441">
        <v>20</v>
      </c>
      <c r="K183" s="442">
        <v>10</v>
      </c>
      <c r="L183" s="338" t="s">
        <v>482</v>
      </c>
    </row>
    <row r="184" spans="1:12" ht="15" customHeight="1">
      <c r="A184" s="134" t="s">
        <v>2307</v>
      </c>
      <c r="B184" s="134" t="s">
        <v>2308</v>
      </c>
      <c r="C184" s="92" t="s">
        <v>51</v>
      </c>
      <c r="D184" s="134" t="s">
        <v>5296</v>
      </c>
      <c r="E184" s="382" t="s">
        <v>5297</v>
      </c>
      <c r="F184" s="238" t="s">
        <v>5298</v>
      </c>
      <c r="G184" s="99">
        <v>1</v>
      </c>
      <c r="H184" s="99">
        <v>1</v>
      </c>
      <c r="I184" s="99">
        <v>2</v>
      </c>
      <c r="J184" s="385">
        <v>20</v>
      </c>
      <c r="K184" s="114">
        <v>20</v>
      </c>
      <c r="L184" s="338" t="s">
        <v>482</v>
      </c>
    </row>
    <row r="185" spans="1:12" ht="15" customHeight="1">
      <c r="A185" s="134" t="s">
        <v>2307</v>
      </c>
      <c r="B185" s="134" t="s">
        <v>2308</v>
      </c>
      <c r="C185" s="92" t="s">
        <v>51</v>
      </c>
      <c r="D185" s="399" t="s">
        <v>5299</v>
      </c>
      <c r="E185" s="439" t="s">
        <v>5300</v>
      </c>
      <c r="F185" s="440" t="s">
        <v>5301</v>
      </c>
      <c r="G185" s="99">
        <v>1</v>
      </c>
      <c r="H185" s="99">
        <v>1</v>
      </c>
      <c r="I185" s="99">
        <v>2</v>
      </c>
      <c r="J185" s="385">
        <v>20</v>
      </c>
      <c r="K185" s="114">
        <v>20</v>
      </c>
      <c r="L185" s="338" t="s">
        <v>482</v>
      </c>
    </row>
    <row r="186" spans="1:12" ht="15" customHeight="1">
      <c r="A186" s="134" t="s">
        <v>2307</v>
      </c>
      <c r="B186" s="134" t="s">
        <v>2308</v>
      </c>
      <c r="C186" s="92" t="s">
        <v>51</v>
      </c>
      <c r="D186" s="399" t="s">
        <v>5302</v>
      </c>
      <c r="E186" s="439" t="s">
        <v>5303</v>
      </c>
      <c r="F186" s="440" t="s">
        <v>5304</v>
      </c>
      <c r="G186" s="99">
        <v>1</v>
      </c>
      <c r="H186" s="99">
        <v>1</v>
      </c>
      <c r="I186" s="99">
        <v>2</v>
      </c>
      <c r="J186" s="385">
        <v>20</v>
      </c>
      <c r="K186" s="114">
        <v>20</v>
      </c>
      <c r="L186" s="338" t="s">
        <v>482</v>
      </c>
    </row>
    <row r="187" spans="1:12" ht="15" customHeight="1">
      <c r="A187" s="134" t="s">
        <v>2307</v>
      </c>
      <c r="B187" s="134" t="s">
        <v>2308</v>
      </c>
      <c r="C187" s="92" t="s">
        <v>51</v>
      </c>
      <c r="D187" s="399" t="s">
        <v>5305</v>
      </c>
      <c r="E187" s="439" t="s">
        <v>5306</v>
      </c>
      <c r="F187" s="440" t="s">
        <v>5307</v>
      </c>
      <c r="G187" s="99">
        <v>1</v>
      </c>
      <c r="H187" s="99">
        <v>1</v>
      </c>
      <c r="I187" s="99">
        <v>2</v>
      </c>
      <c r="J187" s="385">
        <v>20</v>
      </c>
      <c r="K187" s="114">
        <v>20</v>
      </c>
      <c r="L187" s="338" t="s">
        <v>482</v>
      </c>
    </row>
    <row r="188" spans="1:12" ht="15" customHeight="1">
      <c r="A188" s="134" t="s">
        <v>2322</v>
      </c>
      <c r="B188" s="134" t="s">
        <v>2323</v>
      </c>
      <c r="C188" s="92" t="s">
        <v>51</v>
      </c>
      <c r="D188" s="134" t="s">
        <v>5308</v>
      </c>
      <c r="E188" s="382" t="s">
        <v>5309</v>
      </c>
      <c r="F188" s="238" t="s">
        <v>5271</v>
      </c>
      <c r="G188" s="99">
        <v>3</v>
      </c>
      <c r="H188" s="99">
        <v>3</v>
      </c>
      <c r="I188" s="99">
        <v>3</v>
      </c>
      <c r="J188" s="385">
        <v>10</v>
      </c>
      <c r="K188" s="114">
        <v>3.3</v>
      </c>
      <c r="L188" s="338" t="s">
        <v>482</v>
      </c>
    </row>
    <row r="189" spans="1:12" ht="15" customHeight="1">
      <c r="A189" s="134" t="s">
        <v>5310</v>
      </c>
      <c r="B189" s="134" t="s">
        <v>2323</v>
      </c>
      <c r="C189" s="92" t="s">
        <v>51</v>
      </c>
      <c r="D189" s="399" t="s">
        <v>5311</v>
      </c>
      <c r="E189" s="439" t="s">
        <v>5312</v>
      </c>
      <c r="F189" s="440" t="s">
        <v>5271</v>
      </c>
      <c r="G189" s="139">
        <v>2</v>
      </c>
      <c r="H189" s="139">
        <v>2</v>
      </c>
      <c r="I189" s="139">
        <v>2</v>
      </c>
      <c r="J189" s="441">
        <v>10</v>
      </c>
      <c r="K189" s="442">
        <v>5</v>
      </c>
      <c r="L189" s="338" t="s">
        <v>482</v>
      </c>
    </row>
    <row r="190" spans="1:12" ht="15" customHeight="1">
      <c r="A190" s="399" t="s">
        <v>5281</v>
      </c>
      <c r="B190" s="399" t="s">
        <v>5313</v>
      </c>
      <c r="C190" s="92" t="s">
        <v>51</v>
      </c>
      <c r="D190" s="399" t="s">
        <v>5314</v>
      </c>
      <c r="E190" s="439" t="s">
        <v>5315</v>
      </c>
      <c r="F190" s="440" t="s">
        <v>5271</v>
      </c>
      <c r="G190" s="139">
        <v>2</v>
      </c>
      <c r="H190" s="139">
        <v>2</v>
      </c>
      <c r="I190" s="139">
        <v>2</v>
      </c>
      <c r="J190" s="441">
        <v>10</v>
      </c>
      <c r="K190" s="442">
        <v>5</v>
      </c>
      <c r="L190" s="338" t="s">
        <v>482</v>
      </c>
    </row>
    <row r="191" spans="1:12" ht="15" customHeight="1">
      <c r="A191" s="399" t="s">
        <v>5316</v>
      </c>
      <c r="B191" s="399" t="s">
        <v>5317</v>
      </c>
      <c r="C191" s="92" t="s">
        <v>51</v>
      </c>
      <c r="D191" s="399" t="s">
        <v>5318</v>
      </c>
      <c r="E191" s="439" t="s">
        <v>5319</v>
      </c>
      <c r="F191" s="440" t="s">
        <v>5320</v>
      </c>
      <c r="G191" s="139">
        <v>2</v>
      </c>
      <c r="H191" s="139">
        <v>2</v>
      </c>
      <c r="I191" s="139">
        <v>3</v>
      </c>
      <c r="J191" s="441">
        <v>20</v>
      </c>
      <c r="K191" s="442">
        <v>10</v>
      </c>
      <c r="L191" s="338" t="s">
        <v>482</v>
      </c>
    </row>
    <row r="192" spans="1:12" ht="15" customHeight="1">
      <c r="A192" s="134" t="s">
        <v>2334</v>
      </c>
      <c r="B192" s="134" t="s">
        <v>2335</v>
      </c>
      <c r="C192" s="92" t="s">
        <v>51</v>
      </c>
      <c r="D192" s="134" t="s">
        <v>5321</v>
      </c>
      <c r="E192" s="382" t="s">
        <v>5322</v>
      </c>
      <c r="F192" s="440" t="s">
        <v>5271</v>
      </c>
      <c r="G192" s="139">
        <v>2</v>
      </c>
      <c r="H192" s="139">
        <v>2</v>
      </c>
      <c r="I192" s="139">
        <v>3</v>
      </c>
      <c r="J192" s="441">
        <v>10</v>
      </c>
      <c r="K192" s="442">
        <v>5</v>
      </c>
      <c r="L192" s="338" t="s">
        <v>482</v>
      </c>
    </row>
    <row r="193" spans="1:12" ht="15" customHeight="1">
      <c r="A193" s="134" t="s">
        <v>2330</v>
      </c>
      <c r="B193" s="134" t="s">
        <v>2338</v>
      </c>
      <c r="C193" s="92" t="s">
        <v>51</v>
      </c>
      <c r="D193" s="134" t="s">
        <v>2341</v>
      </c>
      <c r="E193" s="382" t="s">
        <v>2342</v>
      </c>
      <c r="F193" s="238" t="s">
        <v>2343</v>
      </c>
      <c r="G193" s="99">
        <v>2</v>
      </c>
      <c r="H193" s="99">
        <v>2</v>
      </c>
      <c r="I193" s="99">
        <v>2</v>
      </c>
      <c r="J193" s="385">
        <v>50</v>
      </c>
      <c r="K193" s="114">
        <v>25</v>
      </c>
      <c r="L193" s="338" t="s">
        <v>482</v>
      </c>
    </row>
    <row r="194" spans="1:12" ht="15" customHeight="1">
      <c r="A194" s="134" t="s">
        <v>2330</v>
      </c>
      <c r="B194" s="134" t="s">
        <v>2338</v>
      </c>
      <c r="C194" s="92" t="s">
        <v>51</v>
      </c>
      <c r="D194" s="134" t="s">
        <v>5323</v>
      </c>
      <c r="E194" s="382" t="s">
        <v>5324</v>
      </c>
      <c r="F194" s="238" t="s">
        <v>5325</v>
      </c>
      <c r="G194" s="99">
        <v>2</v>
      </c>
      <c r="H194" s="99">
        <v>2</v>
      </c>
      <c r="I194" s="99">
        <v>2</v>
      </c>
      <c r="J194" s="385">
        <v>20</v>
      </c>
      <c r="K194" s="114">
        <v>10</v>
      </c>
      <c r="L194" s="338" t="s">
        <v>482</v>
      </c>
    </row>
    <row r="195" spans="1:12" ht="15" customHeight="1">
      <c r="A195" s="134" t="s">
        <v>2330</v>
      </c>
      <c r="B195" s="134" t="s">
        <v>2338</v>
      </c>
      <c r="C195" s="92" t="s">
        <v>51</v>
      </c>
      <c r="D195" s="399" t="s">
        <v>5326</v>
      </c>
      <c r="E195" s="439" t="s">
        <v>5327</v>
      </c>
      <c r="F195" s="238" t="s">
        <v>5271</v>
      </c>
      <c r="G195" s="99">
        <v>2</v>
      </c>
      <c r="H195" s="99">
        <v>2</v>
      </c>
      <c r="I195" s="99">
        <v>2</v>
      </c>
      <c r="J195" s="385">
        <v>10</v>
      </c>
      <c r="K195" s="114">
        <v>5</v>
      </c>
      <c r="L195" s="338" t="s">
        <v>482</v>
      </c>
    </row>
    <row r="196" spans="1:12" ht="15" customHeight="1">
      <c r="A196" s="134" t="s">
        <v>2330</v>
      </c>
      <c r="B196" s="134" t="s">
        <v>2338</v>
      </c>
      <c r="C196" s="92" t="s">
        <v>51</v>
      </c>
      <c r="D196" s="399" t="s">
        <v>5328</v>
      </c>
      <c r="E196" s="439" t="s">
        <v>5329</v>
      </c>
      <c r="F196" s="238" t="s">
        <v>5271</v>
      </c>
      <c r="G196" s="99">
        <v>2</v>
      </c>
      <c r="H196" s="99">
        <v>2</v>
      </c>
      <c r="I196" s="99">
        <v>2</v>
      </c>
      <c r="J196" s="385">
        <v>20</v>
      </c>
      <c r="K196" s="114">
        <v>10</v>
      </c>
      <c r="L196" s="338" t="s">
        <v>482</v>
      </c>
    </row>
    <row r="197" spans="1:12" ht="15" customHeight="1">
      <c r="A197" s="134" t="s">
        <v>2330</v>
      </c>
      <c r="B197" s="134" t="s">
        <v>2338</v>
      </c>
      <c r="C197" s="92" t="s">
        <v>51</v>
      </c>
      <c r="D197" s="399" t="s">
        <v>5330</v>
      </c>
      <c r="E197" s="439" t="s">
        <v>5331</v>
      </c>
      <c r="F197" s="238" t="s">
        <v>5271</v>
      </c>
      <c r="G197" s="99">
        <v>2</v>
      </c>
      <c r="H197" s="99">
        <v>2</v>
      </c>
      <c r="I197" s="99">
        <v>2</v>
      </c>
      <c r="J197" s="385">
        <v>10</v>
      </c>
      <c r="K197" s="114">
        <v>5</v>
      </c>
      <c r="L197" s="338" t="s">
        <v>482</v>
      </c>
    </row>
    <row r="198" spans="1:12" ht="15" customHeight="1">
      <c r="A198" s="134" t="s">
        <v>2330</v>
      </c>
      <c r="B198" s="134" t="s">
        <v>2338</v>
      </c>
      <c r="C198" s="92" t="s">
        <v>51</v>
      </c>
      <c r="D198" s="399" t="s">
        <v>5332</v>
      </c>
      <c r="E198" s="439" t="s">
        <v>5333</v>
      </c>
      <c r="F198" s="238" t="s">
        <v>5271</v>
      </c>
      <c r="G198" s="99">
        <v>2</v>
      </c>
      <c r="H198" s="99">
        <v>2</v>
      </c>
      <c r="I198" s="99">
        <v>2</v>
      </c>
      <c r="J198" s="385">
        <v>10</v>
      </c>
      <c r="K198" s="114">
        <v>5</v>
      </c>
      <c r="L198" s="338" t="s">
        <v>482</v>
      </c>
    </row>
    <row r="199" spans="1:12" ht="15" customHeight="1">
      <c r="A199" s="134" t="s">
        <v>2330</v>
      </c>
      <c r="B199" s="134" t="s">
        <v>2338</v>
      </c>
      <c r="C199" s="92" t="s">
        <v>51</v>
      </c>
      <c r="D199" s="399" t="s">
        <v>5334</v>
      </c>
      <c r="E199" s="439" t="s">
        <v>5335</v>
      </c>
      <c r="F199" s="238" t="s">
        <v>5271</v>
      </c>
      <c r="G199" s="99">
        <v>2</v>
      </c>
      <c r="H199" s="99">
        <v>2</v>
      </c>
      <c r="I199" s="99">
        <v>2</v>
      </c>
      <c r="J199" s="385">
        <v>10</v>
      </c>
      <c r="K199" s="114">
        <v>5</v>
      </c>
      <c r="L199" s="338" t="s">
        <v>482</v>
      </c>
    </row>
    <row r="200" spans="1:12" ht="15" customHeight="1">
      <c r="A200" s="134" t="s">
        <v>2330</v>
      </c>
      <c r="B200" s="134" t="s">
        <v>2338</v>
      </c>
      <c r="C200" s="92" t="s">
        <v>51</v>
      </c>
      <c r="D200" s="399" t="s">
        <v>5336</v>
      </c>
      <c r="E200" s="439" t="s">
        <v>5337</v>
      </c>
      <c r="F200" s="238" t="s">
        <v>5271</v>
      </c>
      <c r="G200" s="99">
        <v>2</v>
      </c>
      <c r="H200" s="99">
        <v>2</v>
      </c>
      <c r="I200" s="99">
        <v>2</v>
      </c>
      <c r="J200" s="385">
        <v>10</v>
      </c>
      <c r="K200" s="114">
        <v>5</v>
      </c>
      <c r="L200" s="338" t="s">
        <v>482</v>
      </c>
    </row>
    <row r="201" spans="1:12" ht="15" customHeight="1">
      <c r="A201" s="399" t="s">
        <v>5338</v>
      </c>
      <c r="B201" s="399" t="s">
        <v>5339</v>
      </c>
      <c r="C201" s="92" t="s">
        <v>51</v>
      </c>
      <c r="D201" s="399" t="s">
        <v>5340</v>
      </c>
      <c r="E201" s="439" t="s">
        <v>5341</v>
      </c>
      <c r="F201" s="238" t="s">
        <v>5271</v>
      </c>
      <c r="G201" s="99">
        <v>2</v>
      </c>
      <c r="H201" s="99">
        <v>2</v>
      </c>
      <c r="I201" s="99">
        <v>2</v>
      </c>
      <c r="J201" s="385">
        <v>10</v>
      </c>
      <c r="K201" s="114">
        <v>5</v>
      </c>
      <c r="L201" s="338" t="s">
        <v>482</v>
      </c>
    </row>
    <row r="202" spans="1:12" ht="15" customHeight="1">
      <c r="A202" s="399" t="s">
        <v>5342</v>
      </c>
      <c r="B202" s="399" t="s">
        <v>5343</v>
      </c>
      <c r="C202" s="92" t="s">
        <v>51</v>
      </c>
      <c r="D202" s="399" t="s">
        <v>5344</v>
      </c>
      <c r="E202" s="439" t="s">
        <v>5345</v>
      </c>
      <c r="F202" s="238" t="s">
        <v>5271</v>
      </c>
      <c r="G202" s="99">
        <v>4</v>
      </c>
      <c r="H202" s="99">
        <v>4</v>
      </c>
      <c r="I202" s="99">
        <v>4</v>
      </c>
      <c r="J202" s="385">
        <v>10</v>
      </c>
      <c r="K202" s="114">
        <v>2.5</v>
      </c>
      <c r="L202" s="338" t="s">
        <v>482</v>
      </c>
    </row>
    <row r="203" spans="1:12" ht="15" customHeight="1">
      <c r="A203" s="399" t="s">
        <v>5342</v>
      </c>
      <c r="B203" s="399" t="s">
        <v>5343</v>
      </c>
      <c r="C203" s="92" t="s">
        <v>51</v>
      </c>
      <c r="D203" s="399" t="s">
        <v>5346</v>
      </c>
      <c r="E203" s="439" t="s">
        <v>5347</v>
      </c>
      <c r="F203" s="238" t="s">
        <v>5271</v>
      </c>
      <c r="G203" s="99">
        <v>4</v>
      </c>
      <c r="H203" s="99">
        <v>4</v>
      </c>
      <c r="I203" s="99">
        <v>4</v>
      </c>
      <c r="J203" s="385">
        <v>10</v>
      </c>
      <c r="K203" s="114">
        <v>2.5</v>
      </c>
      <c r="L203" s="338" t="s">
        <v>482</v>
      </c>
    </row>
    <row r="204" spans="1:12" ht="15" customHeight="1">
      <c r="A204" s="399" t="s">
        <v>5348</v>
      </c>
      <c r="B204" s="399" t="s">
        <v>5349</v>
      </c>
      <c r="C204" s="92" t="s">
        <v>51</v>
      </c>
      <c r="D204" s="399" t="s">
        <v>5350</v>
      </c>
      <c r="E204" s="439" t="s">
        <v>5351</v>
      </c>
      <c r="F204" s="238" t="s">
        <v>5271</v>
      </c>
      <c r="G204" s="99">
        <v>3</v>
      </c>
      <c r="H204" s="99">
        <v>3</v>
      </c>
      <c r="I204" s="99">
        <v>3</v>
      </c>
      <c r="J204" s="385">
        <v>20</v>
      </c>
      <c r="K204" s="114">
        <v>6.67</v>
      </c>
      <c r="L204" s="338" t="s">
        <v>482</v>
      </c>
    </row>
    <row r="205" spans="1:12" ht="15" customHeight="1">
      <c r="A205" s="134" t="s">
        <v>2344</v>
      </c>
      <c r="B205" s="134" t="s">
        <v>2345</v>
      </c>
      <c r="C205" s="92" t="s">
        <v>51</v>
      </c>
      <c r="D205" s="134" t="s">
        <v>5352</v>
      </c>
      <c r="E205" s="382" t="s">
        <v>5353</v>
      </c>
      <c r="F205" s="238" t="s">
        <v>5271</v>
      </c>
      <c r="G205" s="99">
        <v>3</v>
      </c>
      <c r="H205" s="99">
        <v>3</v>
      </c>
      <c r="I205" s="99">
        <v>3</v>
      </c>
      <c r="J205" s="385">
        <v>20</v>
      </c>
      <c r="K205" s="114">
        <v>6.67</v>
      </c>
      <c r="L205" s="338" t="s">
        <v>482</v>
      </c>
    </row>
    <row r="206" spans="1:12" ht="15" customHeight="1">
      <c r="A206" s="399" t="s">
        <v>5354</v>
      </c>
      <c r="B206" s="399" t="s">
        <v>5355</v>
      </c>
      <c r="C206" s="92" t="s">
        <v>51</v>
      </c>
      <c r="D206" s="399" t="s">
        <v>5356</v>
      </c>
      <c r="E206" s="439" t="s">
        <v>5357</v>
      </c>
      <c r="F206" s="440" t="s">
        <v>5358</v>
      </c>
      <c r="G206" s="139">
        <v>6</v>
      </c>
      <c r="H206" s="139">
        <v>6</v>
      </c>
      <c r="I206" s="139">
        <v>6</v>
      </c>
      <c r="J206" s="441">
        <v>20</v>
      </c>
      <c r="K206" s="442">
        <v>3.33</v>
      </c>
      <c r="L206" s="338" t="s">
        <v>482</v>
      </c>
    </row>
    <row r="207" spans="1:12" ht="15" customHeight="1">
      <c r="A207" s="399" t="s">
        <v>5359</v>
      </c>
      <c r="B207" s="399" t="s">
        <v>5360</v>
      </c>
      <c r="C207" s="92" t="s">
        <v>51</v>
      </c>
      <c r="D207" s="399" t="s">
        <v>5361</v>
      </c>
      <c r="E207" s="439" t="s">
        <v>2356</v>
      </c>
      <c r="F207" s="440" t="s">
        <v>5293</v>
      </c>
      <c r="G207" s="139">
        <v>4</v>
      </c>
      <c r="H207" s="139">
        <v>4</v>
      </c>
      <c r="I207" s="139">
        <v>4</v>
      </c>
      <c r="J207" s="441">
        <v>20</v>
      </c>
      <c r="K207" s="442">
        <v>5</v>
      </c>
      <c r="L207" s="338" t="s">
        <v>482</v>
      </c>
    </row>
    <row r="208" spans="1:12" ht="15" customHeight="1">
      <c r="A208" s="399" t="s">
        <v>2349</v>
      </c>
      <c r="B208" s="399" t="s">
        <v>2350</v>
      </c>
      <c r="C208" s="92" t="s">
        <v>51</v>
      </c>
      <c r="D208" s="399" t="s">
        <v>5362</v>
      </c>
      <c r="E208" s="439" t="s">
        <v>5363</v>
      </c>
      <c r="F208" s="440" t="s">
        <v>5271</v>
      </c>
      <c r="G208" s="139">
        <v>2</v>
      </c>
      <c r="H208" s="139">
        <v>2</v>
      </c>
      <c r="I208" s="139">
        <v>2</v>
      </c>
      <c r="J208" s="441">
        <v>20</v>
      </c>
      <c r="K208" s="442">
        <v>10</v>
      </c>
      <c r="L208" s="338" t="s">
        <v>482</v>
      </c>
    </row>
    <row r="209" spans="1:12" ht="15" customHeight="1">
      <c r="A209" s="399" t="s">
        <v>2349</v>
      </c>
      <c r="B209" s="399" t="s">
        <v>2350</v>
      </c>
      <c r="C209" s="92" t="s">
        <v>51</v>
      </c>
      <c r="D209" s="399" t="s">
        <v>5346</v>
      </c>
      <c r="E209" s="439" t="s">
        <v>5363</v>
      </c>
      <c r="F209" s="440" t="s">
        <v>5271</v>
      </c>
      <c r="G209" s="139">
        <v>2</v>
      </c>
      <c r="H209" s="139">
        <v>2</v>
      </c>
      <c r="I209" s="139">
        <v>2</v>
      </c>
      <c r="J209" s="441">
        <v>10</v>
      </c>
      <c r="K209" s="442">
        <v>5</v>
      </c>
      <c r="L209" s="338" t="s">
        <v>482</v>
      </c>
    </row>
    <row r="210" spans="1:12" ht="15" customHeight="1">
      <c r="A210" s="399" t="s">
        <v>5364</v>
      </c>
      <c r="B210" s="399" t="s">
        <v>5365</v>
      </c>
      <c r="C210" s="92" t="s">
        <v>51</v>
      </c>
      <c r="D210" s="808" t="s">
        <v>5366</v>
      </c>
      <c r="E210" s="264" t="s">
        <v>5367</v>
      </c>
      <c r="F210" s="440" t="s">
        <v>5271</v>
      </c>
      <c r="G210" s="139">
        <v>4</v>
      </c>
      <c r="H210" s="139">
        <v>4</v>
      </c>
      <c r="I210" s="139">
        <v>4</v>
      </c>
      <c r="J210" s="441">
        <v>10</v>
      </c>
      <c r="K210" s="442">
        <v>2.5</v>
      </c>
      <c r="L210" s="338" t="s">
        <v>482</v>
      </c>
    </row>
    <row r="211" spans="1:12" ht="15" customHeight="1">
      <c r="A211" s="399" t="s">
        <v>5364</v>
      </c>
      <c r="B211" s="399" t="s">
        <v>5365</v>
      </c>
      <c r="C211" s="92" t="s">
        <v>51</v>
      </c>
      <c r="D211" s="808" t="s">
        <v>5344</v>
      </c>
      <c r="E211" s="264" t="s">
        <v>5367</v>
      </c>
      <c r="F211" s="440" t="s">
        <v>5271</v>
      </c>
      <c r="G211" s="139">
        <v>4</v>
      </c>
      <c r="H211" s="139">
        <v>4</v>
      </c>
      <c r="I211" s="139">
        <v>4</v>
      </c>
      <c r="J211" s="441">
        <v>10</v>
      </c>
      <c r="K211" s="442">
        <v>2.5</v>
      </c>
      <c r="L211" s="338" t="s">
        <v>482</v>
      </c>
    </row>
    <row r="212" spans="1:12" ht="15" customHeight="1">
      <c r="A212" s="399" t="s">
        <v>5368</v>
      </c>
      <c r="B212" s="399" t="s">
        <v>5369</v>
      </c>
      <c r="C212" s="92" t="s">
        <v>51</v>
      </c>
      <c r="D212" s="264" t="s">
        <v>5370</v>
      </c>
      <c r="E212" s="264" t="s">
        <v>5371</v>
      </c>
      <c r="F212" s="440" t="s">
        <v>5271</v>
      </c>
      <c r="G212" s="139">
        <v>2</v>
      </c>
      <c r="H212" s="139">
        <v>2</v>
      </c>
      <c r="I212" s="139">
        <v>2</v>
      </c>
      <c r="J212" s="441">
        <v>10</v>
      </c>
      <c r="K212" s="442">
        <v>2.5</v>
      </c>
      <c r="L212" s="338" t="s">
        <v>482</v>
      </c>
    </row>
    <row r="213" spans="1:12" ht="15" customHeight="1">
      <c r="A213" s="162" t="s">
        <v>5372</v>
      </c>
      <c r="B213" s="162" t="s">
        <v>5373</v>
      </c>
      <c r="C213" s="162" t="s">
        <v>51</v>
      </c>
      <c r="D213" s="162" t="s">
        <v>5374</v>
      </c>
      <c r="E213" s="809" t="s">
        <v>5375</v>
      </c>
      <c r="F213" s="162" t="s">
        <v>4585</v>
      </c>
      <c r="G213" s="162">
        <v>2</v>
      </c>
      <c r="H213" s="451">
        <v>2</v>
      </c>
      <c r="I213" s="807">
        <v>2</v>
      </c>
      <c r="J213" s="807">
        <v>20</v>
      </c>
      <c r="K213" s="807">
        <v>10</v>
      </c>
      <c r="L213" s="338" t="s">
        <v>2372</v>
      </c>
    </row>
    <row r="214" spans="1:12" ht="15" customHeight="1">
      <c r="A214" s="479" t="s">
        <v>5376</v>
      </c>
      <c r="B214" s="479" t="s">
        <v>5377</v>
      </c>
      <c r="C214" s="162" t="s">
        <v>51</v>
      </c>
      <c r="D214" s="810" t="s">
        <v>5378</v>
      </c>
      <c r="E214" s="365" t="s">
        <v>5379</v>
      </c>
      <c r="F214" s="811" t="s">
        <v>4585</v>
      </c>
      <c r="G214" s="812">
        <v>1</v>
      </c>
      <c r="H214" s="813">
        <v>1</v>
      </c>
      <c r="I214" s="18">
        <v>3</v>
      </c>
      <c r="J214" s="18">
        <v>20</v>
      </c>
      <c r="K214" s="18">
        <v>20</v>
      </c>
      <c r="L214" s="338" t="s">
        <v>2372</v>
      </c>
    </row>
    <row r="215" spans="1:12" ht="15" customHeight="1">
      <c r="A215" s="162" t="s">
        <v>5380</v>
      </c>
      <c r="B215" s="162" t="s">
        <v>5381</v>
      </c>
      <c r="C215" s="162" t="s">
        <v>51</v>
      </c>
      <c r="D215" s="162" t="s">
        <v>5382</v>
      </c>
      <c r="E215" s="809" t="s">
        <v>5383</v>
      </c>
      <c r="F215" s="162" t="s">
        <v>4585</v>
      </c>
      <c r="G215" s="814">
        <v>2</v>
      </c>
      <c r="H215" s="815">
        <v>2</v>
      </c>
      <c r="I215" s="18">
        <v>2</v>
      </c>
      <c r="J215" s="18">
        <v>20</v>
      </c>
      <c r="K215" s="18">
        <v>10</v>
      </c>
      <c r="L215" s="338" t="s">
        <v>2372</v>
      </c>
    </row>
    <row r="216" spans="1:12" ht="15" customHeight="1">
      <c r="A216" s="162" t="s">
        <v>5384</v>
      </c>
      <c r="B216" s="162" t="s">
        <v>5385</v>
      </c>
      <c r="C216" s="162" t="s">
        <v>51</v>
      </c>
      <c r="D216" s="162" t="s">
        <v>5386</v>
      </c>
      <c r="E216" s="365" t="s">
        <v>5387</v>
      </c>
      <c r="F216" s="457" t="s">
        <v>4585</v>
      </c>
      <c r="G216" s="162">
        <v>2</v>
      </c>
      <c r="H216" s="451">
        <v>2</v>
      </c>
      <c r="I216" s="807">
        <v>2</v>
      </c>
      <c r="J216" s="807">
        <v>20</v>
      </c>
      <c r="K216" s="807">
        <v>10</v>
      </c>
      <c r="L216" s="338" t="s">
        <v>2372</v>
      </c>
    </row>
    <row r="217" spans="1:12" ht="15" customHeight="1">
      <c r="A217" s="479" t="s">
        <v>5388</v>
      </c>
      <c r="B217" s="479" t="s">
        <v>5389</v>
      </c>
      <c r="C217" s="162" t="s">
        <v>51</v>
      </c>
      <c r="D217" s="11" t="s">
        <v>5390</v>
      </c>
      <c r="E217" s="365" t="s">
        <v>5391</v>
      </c>
      <c r="F217" s="457" t="s">
        <v>4585</v>
      </c>
      <c r="G217" s="816">
        <v>1</v>
      </c>
      <c r="H217" s="817">
        <v>1</v>
      </c>
      <c r="I217" s="18">
        <v>1</v>
      </c>
      <c r="J217" s="18">
        <v>10</v>
      </c>
      <c r="K217" s="18">
        <v>10</v>
      </c>
      <c r="L217" s="338" t="s">
        <v>2372</v>
      </c>
    </row>
    <row r="218" spans="1:12" ht="15" customHeight="1">
      <c r="A218" s="479" t="s">
        <v>5392</v>
      </c>
      <c r="B218" s="479" t="s">
        <v>5393</v>
      </c>
      <c r="C218" s="162" t="s">
        <v>51</v>
      </c>
      <c r="D218" s="479" t="s">
        <v>5394</v>
      </c>
      <c r="E218" s="365" t="s">
        <v>5395</v>
      </c>
      <c r="F218" s="457" t="s">
        <v>4585</v>
      </c>
      <c r="G218" s="816">
        <v>3</v>
      </c>
      <c r="H218" s="817">
        <v>3</v>
      </c>
      <c r="I218" s="18">
        <v>4</v>
      </c>
      <c r="J218" s="18">
        <v>10</v>
      </c>
      <c r="K218" s="18">
        <v>3.33</v>
      </c>
      <c r="L218" s="338" t="s">
        <v>2372</v>
      </c>
    </row>
    <row r="219" spans="1:12" ht="15" customHeight="1">
      <c r="A219" s="458" t="s">
        <v>2393</v>
      </c>
      <c r="B219" s="99" t="s">
        <v>5396</v>
      </c>
      <c r="C219" s="99" t="s">
        <v>51</v>
      </c>
      <c r="D219" s="133" t="s">
        <v>5397</v>
      </c>
      <c r="E219" s="130" t="s">
        <v>5398</v>
      </c>
      <c r="F219" s="162" t="s">
        <v>5399</v>
      </c>
      <c r="G219" s="162">
        <v>2</v>
      </c>
      <c r="H219" s="451">
        <v>2</v>
      </c>
      <c r="I219" s="807">
        <v>2</v>
      </c>
      <c r="J219" s="807">
        <v>20</v>
      </c>
      <c r="K219" s="807">
        <f t="shared" ref="K219:K220" si="10">J219/2</f>
        <v>10</v>
      </c>
      <c r="L219" s="338" t="s">
        <v>2392</v>
      </c>
    </row>
    <row r="220" spans="1:12" ht="15" customHeight="1">
      <c r="A220" s="458" t="s">
        <v>2393</v>
      </c>
      <c r="B220" s="228" t="s">
        <v>5400</v>
      </c>
      <c r="C220" s="99" t="s">
        <v>51</v>
      </c>
      <c r="D220" s="131" t="s">
        <v>5401</v>
      </c>
      <c r="E220" s="142" t="s">
        <v>5402</v>
      </c>
      <c r="F220" s="156" t="s">
        <v>4963</v>
      </c>
      <c r="G220" s="162">
        <v>2</v>
      </c>
      <c r="H220" s="451">
        <v>2</v>
      </c>
      <c r="I220" s="807">
        <v>2</v>
      </c>
      <c r="J220" s="807">
        <v>20</v>
      </c>
      <c r="K220" s="807">
        <f t="shared" si="10"/>
        <v>10</v>
      </c>
      <c r="L220" s="338" t="s">
        <v>2392</v>
      </c>
    </row>
    <row r="221" spans="1:12" ht="15" customHeight="1">
      <c r="A221" s="458" t="s">
        <v>5403</v>
      </c>
      <c r="B221" s="228" t="s">
        <v>5404</v>
      </c>
      <c r="C221" s="99" t="s">
        <v>51</v>
      </c>
      <c r="D221" s="133" t="s">
        <v>5405</v>
      </c>
      <c r="E221" s="130" t="s">
        <v>5406</v>
      </c>
      <c r="F221" s="156" t="s">
        <v>5407</v>
      </c>
      <c r="G221" s="162">
        <v>3</v>
      </c>
      <c r="H221" s="451">
        <v>3</v>
      </c>
      <c r="I221" s="807">
        <v>3</v>
      </c>
      <c r="J221" s="807">
        <v>20</v>
      </c>
      <c r="K221" s="818">
        <f>J221/3</f>
        <v>6.666666666666667</v>
      </c>
      <c r="L221" s="338" t="s">
        <v>2392</v>
      </c>
    </row>
    <row r="222" spans="1:12" ht="15" customHeight="1">
      <c r="A222" s="458" t="s">
        <v>2393</v>
      </c>
      <c r="B222" s="228" t="s">
        <v>5408</v>
      </c>
      <c r="C222" s="99" t="s">
        <v>51</v>
      </c>
      <c r="D222" s="133" t="s">
        <v>5409</v>
      </c>
      <c r="E222" s="130" t="s">
        <v>5410</v>
      </c>
      <c r="F222" s="156" t="s">
        <v>5411</v>
      </c>
      <c r="G222" s="162">
        <v>2</v>
      </c>
      <c r="H222" s="451">
        <v>2</v>
      </c>
      <c r="I222" s="807">
        <v>2</v>
      </c>
      <c r="J222" s="807">
        <v>10</v>
      </c>
      <c r="K222" s="807">
        <f>J222/2</f>
        <v>5</v>
      </c>
      <c r="L222" s="338" t="s">
        <v>2392</v>
      </c>
    </row>
    <row r="223" spans="1:12" ht="15" customHeight="1">
      <c r="A223" s="134" t="s">
        <v>1310</v>
      </c>
      <c r="B223" s="91" t="s">
        <v>1311</v>
      </c>
      <c r="C223" s="99" t="s">
        <v>51</v>
      </c>
      <c r="D223" s="134" t="s">
        <v>4929</v>
      </c>
      <c r="E223" s="378" t="s">
        <v>4930</v>
      </c>
      <c r="F223" s="133"/>
      <c r="G223" s="775">
        <v>2</v>
      </c>
      <c r="H223" s="776">
        <v>2</v>
      </c>
      <c r="I223" s="777">
        <v>4</v>
      </c>
      <c r="J223" s="777">
        <v>10</v>
      </c>
      <c r="K223" s="777">
        <v>5</v>
      </c>
      <c r="L223" s="338" t="s">
        <v>2399</v>
      </c>
    </row>
    <row r="224" spans="1:12" ht="15" customHeight="1">
      <c r="A224" s="134" t="s">
        <v>1310</v>
      </c>
      <c r="B224" s="91" t="s">
        <v>1311</v>
      </c>
      <c r="C224" s="99" t="s">
        <v>51</v>
      </c>
      <c r="D224" s="131" t="s">
        <v>4931</v>
      </c>
      <c r="E224" s="142" t="s">
        <v>4932</v>
      </c>
      <c r="F224" s="131"/>
      <c r="G224" s="778">
        <v>2</v>
      </c>
      <c r="H224" s="779">
        <v>2</v>
      </c>
      <c r="I224" s="780">
        <v>4</v>
      </c>
      <c r="J224" s="780">
        <v>10</v>
      </c>
      <c r="K224" s="780">
        <v>5</v>
      </c>
      <c r="L224" s="338" t="s">
        <v>2399</v>
      </c>
    </row>
    <row r="225" spans="1:12" ht="15" customHeight="1">
      <c r="A225" s="134" t="s">
        <v>5412</v>
      </c>
      <c r="B225" s="99" t="s">
        <v>5413</v>
      </c>
      <c r="C225" s="99" t="s">
        <v>51</v>
      </c>
      <c r="D225" s="133" t="s">
        <v>5414</v>
      </c>
      <c r="E225" s="130" t="s">
        <v>5415</v>
      </c>
      <c r="F225" s="133" t="s">
        <v>5416</v>
      </c>
      <c r="G225" s="99">
        <v>3</v>
      </c>
      <c r="H225" s="500">
        <v>3</v>
      </c>
      <c r="I225" s="784">
        <v>4</v>
      </c>
      <c r="J225" s="784">
        <v>10</v>
      </c>
      <c r="K225" s="783">
        <f t="shared" ref="K225:K231" si="11">J225/G225</f>
        <v>3.3333333333333335</v>
      </c>
      <c r="L225" s="338" t="s">
        <v>488</v>
      </c>
    </row>
    <row r="226" spans="1:12" ht="15" customHeight="1">
      <c r="A226" s="438" t="s">
        <v>5417</v>
      </c>
      <c r="B226" s="228" t="s">
        <v>5418</v>
      </c>
      <c r="C226" s="228" t="s">
        <v>51</v>
      </c>
      <c r="D226" s="131" t="s">
        <v>5419</v>
      </c>
      <c r="E226" s="142" t="s">
        <v>5420</v>
      </c>
      <c r="F226" s="133" t="s">
        <v>5416</v>
      </c>
      <c r="G226" s="819">
        <v>5</v>
      </c>
      <c r="H226" s="820">
        <v>5</v>
      </c>
      <c r="I226" s="658">
        <v>5</v>
      </c>
      <c r="J226" s="658">
        <v>10</v>
      </c>
      <c r="K226" s="783">
        <f t="shared" si="11"/>
        <v>2</v>
      </c>
      <c r="L226" s="338" t="s">
        <v>488</v>
      </c>
    </row>
    <row r="227" spans="1:12" ht="15" customHeight="1">
      <c r="A227" s="134" t="s">
        <v>5421</v>
      </c>
      <c r="B227" s="134" t="s">
        <v>5422</v>
      </c>
      <c r="C227" s="228" t="s">
        <v>51</v>
      </c>
      <c r="D227" s="131" t="s">
        <v>5419</v>
      </c>
      <c r="E227" s="142" t="s">
        <v>5420</v>
      </c>
      <c r="F227" s="133" t="s">
        <v>5416</v>
      </c>
      <c r="G227" s="819">
        <v>2</v>
      </c>
      <c r="H227" s="820">
        <v>2</v>
      </c>
      <c r="I227" s="658">
        <v>2</v>
      </c>
      <c r="J227" s="658">
        <v>10</v>
      </c>
      <c r="K227" s="783">
        <f t="shared" si="11"/>
        <v>5</v>
      </c>
      <c r="L227" s="338" t="s">
        <v>488</v>
      </c>
    </row>
    <row r="228" spans="1:12" ht="15" customHeight="1">
      <c r="A228" s="438" t="s">
        <v>5423</v>
      </c>
      <c r="B228" s="228" t="s">
        <v>5424</v>
      </c>
      <c r="C228" s="138" t="s">
        <v>51</v>
      </c>
      <c r="D228" s="131" t="s">
        <v>5419</v>
      </c>
      <c r="E228" s="142" t="s">
        <v>5420</v>
      </c>
      <c r="F228" s="133" t="s">
        <v>5416</v>
      </c>
      <c r="G228" s="819">
        <v>5</v>
      </c>
      <c r="H228" s="820">
        <v>5</v>
      </c>
      <c r="I228" s="658">
        <v>5</v>
      </c>
      <c r="J228" s="658">
        <v>10</v>
      </c>
      <c r="K228" s="783">
        <f t="shared" si="11"/>
        <v>2</v>
      </c>
      <c r="L228" s="338" t="s">
        <v>488</v>
      </c>
    </row>
    <row r="229" spans="1:12" ht="15" customHeight="1">
      <c r="A229" s="438" t="s">
        <v>5425</v>
      </c>
      <c r="B229" s="228" t="s">
        <v>5426</v>
      </c>
      <c r="C229" s="138" t="s">
        <v>51</v>
      </c>
      <c r="D229" s="131" t="s">
        <v>5427</v>
      </c>
      <c r="E229" s="142" t="s">
        <v>5428</v>
      </c>
      <c r="F229" s="133" t="s">
        <v>5429</v>
      </c>
      <c r="G229" s="819">
        <v>4</v>
      </c>
      <c r="H229" s="820">
        <v>4</v>
      </c>
      <c r="I229" s="658">
        <v>4</v>
      </c>
      <c r="J229" s="658">
        <v>20</v>
      </c>
      <c r="K229" s="783">
        <f t="shared" si="11"/>
        <v>5</v>
      </c>
      <c r="L229" s="338" t="s">
        <v>488</v>
      </c>
    </row>
    <row r="230" spans="1:12" ht="15" customHeight="1">
      <c r="A230" s="438" t="s">
        <v>5430</v>
      </c>
      <c r="B230" s="228" t="s">
        <v>5431</v>
      </c>
      <c r="C230" s="138" t="s">
        <v>51</v>
      </c>
      <c r="D230" s="131" t="s">
        <v>5419</v>
      </c>
      <c r="E230" s="142" t="s">
        <v>5420</v>
      </c>
      <c r="F230" s="133" t="s">
        <v>5416</v>
      </c>
      <c r="G230" s="819">
        <v>3</v>
      </c>
      <c r="H230" s="820">
        <v>3</v>
      </c>
      <c r="I230" s="658">
        <v>3</v>
      </c>
      <c r="J230" s="658">
        <v>10</v>
      </c>
      <c r="K230" s="783">
        <f t="shared" si="11"/>
        <v>3.3333333333333335</v>
      </c>
      <c r="L230" s="338" t="s">
        <v>488</v>
      </c>
    </row>
    <row r="231" spans="1:12" ht="15" customHeight="1">
      <c r="A231" s="438" t="s">
        <v>5432</v>
      </c>
      <c r="B231" s="228" t="s">
        <v>5433</v>
      </c>
      <c r="C231" s="138" t="s">
        <v>51</v>
      </c>
      <c r="D231" s="131" t="s">
        <v>5419</v>
      </c>
      <c r="E231" s="142" t="s">
        <v>5420</v>
      </c>
      <c r="F231" s="133" t="s">
        <v>5416</v>
      </c>
      <c r="G231" s="819">
        <v>3</v>
      </c>
      <c r="H231" s="820">
        <v>3</v>
      </c>
      <c r="I231" s="658">
        <v>3</v>
      </c>
      <c r="J231" s="658">
        <v>10</v>
      </c>
      <c r="K231" s="783">
        <f t="shared" si="11"/>
        <v>3.3333333333333335</v>
      </c>
      <c r="L231" s="338" t="s">
        <v>488</v>
      </c>
    </row>
    <row r="232" spans="1:12" ht="15" customHeight="1">
      <c r="A232" s="134" t="s">
        <v>5434</v>
      </c>
      <c r="B232" s="99" t="s">
        <v>5435</v>
      </c>
      <c r="C232" s="99" t="s">
        <v>51</v>
      </c>
      <c r="D232" s="133" t="s">
        <v>5436</v>
      </c>
      <c r="E232" s="130" t="s">
        <v>5437</v>
      </c>
      <c r="F232" s="216" t="s">
        <v>5438</v>
      </c>
      <c r="G232" s="133">
        <v>1</v>
      </c>
      <c r="H232" s="495">
        <v>1</v>
      </c>
      <c r="I232" s="789">
        <v>2</v>
      </c>
      <c r="J232" s="789">
        <v>20</v>
      </c>
      <c r="K232" s="789">
        <v>20</v>
      </c>
      <c r="L232" s="338" t="s">
        <v>510</v>
      </c>
    </row>
    <row r="233" spans="1:12" ht="15" customHeight="1">
      <c r="A233" s="134" t="s">
        <v>5434</v>
      </c>
      <c r="B233" s="99" t="s">
        <v>5435</v>
      </c>
      <c r="C233" s="99" t="s">
        <v>51</v>
      </c>
      <c r="D233" s="131" t="s">
        <v>5439</v>
      </c>
      <c r="E233" s="131" t="s">
        <v>5440</v>
      </c>
      <c r="F233" s="131" t="s">
        <v>5441</v>
      </c>
      <c r="G233" s="133">
        <v>1</v>
      </c>
      <c r="H233" s="495">
        <v>1</v>
      </c>
      <c r="I233" s="789">
        <v>2</v>
      </c>
      <c r="J233" s="789">
        <v>20</v>
      </c>
      <c r="K233" s="789">
        <v>20</v>
      </c>
      <c r="L233" s="338" t="s">
        <v>510</v>
      </c>
    </row>
    <row r="234" spans="1:12" ht="15" customHeight="1">
      <c r="A234" s="134" t="s">
        <v>2450</v>
      </c>
      <c r="B234" s="91" t="s">
        <v>2451</v>
      </c>
      <c r="C234" s="138" t="s">
        <v>51</v>
      </c>
      <c r="D234" s="133" t="s">
        <v>5442</v>
      </c>
      <c r="E234" s="130" t="s">
        <v>5443</v>
      </c>
      <c r="F234" s="133" t="s">
        <v>5444</v>
      </c>
      <c r="G234" s="149">
        <v>2</v>
      </c>
      <c r="H234" s="761">
        <v>2</v>
      </c>
      <c r="I234" s="781">
        <v>5</v>
      </c>
      <c r="J234" s="781">
        <v>20</v>
      </c>
      <c r="K234" s="781">
        <v>10</v>
      </c>
      <c r="L234" s="338" t="s">
        <v>510</v>
      </c>
    </row>
    <row r="235" spans="1:12" ht="15" customHeight="1">
      <c r="A235" s="134" t="s">
        <v>2434</v>
      </c>
      <c r="B235" s="91" t="s">
        <v>2435</v>
      </c>
      <c r="C235" s="138" t="s">
        <v>51</v>
      </c>
      <c r="D235" s="133" t="s">
        <v>5445</v>
      </c>
      <c r="E235" s="130" t="s">
        <v>5446</v>
      </c>
      <c r="F235" s="133" t="s">
        <v>5447</v>
      </c>
      <c r="G235" s="99">
        <v>1</v>
      </c>
      <c r="H235" s="99">
        <v>1</v>
      </c>
      <c r="I235" s="99">
        <v>3</v>
      </c>
      <c r="J235" s="385">
        <v>20</v>
      </c>
      <c r="K235" s="114">
        <v>20</v>
      </c>
      <c r="L235" s="338" t="s">
        <v>510</v>
      </c>
    </row>
    <row r="236" spans="1:12" ht="15" customHeight="1">
      <c r="A236" s="134" t="s">
        <v>2491</v>
      </c>
      <c r="B236" s="99" t="s">
        <v>2492</v>
      </c>
      <c r="C236" s="99" t="s">
        <v>51</v>
      </c>
      <c r="D236" s="133" t="s">
        <v>5448</v>
      </c>
      <c r="E236" s="130" t="s">
        <v>5449</v>
      </c>
      <c r="F236" s="133" t="s">
        <v>2072</v>
      </c>
      <c r="G236" s="133">
        <v>3</v>
      </c>
      <c r="H236" s="495">
        <v>3</v>
      </c>
      <c r="I236" s="789">
        <v>3</v>
      </c>
      <c r="J236" s="789">
        <v>20</v>
      </c>
      <c r="K236" s="789">
        <f t="shared" ref="K236:K237" si="12">J236/H236</f>
        <v>6.666666666666667</v>
      </c>
      <c r="L236" s="338" t="s">
        <v>518</v>
      </c>
    </row>
    <row r="237" spans="1:12" ht="15" customHeight="1">
      <c r="A237" s="134" t="s">
        <v>2503</v>
      </c>
      <c r="B237" s="134" t="s">
        <v>2504</v>
      </c>
      <c r="C237" s="138" t="s">
        <v>51</v>
      </c>
      <c r="D237" s="131" t="s">
        <v>5450</v>
      </c>
      <c r="E237" s="142" t="s">
        <v>5451</v>
      </c>
      <c r="F237" s="131" t="s">
        <v>5452</v>
      </c>
      <c r="G237" s="821">
        <v>4</v>
      </c>
      <c r="H237" s="797">
        <v>4</v>
      </c>
      <c r="I237" s="781">
        <v>6</v>
      </c>
      <c r="J237" s="781">
        <v>10</v>
      </c>
      <c r="K237" s="789">
        <f t="shared" si="12"/>
        <v>2.5</v>
      </c>
      <c r="L237" s="338" t="s">
        <v>518</v>
      </c>
    </row>
    <row r="238" spans="1:12" ht="15" customHeight="1">
      <c r="A238" s="438" t="s">
        <v>5453</v>
      </c>
      <c r="B238" s="228" t="s">
        <v>5454</v>
      </c>
      <c r="C238" s="138"/>
      <c r="D238" s="133" t="s">
        <v>5455</v>
      </c>
      <c r="E238" s="130" t="s">
        <v>5456</v>
      </c>
      <c r="F238" s="131" t="s">
        <v>5452</v>
      </c>
      <c r="G238" s="149">
        <v>2</v>
      </c>
      <c r="H238" s="761">
        <v>1</v>
      </c>
      <c r="I238" s="781">
        <v>5</v>
      </c>
      <c r="J238" s="781">
        <v>10</v>
      </c>
      <c r="K238" s="789">
        <f>J238/G238</f>
        <v>5</v>
      </c>
      <c r="L238" s="338" t="s">
        <v>518</v>
      </c>
    </row>
    <row r="239" spans="1:12" ht="15" customHeight="1">
      <c r="A239" s="134" t="s">
        <v>5457</v>
      </c>
      <c r="B239" s="99" t="s">
        <v>5458</v>
      </c>
      <c r="C239" s="99" t="s">
        <v>51</v>
      </c>
      <c r="D239" s="133" t="s">
        <v>5459</v>
      </c>
      <c r="E239" s="130" t="s">
        <v>5460</v>
      </c>
      <c r="F239" s="99" t="s">
        <v>5461</v>
      </c>
      <c r="G239" s="99">
        <v>2</v>
      </c>
      <c r="H239" s="500">
        <v>2</v>
      </c>
      <c r="I239" s="521">
        <v>2</v>
      </c>
      <c r="J239" s="521">
        <v>20</v>
      </c>
      <c r="K239" s="521">
        <f>J239/I239</f>
        <v>10</v>
      </c>
      <c r="L239" s="338" t="s">
        <v>2513</v>
      </c>
    </row>
    <row r="240" spans="1:12" ht="15" customHeight="1">
      <c r="A240" s="438" t="s">
        <v>5462</v>
      </c>
      <c r="B240" s="228" t="s">
        <v>5463</v>
      </c>
      <c r="C240" s="99" t="s">
        <v>51</v>
      </c>
      <c r="D240" s="131" t="s">
        <v>5464</v>
      </c>
      <c r="E240" s="142" t="s">
        <v>5465</v>
      </c>
      <c r="F240" s="92" t="s">
        <v>5466</v>
      </c>
      <c r="G240" s="99">
        <v>2</v>
      </c>
      <c r="H240" s="500">
        <v>2</v>
      </c>
      <c r="I240" s="521">
        <v>2</v>
      </c>
      <c r="J240" s="521">
        <v>20</v>
      </c>
      <c r="K240" s="521">
        <v>20</v>
      </c>
      <c r="L240" s="338" t="s">
        <v>2513</v>
      </c>
    </row>
    <row r="241" spans="1:12" ht="15" customHeight="1">
      <c r="A241" s="438" t="s">
        <v>5457</v>
      </c>
      <c r="B241" s="228" t="s">
        <v>5467</v>
      </c>
      <c r="C241" s="99" t="s">
        <v>51</v>
      </c>
      <c r="D241" s="133" t="s">
        <v>5409</v>
      </c>
      <c r="E241" s="158" t="s">
        <v>5468</v>
      </c>
      <c r="F241" s="99" t="s">
        <v>5469</v>
      </c>
      <c r="G241" s="99">
        <v>2</v>
      </c>
      <c r="H241" s="500">
        <v>2</v>
      </c>
      <c r="I241" s="521">
        <v>2</v>
      </c>
      <c r="J241" s="521">
        <v>10</v>
      </c>
      <c r="K241" s="521">
        <f>J241/I241</f>
        <v>5</v>
      </c>
      <c r="L241" s="338" t="s">
        <v>2513</v>
      </c>
    </row>
    <row r="242" spans="1:12" ht="15" customHeight="1">
      <c r="A242" s="500" t="s">
        <v>5470</v>
      </c>
      <c r="B242" s="228" t="s">
        <v>5400</v>
      </c>
      <c r="C242" s="99" t="s">
        <v>51</v>
      </c>
      <c r="D242" s="92" t="s">
        <v>5401</v>
      </c>
      <c r="E242" s="822" t="s">
        <v>5402</v>
      </c>
      <c r="F242" s="92" t="s">
        <v>4963</v>
      </c>
      <c r="G242" s="229">
        <v>2</v>
      </c>
      <c r="H242" s="229">
        <v>2</v>
      </c>
      <c r="I242" s="798">
        <v>2</v>
      </c>
      <c r="J242" s="521">
        <v>20</v>
      </c>
      <c r="K242" s="521">
        <v>10</v>
      </c>
      <c r="L242" s="338" t="s">
        <v>2513</v>
      </c>
    </row>
    <row r="243" spans="1:12" ht="15" customHeight="1">
      <c r="A243" s="400" t="s">
        <v>2515</v>
      </c>
      <c r="B243" s="823" t="s">
        <v>2516</v>
      </c>
      <c r="C243" s="138" t="s">
        <v>51</v>
      </c>
      <c r="D243" s="824" t="s">
        <v>5471</v>
      </c>
      <c r="E243" s="216" t="s">
        <v>5472</v>
      </c>
      <c r="F243" s="131"/>
      <c r="G243" s="796">
        <v>1</v>
      </c>
      <c r="H243" s="797">
        <v>1</v>
      </c>
      <c r="I243" s="781">
        <v>2</v>
      </c>
      <c r="J243" s="781">
        <v>20</v>
      </c>
      <c r="K243" s="825">
        <v>20</v>
      </c>
      <c r="L243" s="338" t="s">
        <v>2520</v>
      </c>
    </row>
    <row r="244" spans="1:12" ht="15" customHeight="1">
      <c r="A244" s="221" t="s">
        <v>5473</v>
      </c>
      <c r="B244" s="548" t="s">
        <v>5474</v>
      </c>
      <c r="C244" s="138" t="s">
        <v>51</v>
      </c>
      <c r="D244" s="133" t="s">
        <v>5475</v>
      </c>
      <c r="E244" s="221" t="s">
        <v>5476</v>
      </c>
      <c r="F244" s="133"/>
      <c r="G244" s="100">
        <v>2</v>
      </c>
      <c r="H244" s="761">
        <v>2</v>
      </c>
      <c r="I244" s="781">
        <v>3</v>
      </c>
      <c r="J244" s="781">
        <v>20</v>
      </c>
      <c r="K244" s="825">
        <f t="shared" ref="K244:K246" si="13">J244/2</f>
        <v>10</v>
      </c>
      <c r="L244" s="338" t="s">
        <v>2520</v>
      </c>
    </row>
    <row r="245" spans="1:12" ht="15" customHeight="1">
      <c r="A245" s="826" t="s">
        <v>2521</v>
      </c>
      <c r="B245" s="827" t="s">
        <v>2522</v>
      </c>
      <c r="C245" s="828" t="s">
        <v>51</v>
      </c>
      <c r="D245" s="138" t="s">
        <v>5477</v>
      </c>
      <c r="E245" s="138" t="s">
        <v>5309</v>
      </c>
      <c r="F245" s="138"/>
      <c r="G245" s="229">
        <v>2</v>
      </c>
      <c r="H245" s="799">
        <v>2</v>
      </c>
      <c r="I245" s="781">
        <v>3</v>
      </c>
      <c r="J245" s="781">
        <v>20</v>
      </c>
      <c r="K245" s="825">
        <f t="shared" si="13"/>
        <v>10</v>
      </c>
    </row>
    <row r="246" spans="1:12" ht="15" customHeight="1">
      <c r="A246" s="826"/>
      <c r="B246" s="827"/>
      <c r="C246" s="659" t="s">
        <v>51</v>
      </c>
      <c r="D246" s="659" t="s">
        <v>5478</v>
      </c>
      <c r="E246" s="659" t="s">
        <v>5479</v>
      </c>
      <c r="F246" s="659"/>
      <c r="G246" s="800">
        <v>2</v>
      </c>
      <c r="H246" s="801">
        <v>2</v>
      </c>
      <c r="I246" s="277">
        <v>3</v>
      </c>
      <c r="J246" s="277">
        <v>20</v>
      </c>
      <c r="K246" s="829">
        <f t="shared" si="13"/>
        <v>10</v>
      </c>
    </row>
    <row r="247" spans="1:12" ht="15" customHeight="1">
      <c r="A247" s="658" t="s">
        <v>2526</v>
      </c>
      <c r="B247" s="658" t="s">
        <v>2527</v>
      </c>
      <c r="C247" s="138" t="s">
        <v>51</v>
      </c>
      <c r="D247" s="138" t="s">
        <v>5480</v>
      </c>
      <c r="E247" s="138" t="s">
        <v>5481</v>
      </c>
      <c r="F247" s="138"/>
      <c r="G247" s="229">
        <v>3</v>
      </c>
      <c r="H247" s="241">
        <v>1</v>
      </c>
      <c r="I247" s="767">
        <v>6</v>
      </c>
      <c r="J247" s="767">
        <v>20</v>
      </c>
      <c r="K247" s="803">
        <f>J247/3</f>
        <v>6.666666666666667</v>
      </c>
    </row>
    <row r="248" spans="1:12" ht="15" customHeight="1">
      <c r="A248" s="1254" t="s">
        <v>5482</v>
      </c>
      <c r="B248" s="1254" t="s">
        <v>5483</v>
      </c>
      <c r="C248" s="138" t="s">
        <v>51</v>
      </c>
      <c r="D248" s="138" t="s">
        <v>5484</v>
      </c>
      <c r="E248" s="781" t="s">
        <v>5485</v>
      </c>
      <c r="F248" s="138"/>
      <c r="G248" s="229">
        <v>5</v>
      </c>
      <c r="H248" s="241">
        <v>5</v>
      </c>
      <c r="I248" s="31">
        <v>5</v>
      </c>
      <c r="J248" s="31">
        <v>20</v>
      </c>
      <c r="K248" s="830">
        <f>J248/5</f>
        <v>4</v>
      </c>
    </row>
    <row r="249" spans="1:12" ht="15" customHeight="1">
      <c r="A249" s="1250"/>
      <c r="B249" s="1250"/>
      <c r="C249" s="138" t="s">
        <v>51</v>
      </c>
      <c r="D249" s="138" t="s">
        <v>5486</v>
      </c>
      <c r="E249" s="138" t="s">
        <v>5487</v>
      </c>
      <c r="F249" s="138"/>
      <c r="G249" s="229">
        <v>5</v>
      </c>
      <c r="H249" s="241">
        <v>5</v>
      </c>
      <c r="I249" s="31">
        <v>5</v>
      </c>
      <c r="J249" s="31">
        <v>20</v>
      </c>
      <c r="K249" s="830">
        <f>20/5</f>
        <v>4</v>
      </c>
    </row>
    <row r="250" spans="1:12" ht="15" customHeight="1">
      <c r="A250" s="438" t="s">
        <v>5488</v>
      </c>
      <c r="B250" s="228" t="s">
        <v>5489</v>
      </c>
      <c r="C250" s="138" t="s">
        <v>51</v>
      </c>
      <c r="D250" s="138" t="s">
        <v>5490</v>
      </c>
      <c r="E250" s="138" t="s">
        <v>5420</v>
      </c>
      <c r="F250" s="138"/>
      <c r="G250" s="229">
        <v>3</v>
      </c>
      <c r="H250" s="241">
        <v>3</v>
      </c>
      <c r="I250" s="31">
        <v>3</v>
      </c>
      <c r="J250" s="31">
        <v>10</v>
      </c>
      <c r="K250" s="830">
        <f t="shared" ref="K250:K251" si="14">J250/3</f>
        <v>3.3333333333333335</v>
      </c>
    </row>
    <row r="251" spans="1:12" ht="15" customHeight="1">
      <c r="A251" s="91" t="s">
        <v>475</v>
      </c>
      <c r="B251" s="256" t="s">
        <v>474</v>
      </c>
      <c r="C251" s="99" t="s">
        <v>51</v>
      </c>
      <c r="D251" s="134" t="s">
        <v>5258</v>
      </c>
      <c r="E251" s="99" t="s">
        <v>5491</v>
      </c>
      <c r="F251" s="238" t="s">
        <v>5260</v>
      </c>
      <c r="G251" s="94">
        <v>3</v>
      </c>
      <c r="H251" s="94">
        <v>3</v>
      </c>
      <c r="I251" s="94">
        <v>3</v>
      </c>
      <c r="J251" s="385">
        <v>10</v>
      </c>
      <c r="K251" s="114">
        <f t="shared" si="14"/>
        <v>3.3333333333333335</v>
      </c>
      <c r="L251" s="338" t="s">
        <v>547</v>
      </c>
    </row>
    <row r="252" spans="1:12" ht="15" customHeight="1">
      <c r="A252" s="91" t="s">
        <v>2273</v>
      </c>
      <c r="B252" s="256" t="s">
        <v>2274</v>
      </c>
      <c r="C252" s="99" t="s">
        <v>51</v>
      </c>
      <c r="D252" s="134" t="s">
        <v>5261</v>
      </c>
      <c r="E252" s="465" t="s">
        <v>5262</v>
      </c>
      <c r="F252" s="238" t="s">
        <v>5263</v>
      </c>
      <c r="G252" s="94">
        <v>7</v>
      </c>
      <c r="H252" s="94">
        <v>7</v>
      </c>
      <c r="I252" s="94">
        <v>7</v>
      </c>
      <c r="J252" s="385">
        <v>20</v>
      </c>
      <c r="K252" s="114">
        <f>J252/7</f>
        <v>2.8571428571428572</v>
      </c>
      <c r="L252" s="338" t="s">
        <v>547</v>
      </c>
    </row>
    <row r="253" spans="1:12" ht="15" customHeight="1">
      <c r="A253" s="91" t="s">
        <v>5492</v>
      </c>
      <c r="B253" s="256" t="s">
        <v>5493</v>
      </c>
      <c r="C253" s="99" t="s">
        <v>51</v>
      </c>
      <c r="D253" s="134" t="s">
        <v>5494</v>
      </c>
      <c r="E253" s="465" t="s">
        <v>5495</v>
      </c>
      <c r="F253" s="238" t="s">
        <v>5496</v>
      </c>
      <c r="G253" s="94">
        <v>1</v>
      </c>
      <c r="H253" s="94">
        <v>1</v>
      </c>
      <c r="I253" s="94">
        <v>2</v>
      </c>
      <c r="J253" s="385">
        <v>20</v>
      </c>
      <c r="K253" s="114">
        <v>20</v>
      </c>
      <c r="L253" s="338" t="s">
        <v>547</v>
      </c>
    </row>
    <row r="254" spans="1:12" ht="15" customHeight="1">
      <c r="A254" s="134" t="s">
        <v>2548</v>
      </c>
      <c r="B254" s="399" t="s">
        <v>2562</v>
      </c>
      <c r="C254" s="92" t="s">
        <v>51</v>
      </c>
      <c r="D254" s="399" t="s">
        <v>5497</v>
      </c>
      <c r="E254" s="150" t="s">
        <v>5498</v>
      </c>
      <c r="F254" s="399" t="s">
        <v>5499</v>
      </c>
      <c r="G254" s="133"/>
      <c r="H254" s="500">
        <v>1</v>
      </c>
      <c r="I254" s="500">
        <v>1</v>
      </c>
      <c r="J254" s="500">
        <v>20</v>
      </c>
      <c r="K254" s="500">
        <v>20</v>
      </c>
      <c r="L254" s="338" t="s">
        <v>563</v>
      </c>
    </row>
    <row r="255" spans="1:12" ht="15" customHeight="1">
      <c r="A255" s="478" t="s">
        <v>5500</v>
      </c>
      <c r="B255" s="478" t="s">
        <v>2586</v>
      </c>
      <c r="C255" s="479" t="s">
        <v>51</v>
      </c>
      <c r="D255" s="162" t="s">
        <v>5501</v>
      </c>
      <c r="E255" s="365" t="s">
        <v>5502</v>
      </c>
      <c r="F255" s="162" t="s">
        <v>5503</v>
      </c>
      <c r="G255" s="737">
        <v>9</v>
      </c>
      <c r="H255" s="831">
        <v>6</v>
      </c>
      <c r="I255" s="18">
        <v>9</v>
      </c>
      <c r="J255" s="18">
        <v>10</v>
      </c>
      <c r="K255" s="832">
        <f>J255/G255</f>
        <v>1.1111111111111112</v>
      </c>
      <c r="L255" s="338" t="s">
        <v>580</v>
      </c>
    </row>
    <row r="256" spans="1:12" ht="15" customHeight="1">
      <c r="A256" s="134" t="s">
        <v>5504</v>
      </c>
      <c r="B256" s="99" t="s">
        <v>5505</v>
      </c>
      <c r="C256" s="99" t="s">
        <v>51</v>
      </c>
      <c r="D256" s="133" t="s">
        <v>5506</v>
      </c>
      <c r="E256" s="133" t="s">
        <v>5507</v>
      </c>
      <c r="F256" s="133" t="s">
        <v>5508</v>
      </c>
      <c r="G256" s="133">
        <v>1</v>
      </c>
      <c r="H256" s="495">
        <v>1</v>
      </c>
      <c r="I256" s="789">
        <v>2</v>
      </c>
      <c r="J256" s="789">
        <v>10</v>
      </c>
      <c r="K256" s="789">
        <v>10</v>
      </c>
      <c r="L256" s="338" t="s">
        <v>592</v>
      </c>
    </row>
    <row r="257" spans="1:12" ht="15" customHeight="1">
      <c r="A257" s="133" t="s">
        <v>2678</v>
      </c>
      <c r="B257" s="133" t="s">
        <v>2679</v>
      </c>
      <c r="C257" s="133" t="s">
        <v>51</v>
      </c>
      <c r="D257" s="133" t="s">
        <v>5509</v>
      </c>
      <c r="E257" s="833" t="s">
        <v>5510</v>
      </c>
      <c r="F257" s="133" t="s">
        <v>5511</v>
      </c>
      <c r="G257" s="133">
        <v>2</v>
      </c>
      <c r="H257" s="586">
        <v>1</v>
      </c>
      <c r="I257" s="834">
        <v>3</v>
      </c>
      <c r="J257" s="834">
        <v>20</v>
      </c>
      <c r="K257" s="835">
        <f t="shared" ref="K257:K269" si="15">20/2</f>
        <v>10</v>
      </c>
      <c r="L257" s="338" t="s">
        <v>608</v>
      </c>
    </row>
    <row r="258" spans="1:12" ht="15" customHeight="1">
      <c r="A258" s="133" t="s">
        <v>2678</v>
      </c>
      <c r="B258" s="133" t="s">
        <v>2679</v>
      </c>
      <c r="C258" s="133" t="s">
        <v>51</v>
      </c>
      <c r="D258" s="133" t="s">
        <v>5512</v>
      </c>
      <c r="E258" s="833" t="s">
        <v>5513</v>
      </c>
      <c r="F258" s="133" t="s">
        <v>4963</v>
      </c>
      <c r="G258" s="133">
        <v>2</v>
      </c>
      <c r="H258" s="586">
        <v>1</v>
      </c>
      <c r="I258" s="834">
        <v>3</v>
      </c>
      <c r="J258" s="834">
        <v>20</v>
      </c>
      <c r="K258" s="835">
        <f t="shared" si="15"/>
        <v>10</v>
      </c>
      <c r="L258" s="338" t="s">
        <v>608</v>
      </c>
    </row>
    <row r="259" spans="1:12" ht="15" customHeight="1">
      <c r="A259" s="133" t="s">
        <v>2678</v>
      </c>
      <c r="B259" s="133" t="s">
        <v>2679</v>
      </c>
      <c r="C259" s="133" t="s">
        <v>51</v>
      </c>
      <c r="D259" s="133" t="s">
        <v>5514</v>
      </c>
      <c r="E259" s="833" t="s">
        <v>5515</v>
      </c>
      <c r="F259" s="133" t="s">
        <v>4963</v>
      </c>
      <c r="G259" s="133">
        <v>2</v>
      </c>
      <c r="H259" s="586">
        <v>1</v>
      </c>
      <c r="I259" s="834">
        <v>3</v>
      </c>
      <c r="J259" s="834">
        <v>20</v>
      </c>
      <c r="K259" s="835">
        <f t="shared" si="15"/>
        <v>10</v>
      </c>
      <c r="L259" s="338" t="s">
        <v>608</v>
      </c>
    </row>
    <row r="260" spans="1:12" ht="15" customHeight="1">
      <c r="A260" s="133" t="s">
        <v>2678</v>
      </c>
      <c r="B260" s="133" t="s">
        <v>2679</v>
      </c>
      <c r="C260" s="133" t="s">
        <v>51</v>
      </c>
      <c r="D260" s="133" t="s">
        <v>5516</v>
      </c>
      <c r="E260" s="833" t="s">
        <v>5517</v>
      </c>
      <c r="F260" s="133" t="s">
        <v>4963</v>
      </c>
      <c r="G260" s="133">
        <v>2</v>
      </c>
      <c r="H260" s="586">
        <v>1</v>
      </c>
      <c r="I260" s="834">
        <v>3</v>
      </c>
      <c r="J260" s="834">
        <v>20</v>
      </c>
      <c r="K260" s="835">
        <f t="shared" si="15"/>
        <v>10</v>
      </c>
      <c r="L260" s="338" t="s">
        <v>608</v>
      </c>
    </row>
    <row r="261" spans="1:12" ht="15" customHeight="1">
      <c r="A261" s="133" t="s">
        <v>2678</v>
      </c>
      <c r="B261" s="133" t="s">
        <v>2679</v>
      </c>
      <c r="C261" s="133" t="s">
        <v>51</v>
      </c>
      <c r="D261" s="133" t="s">
        <v>5518</v>
      </c>
      <c r="E261" s="833" t="s">
        <v>5519</v>
      </c>
      <c r="F261" s="133" t="s">
        <v>4963</v>
      </c>
      <c r="G261" s="133">
        <v>2</v>
      </c>
      <c r="H261" s="586">
        <v>1</v>
      </c>
      <c r="I261" s="834">
        <v>3</v>
      </c>
      <c r="J261" s="834">
        <v>20</v>
      </c>
      <c r="K261" s="835">
        <f t="shared" si="15"/>
        <v>10</v>
      </c>
      <c r="L261" s="338" t="s">
        <v>608</v>
      </c>
    </row>
    <row r="262" spans="1:12" ht="15" customHeight="1">
      <c r="A262" s="133" t="s">
        <v>2678</v>
      </c>
      <c r="B262" s="133" t="s">
        <v>2679</v>
      </c>
      <c r="C262" s="133" t="s">
        <v>51</v>
      </c>
      <c r="D262" s="133" t="s">
        <v>5520</v>
      </c>
      <c r="E262" s="833" t="s">
        <v>5521</v>
      </c>
      <c r="F262" s="133" t="s">
        <v>5522</v>
      </c>
      <c r="G262" s="133">
        <v>2</v>
      </c>
      <c r="H262" s="586">
        <v>1</v>
      </c>
      <c r="I262" s="834">
        <v>3</v>
      </c>
      <c r="J262" s="834">
        <v>20</v>
      </c>
      <c r="K262" s="835">
        <f t="shared" si="15"/>
        <v>10</v>
      </c>
      <c r="L262" s="338" t="s">
        <v>608</v>
      </c>
    </row>
    <row r="263" spans="1:12" ht="15" customHeight="1">
      <c r="A263" s="133" t="s">
        <v>2678</v>
      </c>
      <c r="B263" s="133" t="s">
        <v>2679</v>
      </c>
      <c r="C263" s="133" t="s">
        <v>51</v>
      </c>
      <c r="D263" s="133" t="s">
        <v>5523</v>
      </c>
      <c r="E263" s="833" t="s">
        <v>5524</v>
      </c>
      <c r="F263" s="133" t="s">
        <v>4963</v>
      </c>
      <c r="G263" s="133">
        <v>2</v>
      </c>
      <c r="H263" s="586">
        <v>1</v>
      </c>
      <c r="I263" s="834">
        <v>3</v>
      </c>
      <c r="J263" s="834">
        <v>20</v>
      </c>
      <c r="K263" s="835">
        <f t="shared" si="15"/>
        <v>10</v>
      </c>
      <c r="L263" s="338" t="s">
        <v>608</v>
      </c>
    </row>
    <row r="264" spans="1:12" ht="15" customHeight="1">
      <c r="A264" s="133" t="s">
        <v>2678</v>
      </c>
      <c r="B264" s="133" t="s">
        <v>2679</v>
      </c>
      <c r="C264" s="133" t="s">
        <v>51</v>
      </c>
      <c r="D264" s="133" t="s">
        <v>5525</v>
      </c>
      <c r="E264" s="833" t="s">
        <v>5526</v>
      </c>
      <c r="F264" s="133" t="s">
        <v>4963</v>
      </c>
      <c r="G264" s="133">
        <v>2</v>
      </c>
      <c r="H264" s="586">
        <v>1</v>
      </c>
      <c r="I264" s="834">
        <v>3</v>
      </c>
      <c r="J264" s="834">
        <v>20</v>
      </c>
      <c r="K264" s="835">
        <f t="shared" si="15"/>
        <v>10</v>
      </c>
      <c r="L264" s="338" t="s">
        <v>608</v>
      </c>
    </row>
    <row r="265" spans="1:12" ht="15" customHeight="1">
      <c r="A265" s="133" t="s">
        <v>2678</v>
      </c>
      <c r="B265" s="133" t="s">
        <v>2679</v>
      </c>
      <c r="C265" s="133" t="s">
        <v>51</v>
      </c>
      <c r="D265" s="133" t="s">
        <v>5527</v>
      </c>
      <c r="E265" s="833" t="s">
        <v>5528</v>
      </c>
      <c r="F265" s="133" t="s">
        <v>4963</v>
      </c>
      <c r="G265" s="133">
        <v>2</v>
      </c>
      <c r="H265" s="586">
        <v>1</v>
      </c>
      <c r="I265" s="834">
        <v>3</v>
      </c>
      <c r="J265" s="834">
        <v>20</v>
      </c>
      <c r="K265" s="835">
        <f t="shared" si="15"/>
        <v>10</v>
      </c>
      <c r="L265" s="338" t="s">
        <v>608</v>
      </c>
    </row>
    <row r="266" spans="1:12" ht="15" customHeight="1">
      <c r="A266" s="133" t="s">
        <v>2678</v>
      </c>
      <c r="B266" s="133" t="s">
        <v>2679</v>
      </c>
      <c r="C266" s="133" t="s">
        <v>51</v>
      </c>
      <c r="D266" s="133" t="s">
        <v>5529</v>
      </c>
      <c r="E266" s="833" t="s">
        <v>5530</v>
      </c>
      <c r="F266" s="133" t="s">
        <v>4963</v>
      </c>
      <c r="G266" s="133">
        <v>2</v>
      </c>
      <c r="H266" s="586">
        <v>1</v>
      </c>
      <c r="I266" s="834">
        <v>3</v>
      </c>
      <c r="J266" s="834">
        <v>20</v>
      </c>
      <c r="K266" s="835">
        <f t="shared" si="15"/>
        <v>10</v>
      </c>
      <c r="L266" s="338" t="s">
        <v>608</v>
      </c>
    </row>
    <row r="267" spans="1:12" ht="15" customHeight="1">
      <c r="A267" s="133" t="s">
        <v>2678</v>
      </c>
      <c r="B267" s="133" t="s">
        <v>2679</v>
      </c>
      <c r="C267" s="133" t="s">
        <v>51</v>
      </c>
      <c r="D267" s="133" t="s">
        <v>5531</v>
      </c>
      <c r="E267" s="833" t="s">
        <v>5532</v>
      </c>
      <c r="F267" s="133" t="s">
        <v>4963</v>
      </c>
      <c r="G267" s="133">
        <v>2</v>
      </c>
      <c r="H267" s="586">
        <v>1</v>
      </c>
      <c r="I267" s="834">
        <v>3</v>
      </c>
      <c r="J267" s="834">
        <v>20</v>
      </c>
      <c r="K267" s="835">
        <f t="shared" si="15"/>
        <v>10</v>
      </c>
      <c r="L267" s="338" t="s">
        <v>608</v>
      </c>
    </row>
    <row r="268" spans="1:12" ht="15" customHeight="1">
      <c r="A268" s="133" t="s">
        <v>2678</v>
      </c>
      <c r="B268" s="133" t="s">
        <v>2679</v>
      </c>
      <c r="C268" s="133" t="s">
        <v>51</v>
      </c>
      <c r="D268" s="133" t="s">
        <v>5533</v>
      </c>
      <c r="E268" s="833" t="s">
        <v>5534</v>
      </c>
      <c r="F268" s="133" t="s">
        <v>4963</v>
      </c>
      <c r="G268" s="133">
        <v>2</v>
      </c>
      <c r="H268" s="586">
        <v>1</v>
      </c>
      <c r="I268" s="834">
        <v>3</v>
      </c>
      <c r="J268" s="834">
        <v>20</v>
      </c>
      <c r="K268" s="835">
        <f t="shared" si="15"/>
        <v>10</v>
      </c>
      <c r="L268" s="338" t="s">
        <v>608</v>
      </c>
    </row>
    <row r="269" spans="1:12" ht="15" customHeight="1">
      <c r="A269" s="133" t="s">
        <v>2678</v>
      </c>
      <c r="B269" s="133" t="s">
        <v>2679</v>
      </c>
      <c r="C269" s="133" t="s">
        <v>51</v>
      </c>
      <c r="D269" s="133" t="s">
        <v>5535</v>
      </c>
      <c r="E269" s="833" t="s">
        <v>5536</v>
      </c>
      <c r="F269" s="133" t="s">
        <v>4963</v>
      </c>
      <c r="G269" s="133">
        <v>2</v>
      </c>
      <c r="H269" s="586">
        <v>1</v>
      </c>
      <c r="I269" s="834">
        <v>3</v>
      </c>
      <c r="J269" s="834">
        <v>20</v>
      </c>
      <c r="K269" s="835">
        <f t="shared" si="15"/>
        <v>10</v>
      </c>
      <c r="L269" s="338" t="s">
        <v>608</v>
      </c>
    </row>
    <row r="270" spans="1:12" ht="15" customHeight="1">
      <c r="A270" s="133" t="s">
        <v>2644</v>
      </c>
      <c r="B270" s="133" t="s">
        <v>2645</v>
      </c>
      <c r="C270" s="133" t="s">
        <v>51</v>
      </c>
      <c r="D270" s="133" t="s">
        <v>5537</v>
      </c>
      <c r="E270" s="833" t="s">
        <v>5538</v>
      </c>
      <c r="F270" s="133" t="s">
        <v>4963</v>
      </c>
      <c r="G270" s="133">
        <v>3</v>
      </c>
      <c r="H270" s="586">
        <v>2</v>
      </c>
      <c r="I270" s="834">
        <v>3</v>
      </c>
      <c r="J270" s="834">
        <v>20</v>
      </c>
      <c r="K270" s="835">
        <f t="shared" ref="K270:K278" si="16">20/3</f>
        <v>6.666666666666667</v>
      </c>
      <c r="L270" s="338" t="s">
        <v>608</v>
      </c>
    </row>
    <row r="271" spans="1:12" ht="15" customHeight="1">
      <c r="A271" s="133" t="s">
        <v>2644</v>
      </c>
      <c r="B271" s="133" t="s">
        <v>2645</v>
      </c>
      <c r="C271" s="133" t="s">
        <v>51</v>
      </c>
      <c r="D271" s="133" t="s">
        <v>5539</v>
      </c>
      <c r="E271" s="833" t="s">
        <v>5540</v>
      </c>
      <c r="F271" s="133" t="s">
        <v>4963</v>
      </c>
      <c r="G271" s="133">
        <v>3</v>
      </c>
      <c r="H271" s="586">
        <v>2</v>
      </c>
      <c r="I271" s="834">
        <v>3</v>
      </c>
      <c r="J271" s="834">
        <v>20</v>
      </c>
      <c r="K271" s="835">
        <f t="shared" si="16"/>
        <v>6.666666666666667</v>
      </c>
      <c r="L271" s="338" t="s">
        <v>608</v>
      </c>
    </row>
    <row r="272" spans="1:12" ht="15" customHeight="1">
      <c r="A272" s="133" t="s">
        <v>2644</v>
      </c>
      <c r="B272" s="133" t="s">
        <v>2645</v>
      </c>
      <c r="C272" s="133" t="s">
        <v>51</v>
      </c>
      <c r="D272" s="133" t="s">
        <v>5541</v>
      </c>
      <c r="E272" s="833" t="s">
        <v>5542</v>
      </c>
      <c r="F272" s="133" t="s">
        <v>4963</v>
      </c>
      <c r="G272" s="133">
        <v>3</v>
      </c>
      <c r="H272" s="586">
        <v>2</v>
      </c>
      <c r="I272" s="834">
        <v>3</v>
      </c>
      <c r="J272" s="834">
        <v>20</v>
      </c>
      <c r="K272" s="835">
        <f t="shared" si="16"/>
        <v>6.666666666666667</v>
      </c>
      <c r="L272" s="338" t="s">
        <v>608</v>
      </c>
    </row>
    <row r="273" spans="1:12" ht="15" customHeight="1">
      <c r="A273" s="133" t="s">
        <v>2644</v>
      </c>
      <c r="B273" s="133" t="s">
        <v>2645</v>
      </c>
      <c r="C273" s="133" t="s">
        <v>51</v>
      </c>
      <c r="D273" s="133" t="s">
        <v>5543</v>
      </c>
      <c r="E273" s="833" t="s">
        <v>5544</v>
      </c>
      <c r="F273" s="133" t="s">
        <v>4963</v>
      </c>
      <c r="G273" s="133">
        <v>3</v>
      </c>
      <c r="H273" s="586">
        <v>2</v>
      </c>
      <c r="I273" s="834">
        <v>3</v>
      </c>
      <c r="J273" s="834">
        <v>20</v>
      </c>
      <c r="K273" s="835">
        <f t="shared" si="16"/>
        <v>6.666666666666667</v>
      </c>
      <c r="L273" s="338" t="s">
        <v>608</v>
      </c>
    </row>
    <row r="274" spans="1:12" ht="15" customHeight="1">
      <c r="A274" s="133" t="s">
        <v>2644</v>
      </c>
      <c r="B274" s="133" t="s">
        <v>2645</v>
      </c>
      <c r="C274" s="133" t="s">
        <v>51</v>
      </c>
      <c r="D274" s="133" t="s">
        <v>5545</v>
      </c>
      <c r="E274" s="833" t="s">
        <v>5546</v>
      </c>
      <c r="F274" s="133" t="s">
        <v>5547</v>
      </c>
      <c r="G274" s="133">
        <v>3</v>
      </c>
      <c r="H274" s="586">
        <v>2</v>
      </c>
      <c r="I274" s="834">
        <v>3</v>
      </c>
      <c r="J274" s="834">
        <v>20</v>
      </c>
      <c r="K274" s="835">
        <f t="shared" si="16"/>
        <v>6.666666666666667</v>
      </c>
      <c r="L274" s="338" t="s">
        <v>608</v>
      </c>
    </row>
    <row r="275" spans="1:12" ht="15" customHeight="1">
      <c r="A275" s="133" t="s">
        <v>2644</v>
      </c>
      <c r="B275" s="133" t="s">
        <v>2645</v>
      </c>
      <c r="C275" s="133" t="s">
        <v>51</v>
      </c>
      <c r="D275" s="133" t="s">
        <v>5548</v>
      </c>
      <c r="E275" s="833" t="s">
        <v>5549</v>
      </c>
      <c r="F275" s="133" t="s">
        <v>4963</v>
      </c>
      <c r="G275" s="133">
        <v>3</v>
      </c>
      <c r="H275" s="586">
        <v>2</v>
      </c>
      <c r="I275" s="834">
        <v>3</v>
      </c>
      <c r="J275" s="834">
        <v>20</v>
      </c>
      <c r="K275" s="835">
        <f t="shared" si="16"/>
        <v>6.666666666666667</v>
      </c>
      <c r="L275" s="338" t="s">
        <v>608</v>
      </c>
    </row>
    <row r="276" spans="1:12" ht="15" customHeight="1">
      <c r="A276" s="133" t="s">
        <v>2644</v>
      </c>
      <c r="B276" s="133" t="s">
        <v>2645</v>
      </c>
      <c r="C276" s="133" t="s">
        <v>51</v>
      </c>
      <c r="D276" s="133" t="s">
        <v>5550</v>
      </c>
      <c r="E276" s="833" t="s">
        <v>5551</v>
      </c>
      <c r="F276" s="133" t="s">
        <v>4963</v>
      </c>
      <c r="G276" s="133">
        <v>3</v>
      </c>
      <c r="H276" s="586">
        <v>2</v>
      </c>
      <c r="I276" s="834">
        <v>3</v>
      </c>
      <c r="J276" s="834">
        <v>20</v>
      </c>
      <c r="K276" s="835">
        <f t="shared" si="16"/>
        <v>6.666666666666667</v>
      </c>
      <c r="L276" s="338" t="s">
        <v>608</v>
      </c>
    </row>
    <row r="277" spans="1:12" ht="15" customHeight="1">
      <c r="A277" s="133" t="s">
        <v>2644</v>
      </c>
      <c r="B277" s="133" t="s">
        <v>2645</v>
      </c>
      <c r="C277" s="133" t="s">
        <v>51</v>
      </c>
      <c r="D277" s="133" t="s">
        <v>5552</v>
      </c>
      <c r="E277" s="833" t="s">
        <v>5553</v>
      </c>
      <c r="F277" s="133" t="s">
        <v>4963</v>
      </c>
      <c r="G277" s="133">
        <v>3</v>
      </c>
      <c r="H277" s="586">
        <v>2</v>
      </c>
      <c r="I277" s="834">
        <v>3</v>
      </c>
      <c r="J277" s="834">
        <v>20</v>
      </c>
      <c r="K277" s="835">
        <f t="shared" si="16"/>
        <v>6.666666666666667</v>
      </c>
      <c r="L277" s="338" t="s">
        <v>608</v>
      </c>
    </row>
    <row r="278" spans="1:12" ht="15" customHeight="1">
      <c r="A278" s="133" t="s">
        <v>2644</v>
      </c>
      <c r="B278" s="133" t="s">
        <v>2645</v>
      </c>
      <c r="C278" s="133" t="s">
        <v>51</v>
      </c>
      <c r="D278" s="133" t="s">
        <v>5554</v>
      </c>
      <c r="E278" s="833" t="s">
        <v>5555</v>
      </c>
      <c r="F278" s="133" t="s">
        <v>4963</v>
      </c>
      <c r="G278" s="133">
        <v>3</v>
      </c>
      <c r="H278" s="586">
        <v>2</v>
      </c>
      <c r="I278" s="834">
        <v>3</v>
      </c>
      <c r="J278" s="834">
        <v>20</v>
      </c>
      <c r="K278" s="835">
        <f t="shared" si="16"/>
        <v>6.666666666666667</v>
      </c>
      <c r="L278" s="338" t="s">
        <v>608</v>
      </c>
    </row>
    <row r="279" spans="1:12" ht="15" customHeight="1">
      <c r="A279" s="133" t="s">
        <v>2630</v>
      </c>
      <c r="B279" s="133" t="s">
        <v>2631</v>
      </c>
      <c r="C279" s="133" t="s">
        <v>51</v>
      </c>
      <c r="D279" s="133" t="s">
        <v>5556</v>
      </c>
      <c r="E279" s="833" t="s">
        <v>5557</v>
      </c>
      <c r="F279" s="133" t="s">
        <v>5558</v>
      </c>
      <c r="G279" s="133">
        <v>9</v>
      </c>
      <c r="H279" s="133">
        <v>1</v>
      </c>
      <c r="I279" s="133">
        <v>9</v>
      </c>
      <c r="J279" s="836">
        <v>20</v>
      </c>
      <c r="K279" s="117">
        <f t="shared" ref="K279:K283" si="17">20/9</f>
        <v>2.2222222222222223</v>
      </c>
      <c r="L279" s="338" t="s">
        <v>608</v>
      </c>
    </row>
    <row r="280" spans="1:12" ht="15" customHeight="1">
      <c r="A280" s="133" t="s">
        <v>2630</v>
      </c>
      <c r="B280" s="133" t="s">
        <v>2631</v>
      </c>
      <c r="C280" s="133" t="s">
        <v>51</v>
      </c>
      <c r="D280" s="133" t="s">
        <v>5559</v>
      </c>
      <c r="E280" s="833" t="s">
        <v>5560</v>
      </c>
      <c r="F280" s="133" t="s">
        <v>4963</v>
      </c>
      <c r="G280" s="133">
        <v>9</v>
      </c>
      <c r="H280" s="133">
        <v>1</v>
      </c>
      <c r="I280" s="133">
        <v>9</v>
      </c>
      <c r="J280" s="836">
        <v>20</v>
      </c>
      <c r="K280" s="117">
        <f t="shared" si="17"/>
        <v>2.2222222222222223</v>
      </c>
      <c r="L280" s="338" t="s">
        <v>608</v>
      </c>
    </row>
    <row r="281" spans="1:12" ht="15" customHeight="1">
      <c r="A281" s="133" t="s">
        <v>2630</v>
      </c>
      <c r="B281" s="133" t="s">
        <v>2631</v>
      </c>
      <c r="C281" s="133" t="s">
        <v>51</v>
      </c>
      <c r="D281" s="133" t="s">
        <v>5561</v>
      </c>
      <c r="E281" s="833" t="s">
        <v>5562</v>
      </c>
      <c r="F281" s="133" t="s">
        <v>4963</v>
      </c>
      <c r="G281" s="133">
        <v>9</v>
      </c>
      <c r="H281" s="133">
        <v>1</v>
      </c>
      <c r="I281" s="133">
        <v>9</v>
      </c>
      <c r="J281" s="836">
        <v>20</v>
      </c>
      <c r="K281" s="117">
        <f t="shared" si="17"/>
        <v>2.2222222222222223</v>
      </c>
      <c r="L281" s="338" t="s">
        <v>608</v>
      </c>
    </row>
    <row r="282" spans="1:12" ht="15" customHeight="1">
      <c r="A282" s="133" t="s">
        <v>2630</v>
      </c>
      <c r="B282" s="133" t="s">
        <v>2631</v>
      </c>
      <c r="C282" s="133" t="s">
        <v>51</v>
      </c>
      <c r="D282" s="133" t="s">
        <v>5563</v>
      </c>
      <c r="E282" s="833" t="s">
        <v>5564</v>
      </c>
      <c r="F282" s="133" t="s">
        <v>4963</v>
      </c>
      <c r="G282" s="133">
        <v>9</v>
      </c>
      <c r="H282" s="133">
        <v>1</v>
      </c>
      <c r="I282" s="133">
        <v>9</v>
      </c>
      <c r="J282" s="836">
        <v>20</v>
      </c>
      <c r="K282" s="117">
        <f t="shared" si="17"/>
        <v>2.2222222222222223</v>
      </c>
      <c r="L282" s="338" t="s">
        <v>608</v>
      </c>
    </row>
    <row r="283" spans="1:12" ht="15" customHeight="1">
      <c r="A283" s="133" t="s">
        <v>2630</v>
      </c>
      <c r="B283" s="133" t="s">
        <v>2631</v>
      </c>
      <c r="C283" s="133" t="s">
        <v>51</v>
      </c>
      <c r="D283" s="133" t="s">
        <v>5565</v>
      </c>
      <c r="E283" s="833" t="s">
        <v>5566</v>
      </c>
      <c r="F283" s="133" t="s">
        <v>4963</v>
      </c>
      <c r="G283" s="133">
        <v>9</v>
      </c>
      <c r="H283" s="133">
        <v>1</v>
      </c>
      <c r="I283" s="133">
        <v>9</v>
      </c>
      <c r="J283" s="836">
        <v>20</v>
      </c>
      <c r="K283" s="117">
        <f t="shared" si="17"/>
        <v>2.2222222222222223</v>
      </c>
      <c r="L283" s="338" t="s">
        <v>608</v>
      </c>
    </row>
    <row r="284" spans="1:12" ht="15" customHeight="1">
      <c r="A284" s="133" t="s">
        <v>2730</v>
      </c>
      <c r="B284" s="133" t="s">
        <v>2731</v>
      </c>
      <c r="C284" s="133" t="s">
        <v>51</v>
      </c>
      <c r="D284" s="133" t="s">
        <v>5567</v>
      </c>
      <c r="E284" s="833" t="s">
        <v>5568</v>
      </c>
      <c r="F284" s="133" t="s">
        <v>4963</v>
      </c>
      <c r="G284" s="133">
        <v>2</v>
      </c>
      <c r="H284" s="586">
        <v>2</v>
      </c>
      <c r="I284" s="133">
        <v>2</v>
      </c>
      <c r="J284" s="836">
        <v>20</v>
      </c>
      <c r="K284" s="117">
        <f>20/2</f>
        <v>10</v>
      </c>
      <c r="L284" s="338" t="s">
        <v>608</v>
      </c>
    </row>
    <row r="285" spans="1:12" ht="15" customHeight="1">
      <c r="A285" s="133" t="s">
        <v>2644</v>
      </c>
      <c r="B285" s="133" t="s">
        <v>5569</v>
      </c>
      <c r="C285" s="133" t="s">
        <v>51</v>
      </c>
      <c r="D285" s="133" t="s">
        <v>5570</v>
      </c>
      <c r="E285" s="833" t="s">
        <v>5571</v>
      </c>
      <c r="F285" s="133" t="s">
        <v>4963</v>
      </c>
      <c r="G285" s="133">
        <v>3</v>
      </c>
      <c r="H285" s="586">
        <v>2</v>
      </c>
      <c r="I285" s="133">
        <v>3</v>
      </c>
      <c r="J285" s="836">
        <v>20</v>
      </c>
      <c r="K285" s="117">
        <f>20/3</f>
        <v>6.666666666666667</v>
      </c>
      <c r="L285" s="338" t="s">
        <v>608</v>
      </c>
    </row>
    <row r="286" spans="1:12" ht="15" customHeight="1">
      <c r="A286" s="133" t="s">
        <v>2644</v>
      </c>
      <c r="B286" s="133" t="s">
        <v>5572</v>
      </c>
      <c r="C286" s="133" t="s">
        <v>51</v>
      </c>
      <c r="D286" s="133" t="s">
        <v>5573</v>
      </c>
      <c r="E286" s="833" t="s">
        <v>5574</v>
      </c>
      <c r="F286" s="133" t="s">
        <v>4963</v>
      </c>
      <c r="G286" s="133">
        <v>3</v>
      </c>
      <c r="H286" s="586">
        <v>2</v>
      </c>
      <c r="I286" s="133">
        <v>3</v>
      </c>
      <c r="J286" s="836">
        <v>20</v>
      </c>
      <c r="K286" s="117">
        <f>20/2</f>
        <v>10</v>
      </c>
      <c r="L286" s="338" t="s">
        <v>608</v>
      </c>
    </row>
    <row r="287" spans="1:12" ht="15" customHeight="1">
      <c r="A287" s="133" t="s">
        <v>5575</v>
      </c>
      <c r="B287" s="133" t="s">
        <v>5576</v>
      </c>
      <c r="C287" s="133" t="s">
        <v>51</v>
      </c>
      <c r="D287" s="133" t="s">
        <v>5577</v>
      </c>
      <c r="E287" s="833" t="s">
        <v>5578</v>
      </c>
      <c r="F287" s="133" t="s">
        <v>4963</v>
      </c>
      <c r="G287" s="133">
        <v>4</v>
      </c>
      <c r="H287" s="586">
        <v>3</v>
      </c>
      <c r="I287" s="133">
        <v>4</v>
      </c>
      <c r="J287" s="836">
        <v>20</v>
      </c>
      <c r="K287" s="117">
        <f t="shared" ref="K287:K289" si="18">20/4</f>
        <v>5</v>
      </c>
      <c r="L287" s="338" t="s">
        <v>608</v>
      </c>
    </row>
    <row r="288" spans="1:12" ht="15" customHeight="1">
      <c r="A288" s="133" t="s">
        <v>5575</v>
      </c>
      <c r="B288" s="133" t="s">
        <v>5576</v>
      </c>
      <c r="C288" s="133" t="s">
        <v>51</v>
      </c>
      <c r="D288" s="133" t="s">
        <v>5579</v>
      </c>
      <c r="E288" s="833" t="s">
        <v>5580</v>
      </c>
      <c r="F288" s="133" t="s">
        <v>4963</v>
      </c>
      <c r="G288" s="133">
        <v>4</v>
      </c>
      <c r="H288" s="586">
        <v>3</v>
      </c>
      <c r="I288" s="133">
        <v>4</v>
      </c>
      <c r="J288" s="836">
        <v>20</v>
      </c>
      <c r="K288" s="117">
        <f t="shared" si="18"/>
        <v>5</v>
      </c>
      <c r="L288" s="338" t="s">
        <v>608</v>
      </c>
    </row>
    <row r="289" spans="1:26" ht="15" customHeight="1">
      <c r="A289" s="133" t="s">
        <v>5575</v>
      </c>
      <c r="B289" s="133" t="s">
        <v>5576</v>
      </c>
      <c r="C289" s="133" t="s">
        <v>51</v>
      </c>
      <c r="D289" s="133" t="s">
        <v>5581</v>
      </c>
      <c r="E289" s="833" t="s">
        <v>5582</v>
      </c>
      <c r="F289" s="133" t="s">
        <v>4963</v>
      </c>
      <c r="G289" s="133">
        <v>4</v>
      </c>
      <c r="H289" s="586">
        <v>3</v>
      </c>
      <c r="I289" s="133">
        <v>4</v>
      </c>
      <c r="J289" s="836">
        <v>20</v>
      </c>
      <c r="K289" s="117">
        <f t="shared" si="18"/>
        <v>5</v>
      </c>
      <c r="L289" s="338" t="s">
        <v>608</v>
      </c>
    </row>
    <row r="290" spans="1:26" ht="15" customHeight="1">
      <c r="A290" s="133" t="s">
        <v>5583</v>
      </c>
      <c r="B290" s="133" t="s">
        <v>5584</v>
      </c>
      <c r="C290" s="133" t="s">
        <v>51</v>
      </c>
      <c r="D290" s="133" t="s">
        <v>5585</v>
      </c>
      <c r="E290" s="833" t="s">
        <v>5586</v>
      </c>
      <c r="F290" s="133" t="s">
        <v>5522</v>
      </c>
      <c r="G290" s="133">
        <v>2</v>
      </c>
      <c r="H290" s="586">
        <v>2</v>
      </c>
      <c r="I290" s="834">
        <v>2</v>
      </c>
      <c r="J290" s="834">
        <v>20</v>
      </c>
      <c r="K290" s="835">
        <f t="shared" ref="K290:K291" si="19">20/2</f>
        <v>10</v>
      </c>
      <c r="L290" s="338" t="s">
        <v>608</v>
      </c>
    </row>
    <row r="291" spans="1:26" ht="15" customHeight="1">
      <c r="A291" s="133" t="s">
        <v>5583</v>
      </c>
      <c r="B291" s="133" t="s">
        <v>5584</v>
      </c>
      <c r="C291" s="133" t="s">
        <v>51</v>
      </c>
      <c r="D291" s="131" t="s">
        <v>5587</v>
      </c>
      <c r="E291" s="837" t="s">
        <v>5588</v>
      </c>
      <c r="F291" s="133" t="s">
        <v>4963</v>
      </c>
      <c r="G291" s="133">
        <v>2</v>
      </c>
      <c r="H291" s="586">
        <v>2</v>
      </c>
      <c r="I291" s="137">
        <v>2</v>
      </c>
      <c r="J291" s="137">
        <v>20</v>
      </c>
      <c r="K291" s="838">
        <f t="shared" si="19"/>
        <v>10</v>
      </c>
      <c r="L291" s="338" t="s">
        <v>608</v>
      </c>
    </row>
    <row r="292" spans="1:26" ht="15" customHeight="1">
      <c r="A292" s="138" t="s">
        <v>5589</v>
      </c>
      <c r="B292" s="138" t="s">
        <v>5590</v>
      </c>
      <c r="C292" s="138" t="s">
        <v>51</v>
      </c>
      <c r="D292" s="133" t="s">
        <v>5591</v>
      </c>
      <c r="E292" s="833" t="s">
        <v>5592</v>
      </c>
      <c r="F292" s="133" t="s">
        <v>4963</v>
      </c>
      <c r="G292" s="141">
        <v>3</v>
      </c>
      <c r="H292" s="586">
        <v>3</v>
      </c>
      <c r="I292" s="133">
        <v>3</v>
      </c>
      <c r="J292" s="133">
        <v>20</v>
      </c>
      <c r="K292" s="133">
        <f t="shared" ref="K292:K294" si="20">20/3</f>
        <v>6.666666666666667</v>
      </c>
      <c r="L292" s="338" t="s">
        <v>608</v>
      </c>
    </row>
    <row r="293" spans="1:26" ht="15" customHeight="1">
      <c r="A293" s="138" t="s">
        <v>5593</v>
      </c>
      <c r="B293" s="138" t="s">
        <v>5594</v>
      </c>
      <c r="C293" s="138" t="s">
        <v>51</v>
      </c>
      <c r="D293" s="133" t="s">
        <v>5595</v>
      </c>
      <c r="E293" s="130" t="s">
        <v>5596</v>
      </c>
      <c r="F293" s="133" t="s">
        <v>4963</v>
      </c>
      <c r="G293" s="141">
        <v>3</v>
      </c>
      <c r="H293" s="586">
        <v>2</v>
      </c>
      <c r="I293" s="839">
        <v>4</v>
      </c>
      <c r="J293" s="839">
        <v>20</v>
      </c>
      <c r="K293" s="839">
        <f t="shared" si="20"/>
        <v>6.666666666666667</v>
      </c>
      <c r="L293" s="338" t="s">
        <v>608</v>
      </c>
    </row>
    <row r="294" spans="1:26" ht="15" customHeight="1">
      <c r="A294" s="138" t="s">
        <v>5593</v>
      </c>
      <c r="B294" s="138" t="s">
        <v>5594</v>
      </c>
      <c r="C294" s="138" t="s">
        <v>51</v>
      </c>
      <c r="D294" s="133" t="s">
        <v>5597</v>
      </c>
      <c r="E294" s="130" t="s">
        <v>5598</v>
      </c>
      <c r="F294" s="133" t="s">
        <v>4963</v>
      </c>
      <c r="G294" s="141">
        <v>3</v>
      </c>
      <c r="H294" s="586">
        <v>2</v>
      </c>
      <c r="I294" s="839">
        <v>4</v>
      </c>
      <c r="J294" s="839">
        <v>20</v>
      </c>
      <c r="K294" s="839">
        <f t="shared" si="20"/>
        <v>6.666666666666667</v>
      </c>
      <c r="L294" s="338" t="s">
        <v>608</v>
      </c>
    </row>
    <row r="295" spans="1:26" ht="15" customHeight="1">
      <c r="A295" s="138" t="s">
        <v>5599</v>
      </c>
      <c r="B295" s="138" t="s">
        <v>5600</v>
      </c>
      <c r="C295" s="138" t="s">
        <v>51</v>
      </c>
      <c r="D295" s="133" t="s">
        <v>5601</v>
      </c>
      <c r="E295" s="130" t="s">
        <v>5602</v>
      </c>
      <c r="F295" s="133" t="s">
        <v>4963</v>
      </c>
      <c r="G295" s="141">
        <v>2</v>
      </c>
      <c r="H295" s="586">
        <v>1</v>
      </c>
      <c r="I295" s="839">
        <v>3</v>
      </c>
      <c r="J295" s="839">
        <v>20</v>
      </c>
      <c r="K295" s="839">
        <f>20/2</f>
        <v>10</v>
      </c>
      <c r="L295" s="338" t="s">
        <v>608</v>
      </c>
    </row>
    <row r="296" spans="1:26" ht="15" customHeight="1">
      <c r="A296" s="138" t="s">
        <v>5603</v>
      </c>
      <c r="B296" s="138" t="s">
        <v>5604</v>
      </c>
      <c r="C296" s="138" t="s">
        <v>51</v>
      </c>
      <c r="D296" s="133" t="s">
        <v>5605</v>
      </c>
      <c r="E296" s="130" t="s">
        <v>5606</v>
      </c>
      <c r="F296" s="133" t="s">
        <v>4963</v>
      </c>
      <c r="G296" s="141">
        <v>4</v>
      </c>
      <c r="H296" s="586">
        <v>3</v>
      </c>
      <c r="I296" s="839">
        <v>4</v>
      </c>
      <c r="J296" s="839">
        <v>20</v>
      </c>
      <c r="K296" s="839">
        <f t="shared" ref="K296:K297" si="21">20/4</f>
        <v>5</v>
      </c>
      <c r="L296" s="338" t="s">
        <v>608</v>
      </c>
    </row>
    <row r="297" spans="1:26" ht="15" customHeight="1">
      <c r="A297" s="138" t="s">
        <v>5607</v>
      </c>
      <c r="B297" s="138" t="s">
        <v>5608</v>
      </c>
      <c r="C297" s="138" t="s">
        <v>51</v>
      </c>
      <c r="D297" s="133" t="s">
        <v>5609</v>
      </c>
      <c r="E297" s="130" t="s">
        <v>5610</v>
      </c>
      <c r="F297" s="133" t="s">
        <v>4963</v>
      </c>
      <c r="G297" s="141">
        <v>4</v>
      </c>
      <c r="H297" s="586">
        <v>1</v>
      </c>
      <c r="I297" s="839">
        <v>5</v>
      </c>
      <c r="J297" s="839">
        <v>20</v>
      </c>
      <c r="K297" s="839">
        <f t="shared" si="21"/>
        <v>5</v>
      </c>
      <c r="L297" s="338" t="s">
        <v>608</v>
      </c>
    </row>
    <row r="298" spans="1:26" ht="15" customHeight="1">
      <c r="A298" s="138" t="s">
        <v>5611</v>
      </c>
      <c r="B298" s="138" t="s">
        <v>5612</v>
      </c>
      <c r="C298" s="138" t="s">
        <v>51</v>
      </c>
      <c r="D298" s="133" t="s">
        <v>5613</v>
      </c>
      <c r="E298" s="130" t="s">
        <v>5614</v>
      </c>
      <c r="F298" s="133" t="s">
        <v>4963</v>
      </c>
      <c r="G298" s="141">
        <v>1</v>
      </c>
      <c r="H298" s="586">
        <v>1</v>
      </c>
      <c r="I298" s="839">
        <v>3</v>
      </c>
      <c r="J298" s="839">
        <v>20</v>
      </c>
      <c r="K298" s="839">
        <v>20</v>
      </c>
      <c r="L298" s="338" t="s">
        <v>608</v>
      </c>
    </row>
    <row r="299" spans="1:26" ht="15" customHeight="1">
      <c r="A299" s="138" t="s">
        <v>5611</v>
      </c>
      <c r="B299" s="138" t="s">
        <v>5612</v>
      </c>
      <c r="C299" s="138" t="s">
        <v>51</v>
      </c>
      <c r="D299" s="133" t="s">
        <v>5615</v>
      </c>
      <c r="E299" s="130" t="s">
        <v>5616</v>
      </c>
      <c r="F299" s="133" t="s">
        <v>4963</v>
      </c>
      <c r="G299" s="141">
        <v>1</v>
      </c>
      <c r="H299" s="586">
        <v>1</v>
      </c>
      <c r="I299" s="839">
        <v>3</v>
      </c>
      <c r="J299" s="839">
        <v>20</v>
      </c>
      <c r="K299" s="839">
        <v>20</v>
      </c>
      <c r="L299" s="338" t="s">
        <v>608</v>
      </c>
    </row>
    <row r="300" spans="1:26" ht="15" customHeight="1">
      <c r="A300" s="138" t="s">
        <v>5617</v>
      </c>
      <c r="B300" s="138" t="s">
        <v>5618</v>
      </c>
      <c r="C300" s="138" t="s">
        <v>51</v>
      </c>
      <c r="D300" s="133" t="s">
        <v>5619</v>
      </c>
      <c r="E300" s="130" t="s">
        <v>5620</v>
      </c>
      <c r="F300" s="133" t="s">
        <v>5621</v>
      </c>
      <c r="G300" s="141">
        <v>1</v>
      </c>
      <c r="H300" s="586">
        <v>1</v>
      </c>
      <c r="I300" s="839">
        <v>3</v>
      </c>
      <c r="J300" s="839">
        <v>20</v>
      </c>
      <c r="K300" s="839">
        <v>20</v>
      </c>
      <c r="L300" s="338" t="s">
        <v>608</v>
      </c>
    </row>
    <row r="301" spans="1:26" ht="15" customHeight="1">
      <c r="A301" s="138" t="s">
        <v>5622</v>
      </c>
      <c r="B301" s="138" t="s">
        <v>5623</v>
      </c>
      <c r="C301" s="138" t="s">
        <v>51</v>
      </c>
      <c r="D301" s="133" t="s">
        <v>5624</v>
      </c>
      <c r="E301" s="130" t="s">
        <v>5625</v>
      </c>
      <c r="F301" s="133" t="s">
        <v>4963</v>
      </c>
      <c r="G301" s="141">
        <v>3</v>
      </c>
      <c r="H301" s="586">
        <v>1</v>
      </c>
      <c r="I301" s="839">
        <v>4</v>
      </c>
      <c r="J301" s="839">
        <v>20</v>
      </c>
      <c r="K301" s="839">
        <f>20/3</f>
        <v>6.666666666666667</v>
      </c>
      <c r="L301" s="338" t="s">
        <v>608</v>
      </c>
    </row>
    <row r="302" spans="1:26" ht="15" customHeight="1">
      <c r="A302" s="138" t="s">
        <v>5626</v>
      </c>
      <c r="B302" s="138" t="s">
        <v>5627</v>
      </c>
      <c r="C302" s="138" t="s">
        <v>51</v>
      </c>
      <c r="D302" s="133" t="s">
        <v>5628</v>
      </c>
      <c r="E302" s="130" t="s">
        <v>5629</v>
      </c>
      <c r="F302" s="133" t="s">
        <v>4963</v>
      </c>
      <c r="G302" s="141">
        <v>2</v>
      </c>
      <c r="H302" s="586">
        <v>1</v>
      </c>
      <c r="I302" s="839">
        <v>4</v>
      </c>
      <c r="J302" s="839">
        <v>20</v>
      </c>
      <c r="K302" s="839">
        <f>20/2</f>
        <v>10</v>
      </c>
      <c r="L302" s="338" t="s">
        <v>608</v>
      </c>
    </row>
    <row r="303" spans="1:26" ht="15" customHeight="1">
      <c r="A303" s="138" t="s">
        <v>5630</v>
      </c>
      <c r="B303" s="138" t="s">
        <v>5631</v>
      </c>
      <c r="C303" s="138" t="s">
        <v>51</v>
      </c>
      <c r="D303" s="133" t="s">
        <v>5632</v>
      </c>
      <c r="E303" s="130" t="s">
        <v>5633</v>
      </c>
      <c r="F303" s="133" t="s">
        <v>4963</v>
      </c>
      <c r="G303" s="141">
        <v>2</v>
      </c>
      <c r="H303" s="586">
        <v>2</v>
      </c>
      <c r="I303" s="839">
        <v>2</v>
      </c>
      <c r="J303" s="839">
        <v>20</v>
      </c>
      <c r="K303" s="839">
        <v>10</v>
      </c>
      <c r="L303" s="338" t="s">
        <v>608</v>
      </c>
    </row>
    <row r="304" spans="1:26" ht="15.75" customHeight="1">
      <c r="A304" s="302" t="s">
        <v>722</v>
      </c>
      <c r="B304" s="99" t="s">
        <v>2784</v>
      </c>
      <c r="C304" s="99" t="s">
        <v>141</v>
      </c>
      <c r="D304" s="290" t="s">
        <v>5634</v>
      </c>
      <c r="E304" s="490" t="s">
        <v>5635</v>
      </c>
      <c r="F304" s="493" t="s">
        <v>5636</v>
      </c>
      <c r="G304" s="495">
        <v>1</v>
      </c>
      <c r="H304" s="495">
        <v>1</v>
      </c>
      <c r="I304" s="495">
        <v>1</v>
      </c>
      <c r="J304" s="495">
        <v>10</v>
      </c>
      <c r="K304" s="398">
        <v>10</v>
      </c>
      <c r="L304" s="510" t="s">
        <v>730</v>
      </c>
      <c r="M304" s="69"/>
      <c r="N304" s="69"/>
      <c r="O304" s="69"/>
      <c r="P304" s="69"/>
      <c r="Q304" s="69"/>
      <c r="R304" s="69"/>
      <c r="S304" s="69"/>
      <c r="T304" s="69"/>
      <c r="U304" s="69"/>
      <c r="V304" s="69"/>
      <c r="W304" s="69"/>
      <c r="X304" s="69"/>
      <c r="Y304" s="69"/>
      <c r="Z304" s="69"/>
    </row>
    <row r="305" spans="1:26" ht="15.75" customHeight="1">
      <c r="A305" s="302" t="s">
        <v>722</v>
      </c>
      <c r="B305" s="99" t="s">
        <v>2784</v>
      </c>
      <c r="C305" s="99" t="s">
        <v>141</v>
      </c>
      <c r="D305" s="290" t="s">
        <v>5637</v>
      </c>
      <c r="E305" s="490" t="s">
        <v>5638</v>
      </c>
      <c r="F305" s="493" t="s">
        <v>5639</v>
      </c>
      <c r="G305" s="495">
        <v>1</v>
      </c>
      <c r="H305" s="495">
        <v>1</v>
      </c>
      <c r="I305" s="495">
        <v>1</v>
      </c>
      <c r="J305" s="495">
        <v>20</v>
      </c>
      <c r="K305" s="398">
        <v>20</v>
      </c>
      <c r="L305" s="510" t="s">
        <v>730</v>
      </c>
      <c r="M305" s="221"/>
      <c r="N305" s="221"/>
      <c r="O305" s="221"/>
      <c r="P305" s="221"/>
      <c r="Q305" s="221"/>
      <c r="R305" s="221"/>
      <c r="S305" s="221"/>
      <c r="T305" s="221"/>
      <c r="U305" s="221"/>
      <c r="V305" s="221"/>
      <c r="W305" s="221"/>
      <c r="X305" s="221"/>
      <c r="Y305" s="221"/>
      <c r="Z305" s="221"/>
    </row>
    <row r="306" spans="1:26" ht="15.75" customHeight="1">
      <c r="A306" s="302" t="s">
        <v>722</v>
      </c>
      <c r="B306" s="99" t="s">
        <v>2784</v>
      </c>
      <c r="C306" s="99" t="s">
        <v>141</v>
      </c>
      <c r="D306" s="290" t="s">
        <v>5640</v>
      </c>
      <c r="E306" s="490" t="s">
        <v>5641</v>
      </c>
      <c r="F306" s="493" t="s">
        <v>5636</v>
      </c>
      <c r="G306" s="495">
        <v>1</v>
      </c>
      <c r="H306" s="495">
        <v>1</v>
      </c>
      <c r="I306" s="495">
        <v>1</v>
      </c>
      <c r="J306" s="495">
        <v>10</v>
      </c>
      <c r="K306" s="398">
        <v>10</v>
      </c>
      <c r="L306" s="510" t="s">
        <v>730</v>
      </c>
      <c r="M306" s="221"/>
      <c r="N306" s="221"/>
      <c r="O306" s="221"/>
      <c r="P306" s="221"/>
      <c r="Q306" s="221"/>
      <c r="R306" s="221"/>
      <c r="S306" s="221"/>
      <c r="T306" s="221"/>
      <c r="U306" s="221"/>
      <c r="V306" s="221"/>
      <c r="W306" s="221"/>
      <c r="X306" s="221"/>
      <c r="Y306" s="221"/>
      <c r="Z306" s="221"/>
    </row>
    <row r="307" spans="1:26" ht="15.75" customHeight="1">
      <c r="A307" s="302" t="s">
        <v>722</v>
      </c>
      <c r="B307" s="99" t="s">
        <v>2784</v>
      </c>
      <c r="C307" s="99" t="s">
        <v>141</v>
      </c>
      <c r="D307" s="290" t="s">
        <v>5642</v>
      </c>
      <c r="E307" s="490" t="s">
        <v>5643</v>
      </c>
      <c r="F307" s="493" t="s">
        <v>5636</v>
      </c>
      <c r="G307" s="495">
        <v>1</v>
      </c>
      <c r="H307" s="495">
        <v>1</v>
      </c>
      <c r="I307" s="495">
        <v>1</v>
      </c>
      <c r="J307" s="495">
        <v>10</v>
      </c>
      <c r="K307" s="398">
        <v>10</v>
      </c>
      <c r="L307" s="510" t="s">
        <v>730</v>
      </c>
      <c r="M307" s="221"/>
      <c r="N307" s="221"/>
      <c r="O307" s="221"/>
      <c r="P307" s="221"/>
      <c r="Q307" s="221"/>
      <c r="R307" s="221"/>
      <c r="S307" s="221"/>
      <c r="T307" s="221"/>
      <c r="U307" s="221"/>
      <c r="V307" s="221"/>
      <c r="W307" s="221"/>
      <c r="X307" s="221"/>
      <c r="Y307" s="221"/>
      <c r="Z307" s="221"/>
    </row>
    <row r="308" spans="1:26" ht="15.75" customHeight="1">
      <c r="A308" s="302" t="s">
        <v>722</v>
      </c>
      <c r="B308" s="99" t="s">
        <v>2784</v>
      </c>
      <c r="C308" s="99" t="s">
        <v>141</v>
      </c>
      <c r="D308" s="290" t="s">
        <v>5644</v>
      </c>
      <c r="E308" s="490" t="s">
        <v>5645</v>
      </c>
      <c r="F308" s="493" t="s">
        <v>5639</v>
      </c>
      <c r="G308" s="495">
        <v>1</v>
      </c>
      <c r="H308" s="495">
        <v>1</v>
      </c>
      <c r="I308" s="495">
        <v>1</v>
      </c>
      <c r="J308" s="495">
        <v>20</v>
      </c>
      <c r="K308" s="398">
        <v>20</v>
      </c>
      <c r="L308" s="510" t="s">
        <v>730</v>
      </c>
      <c r="M308" s="221"/>
      <c r="N308" s="221"/>
      <c r="O308" s="221"/>
      <c r="P308" s="221"/>
      <c r="Q308" s="221"/>
      <c r="R308" s="221"/>
      <c r="S308" s="221"/>
      <c r="T308" s="221"/>
      <c r="U308" s="221"/>
      <c r="V308" s="221"/>
      <c r="W308" s="221"/>
      <c r="X308" s="221"/>
      <c r="Y308" s="221"/>
      <c r="Z308" s="221"/>
    </row>
    <row r="309" spans="1:26" ht="15.75" customHeight="1">
      <c r="A309" s="302" t="s">
        <v>722</v>
      </c>
      <c r="B309" s="99" t="s">
        <v>2784</v>
      </c>
      <c r="C309" s="99" t="s">
        <v>141</v>
      </c>
      <c r="D309" s="290" t="s">
        <v>5646</v>
      </c>
      <c r="E309" s="490" t="s">
        <v>5647</v>
      </c>
      <c r="F309" s="493" t="s">
        <v>5636</v>
      </c>
      <c r="G309" s="495">
        <v>1</v>
      </c>
      <c r="H309" s="495">
        <v>1</v>
      </c>
      <c r="I309" s="495">
        <v>1</v>
      </c>
      <c r="J309" s="495">
        <v>10</v>
      </c>
      <c r="K309" s="398">
        <v>10</v>
      </c>
      <c r="L309" s="510" t="s">
        <v>730</v>
      </c>
      <c r="M309" s="216"/>
      <c r="N309" s="216"/>
      <c r="O309" s="216"/>
      <c r="P309" s="216"/>
      <c r="Q309" s="216"/>
      <c r="R309" s="216"/>
      <c r="S309" s="216"/>
      <c r="T309" s="216"/>
      <c r="U309" s="216"/>
      <c r="V309" s="216"/>
      <c r="W309" s="216"/>
      <c r="X309" s="216"/>
      <c r="Y309" s="216"/>
      <c r="Z309" s="216"/>
    </row>
    <row r="310" spans="1:26" ht="15.75" customHeight="1">
      <c r="A310" s="302" t="s">
        <v>722</v>
      </c>
      <c r="B310" s="99" t="s">
        <v>2784</v>
      </c>
      <c r="C310" s="99" t="s">
        <v>141</v>
      </c>
      <c r="D310" s="290" t="s">
        <v>5648</v>
      </c>
      <c r="E310" s="490" t="s">
        <v>5649</v>
      </c>
      <c r="F310" s="840" t="s">
        <v>5650</v>
      </c>
      <c r="G310" s="495">
        <v>1</v>
      </c>
      <c r="H310" s="495">
        <v>1</v>
      </c>
      <c r="I310" s="495">
        <v>1</v>
      </c>
      <c r="J310" s="495">
        <v>20</v>
      </c>
      <c r="K310" s="398">
        <v>20</v>
      </c>
      <c r="L310" s="69" t="s">
        <v>730</v>
      </c>
      <c r="M310" s="216"/>
      <c r="N310" s="216"/>
      <c r="O310" s="216"/>
      <c r="P310" s="216"/>
      <c r="Q310" s="216"/>
      <c r="R310" s="216"/>
      <c r="S310" s="216"/>
      <c r="T310" s="216"/>
      <c r="U310" s="216"/>
      <c r="V310" s="216"/>
      <c r="W310" s="216"/>
      <c r="X310" s="216"/>
      <c r="Y310" s="216"/>
      <c r="Z310" s="216"/>
    </row>
    <row r="311" spans="1:26" ht="15.75" customHeight="1">
      <c r="A311" s="302" t="s">
        <v>722</v>
      </c>
      <c r="B311" s="99" t="s">
        <v>2784</v>
      </c>
      <c r="C311" s="99" t="s">
        <v>141</v>
      </c>
      <c r="D311" s="290" t="s">
        <v>5651</v>
      </c>
      <c r="E311" s="490" t="s">
        <v>5652</v>
      </c>
      <c r="F311" s="840" t="s">
        <v>5650</v>
      </c>
      <c r="G311" s="495">
        <v>1</v>
      </c>
      <c r="H311" s="495">
        <v>1</v>
      </c>
      <c r="I311" s="495">
        <v>1</v>
      </c>
      <c r="J311" s="495">
        <v>20</v>
      </c>
      <c r="K311" s="398">
        <v>20</v>
      </c>
      <c r="L311" s="69" t="s">
        <v>730</v>
      </c>
      <c r="M311" s="216"/>
      <c r="N311" s="216"/>
      <c r="O311" s="216"/>
      <c r="P311" s="216"/>
      <c r="Q311" s="216"/>
      <c r="R311" s="216"/>
      <c r="S311" s="216"/>
      <c r="T311" s="216"/>
      <c r="U311" s="216"/>
      <c r="V311" s="216"/>
      <c r="W311" s="216"/>
      <c r="X311" s="216"/>
      <c r="Y311" s="216"/>
      <c r="Z311" s="216"/>
    </row>
    <row r="312" spans="1:26" ht="15.75" customHeight="1">
      <c r="A312" s="302" t="s">
        <v>722</v>
      </c>
      <c r="B312" s="99" t="s">
        <v>5653</v>
      </c>
      <c r="C312" s="99" t="s">
        <v>141</v>
      </c>
      <c r="D312" s="290" t="s">
        <v>5654</v>
      </c>
      <c r="E312" s="490" t="s">
        <v>5655</v>
      </c>
      <c r="F312" s="290" t="s">
        <v>5650</v>
      </c>
      <c r="G312" s="495">
        <v>1</v>
      </c>
      <c r="H312" s="495">
        <v>1</v>
      </c>
      <c r="I312" s="495">
        <v>1</v>
      </c>
      <c r="J312" s="495">
        <v>20</v>
      </c>
      <c r="K312" s="398">
        <v>20</v>
      </c>
      <c r="L312" s="69" t="s">
        <v>730</v>
      </c>
      <c r="M312" s="216"/>
      <c r="N312" s="216"/>
      <c r="O312" s="216"/>
      <c r="P312" s="216"/>
      <c r="Q312" s="216"/>
      <c r="R312" s="216"/>
      <c r="S312" s="216"/>
      <c r="T312" s="216"/>
      <c r="U312" s="216"/>
      <c r="V312" s="216"/>
      <c r="W312" s="216"/>
      <c r="X312" s="216"/>
      <c r="Y312" s="216"/>
      <c r="Z312" s="216"/>
    </row>
    <row r="313" spans="1:26" ht="15.75" customHeight="1">
      <c r="A313" s="302" t="s">
        <v>722</v>
      </c>
      <c r="B313" s="99" t="s">
        <v>2784</v>
      </c>
      <c r="C313" s="99" t="s">
        <v>141</v>
      </c>
      <c r="D313" s="316" t="s">
        <v>5656</v>
      </c>
      <c r="E313" s="505" t="s">
        <v>5652</v>
      </c>
      <c r="F313" s="840" t="s">
        <v>5650</v>
      </c>
      <c r="G313" s="495">
        <v>1</v>
      </c>
      <c r="H313" s="495">
        <v>1</v>
      </c>
      <c r="I313" s="495">
        <v>1</v>
      </c>
      <c r="J313" s="495">
        <v>20</v>
      </c>
      <c r="K313" s="398">
        <v>20</v>
      </c>
      <c r="L313" s="69" t="s">
        <v>730</v>
      </c>
      <c r="M313" s="216"/>
      <c r="N313" s="216"/>
      <c r="O313" s="216"/>
      <c r="P313" s="216"/>
      <c r="Q313" s="216"/>
      <c r="R313" s="216"/>
      <c r="S313" s="216"/>
      <c r="T313" s="216"/>
      <c r="U313" s="216"/>
      <c r="V313" s="216"/>
      <c r="W313" s="216"/>
      <c r="X313" s="216"/>
      <c r="Y313" s="216"/>
      <c r="Z313" s="216"/>
    </row>
    <row r="314" spans="1:26" ht="15.75" customHeight="1">
      <c r="A314" s="302" t="s">
        <v>722</v>
      </c>
      <c r="B314" s="290" t="s">
        <v>5657</v>
      </c>
      <c r="C314" s="99" t="s">
        <v>141</v>
      </c>
      <c r="D314" s="316" t="s">
        <v>5658</v>
      </c>
      <c r="E314" s="505" t="s">
        <v>5659</v>
      </c>
      <c r="F314" s="493" t="s">
        <v>5639</v>
      </c>
      <c r="G314" s="498">
        <v>1</v>
      </c>
      <c r="H314" s="498">
        <v>1</v>
      </c>
      <c r="I314" s="498">
        <v>1</v>
      </c>
      <c r="J314" s="498">
        <v>20</v>
      </c>
      <c r="K314" s="499">
        <v>20</v>
      </c>
      <c r="L314" s="69" t="s">
        <v>730</v>
      </c>
      <c r="M314" s="216"/>
      <c r="N314" s="216"/>
      <c r="O314" s="216"/>
      <c r="P314" s="216"/>
      <c r="Q314" s="216"/>
      <c r="R314" s="216"/>
      <c r="S314" s="216"/>
      <c r="T314" s="216"/>
      <c r="U314" s="216"/>
      <c r="V314" s="216"/>
      <c r="W314" s="216"/>
      <c r="X314" s="216"/>
      <c r="Y314" s="216"/>
      <c r="Z314" s="216"/>
    </row>
    <row r="315" spans="1:26" ht="15.75" customHeight="1">
      <c r="A315" s="302" t="s">
        <v>722</v>
      </c>
      <c r="B315" s="290" t="s">
        <v>5660</v>
      </c>
      <c r="C315" s="500" t="s">
        <v>141</v>
      </c>
      <c r="D315" s="290" t="s">
        <v>5661</v>
      </c>
      <c r="E315" s="841" t="s">
        <v>5662</v>
      </c>
      <c r="F315" s="493" t="s">
        <v>5636</v>
      </c>
      <c r="G315" s="398">
        <v>1</v>
      </c>
      <c r="H315" s="398">
        <v>1</v>
      </c>
      <c r="I315" s="398">
        <v>1</v>
      </c>
      <c r="J315" s="398">
        <v>10</v>
      </c>
      <c r="K315" s="398">
        <v>10</v>
      </c>
      <c r="L315" s="69" t="s">
        <v>730</v>
      </c>
      <c r="M315" s="216"/>
      <c r="N315" s="216"/>
      <c r="O315" s="216"/>
      <c r="P315" s="216"/>
      <c r="Q315" s="216"/>
      <c r="R315" s="216"/>
      <c r="S315" s="216"/>
      <c r="T315" s="216"/>
      <c r="U315" s="216"/>
      <c r="V315" s="216"/>
      <c r="W315" s="216"/>
      <c r="X315" s="216"/>
      <c r="Y315" s="216"/>
      <c r="Z315" s="216"/>
    </row>
    <row r="316" spans="1:26" ht="15.75" customHeight="1">
      <c r="A316" s="842" t="s">
        <v>5663</v>
      </c>
      <c r="B316" s="843" t="s">
        <v>5664</v>
      </c>
      <c r="C316" s="844" t="s">
        <v>141</v>
      </c>
      <c r="D316" s="843" t="s">
        <v>5665</v>
      </c>
      <c r="E316" s="845" t="s">
        <v>5666</v>
      </c>
      <c r="F316" s="843" t="s">
        <v>5667</v>
      </c>
      <c r="G316" s="842">
        <v>3</v>
      </c>
      <c r="H316" s="846">
        <v>1</v>
      </c>
      <c r="I316" s="842">
        <v>4</v>
      </c>
      <c r="J316" s="847">
        <v>10</v>
      </c>
      <c r="K316" s="848">
        <f t="shared" ref="K316:K320" si="22">J316/G316</f>
        <v>3.3333333333333335</v>
      </c>
      <c r="L316" s="848" t="s">
        <v>2825</v>
      </c>
      <c r="M316" s="216"/>
      <c r="N316" s="216"/>
      <c r="O316" s="216"/>
      <c r="P316" s="216"/>
      <c r="Q316" s="216"/>
      <c r="R316" s="216"/>
      <c r="S316" s="216"/>
      <c r="T316" s="216"/>
      <c r="U316" s="216"/>
      <c r="V316" s="216"/>
      <c r="W316" s="216"/>
      <c r="X316" s="216"/>
      <c r="Y316" s="216"/>
      <c r="Z316" s="216"/>
    </row>
    <row r="317" spans="1:26" ht="15.75" customHeight="1">
      <c r="A317" s="849" t="s">
        <v>5668</v>
      </c>
      <c r="B317" s="850" t="s">
        <v>5669</v>
      </c>
      <c r="C317" s="851" t="s">
        <v>141</v>
      </c>
      <c r="D317" s="843" t="s">
        <v>5670</v>
      </c>
      <c r="E317" s="852" t="s">
        <v>5671</v>
      </c>
      <c r="F317" s="853" t="s">
        <v>5672</v>
      </c>
      <c r="G317" s="851">
        <v>3</v>
      </c>
      <c r="H317" s="851">
        <v>2</v>
      </c>
      <c r="I317" s="851">
        <v>3</v>
      </c>
      <c r="J317" s="854">
        <v>20</v>
      </c>
      <c r="K317" s="855">
        <f t="shared" si="22"/>
        <v>6.666666666666667</v>
      </c>
      <c r="L317" s="848" t="s">
        <v>2825</v>
      </c>
      <c r="M317" s="216"/>
      <c r="N317" s="216"/>
      <c r="O317" s="216"/>
      <c r="P317" s="216"/>
      <c r="Q317" s="216"/>
      <c r="R317" s="216"/>
      <c r="S317" s="216"/>
      <c r="T317" s="216"/>
      <c r="U317" s="216"/>
      <c r="V317" s="216"/>
      <c r="W317" s="216"/>
      <c r="X317" s="216"/>
      <c r="Y317" s="216"/>
      <c r="Z317" s="216"/>
    </row>
    <row r="318" spans="1:26" ht="15.75" customHeight="1">
      <c r="A318" s="849" t="s">
        <v>5668</v>
      </c>
      <c r="B318" s="850" t="s">
        <v>5669</v>
      </c>
      <c r="C318" s="851" t="s">
        <v>141</v>
      </c>
      <c r="D318" s="856" t="s">
        <v>5673</v>
      </c>
      <c r="E318" s="857" t="s">
        <v>5674</v>
      </c>
      <c r="F318" s="853" t="s">
        <v>5675</v>
      </c>
      <c r="G318" s="851">
        <v>3</v>
      </c>
      <c r="H318" s="851">
        <v>2</v>
      </c>
      <c r="I318" s="851">
        <v>3</v>
      </c>
      <c r="J318" s="854">
        <v>20</v>
      </c>
      <c r="K318" s="855">
        <f t="shared" si="22"/>
        <v>6.666666666666667</v>
      </c>
      <c r="L318" s="848" t="s">
        <v>2825</v>
      </c>
      <c r="M318" s="216"/>
      <c r="N318" s="216"/>
      <c r="O318" s="216"/>
      <c r="P318" s="216"/>
      <c r="Q318" s="216"/>
      <c r="R318" s="216"/>
      <c r="S318" s="216"/>
      <c r="T318" s="216"/>
      <c r="U318" s="216"/>
      <c r="V318" s="216"/>
      <c r="W318" s="216"/>
      <c r="X318" s="216"/>
      <c r="Y318" s="216"/>
      <c r="Z318" s="216"/>
    </row>
    <row r="319" spans="1:26" ht="15.75" customHeight="1">
      <c r="A319" s="858" t="s">
        <v>5676</v>
      </c>
      <c r="B319" s="856" t="s">
        <v>5677</v>
      </c>
      <c r="C319" s="859" t="s">
        <v>141</v>
      </c>
      <c r="D319" s="856" t="s">
        <v>5678</v>
      </c>
      <c r="E319" s="857" t="s">
        <v>5679</v>
      </c>
      <c r="F319" s="860" t="s">
        <v>5680</v>
      </c>
      <c r="G319" s="851">
        <v>3</v>
      </c>
      <c r="H319" s="851">
        <v>1</v>
      </c>
      <c r="I319" s="851">
        <v>3</v>
      </c>
      <c r="J319" s="854">
        <v>20</v>
      </c>
      <c r="K319" s="855">
        <f t="shared" si="22"/>
        <v>6.666666666666667</v>
      </c>
      <c r="L319" s="848" t="s">
        <v>2825</v>
      </c>
      <c r="M319" s="216"/>
      <c r="N319" s="216"/>
      <c r="O319" s="216"/>
      <c r="P319" s="216"/>
      <c r="Q319" s="216"/>
      <c r="R319" s="216"/>
      <c r="S319" s="216"/>
      <c r="T319" s="216"/>
      <c r="U319" s="216"/>
      <c r="V319" s="216"/>
      <c r="W319" s="216"/>
      <c r="X319" s="216"/>
      <c r="Y319" s="216"/>
      <c r="Z319" s="216"/>
    </row>
    <row r="320" spans="1:26" ht="15.75" customHeight="1">
      <c r="A320" s="861" t="s">
        <v>2826</v>
      </c>
      <c r="B320" s="843" t="s">
        <v>5681</v>
      </c>
      <c r="C320" s="862" t="s">
        <v>141</v>
      </c>
      <c r="D320" s="843" t="s">
        <v>5682</v>
      </c>
      <c r="E320" s="851" t="s">
        <v>5683</v>
      </c>
      <c r="F320" s="863"/>
      <c r="G320" s="851">
        <v>5</v>
      </c>
      <c r="H320" s="851">
        <v>1</v>
      </c>
      <c r="I320" s="851">
        <v>5</v>
      </c>
      <c r="J320" s="854">
        <v>20</v>
      </c>
      <c r="K320" s="855">
        <f t="shared" si="22"/>
        <v>4</v>
      </c>
      <c r="L320" s="848" t="s">
        <v>2825</v>
      </c>
      <c r="M320" s="216"/>
      <c r="N320" s="216"/>
      <c r="O320" s="216"/>
      <c r="P320" s="216"/>
      <c r="Q320" s="216"/>
      <c r="R320" s="216"/>
      <c r="S320" s="216"/>
      <c r="T320" s="216"/>
      <c r="U320" s="216"/>
      <c r="V320" s="216"/>
      <c r="W320" s="216"/>
      <c r="X320" s="216"/>
      <c r="Y320" s="216"/>
      <c r="Z320" s="216"/>
    </row>
    <row r="321" spans="1:26" ht="15.75" customHeight="1">
      <c r="A321" s="504" t="s">
        <v>5684</v>
      </c>
      <c r="B321" s="571" t="s">
        <v>5685</v>
      </c>
      <c r="C321" s="316" t="s">
        <v>141</v>
      </c>
      <c r="D321" s="667" t="s">
        <v>5686</v>
      </c>
      <c r="E321" s="301" t="s">
        <v>5687</v>
      </c>
      <c r="F321" s="292" t="s">
        <v>4963</v>
      </c>
      <c r="G321" s="316">
        <v>2</v>
      </c>
      <c r="H321" s="864">
        <v>2</v>
      </c>
      <c r="I321" s="865">
        <v>3</v>
      </c>
      <c r="J321" s="865">
        <v>10</v>
      </c>
      <c r="K321" s="866">
        <f>10/2</f>
        <v>5</v>
      </c>
      <c r="L321" s="867" t="s">
        <v>739</v>
      </c>
      <c r="M321" s="216"/>
      <c r="N321" s="216"/>
      <c r="O321" s="216"/>
      <c r="P321" s="216"/>
      <c r="Q321" s="216"/>
      <c r="R321" s="216"/>
      <c r="S321" s="216"/>
      <c r="T321" s="216"/>
      <c r="U321" s="216"/>
      <c r="V321" s="216"/>
      <c r="W321" s="216"/>
      <c r="X321" s="216"/>
      <c r="Y321" s="216"/>
      <c r="Z321" s="216"/>
    </row>
    <row r="322" spans="1:26" ht="15.75" customHeight="1">
      <c r="A322" s="301" t="s">
        <v>2848</v>
      </c>
      <c r="B322" s="301" t="s">
        <v>2849</v>
      </c>
      <c r="C322" s="316" t="s">
        <v>141</v>
      </c>
      <c r="D322" s="648" t="s">
        <v>5688</v>
      </c>
      <c r="E322" s="301" t="s">
        <v>5689</v>
      </c>
      <c r="F322" s="868" t="s">
        <v>5511</v>
      </c>
      <c r="G322" s="512">
        <v>3</v>
      </c>
      <c r="H322" s="512">
        <v>3</v>
      </c>
      <c r="I322" s="516">
        <v>3</v>
      </c>
      <c r="J322" s="516">
        <v>20</v>
      </c>
      <c r="K322" s="518">
        <f>20/3</f>
        <v>6.666666666666667</v>
      </c>
      <c r="L322" s="867" t="s">
        <v>739</v>
      </c>
      <c r="M322" s="216"/>
      <c r="N322" s="216"/>
      <c r="O322" s="216"/>
      <c r="P322" s="216"/>
      <c r="Q322" s="216"/>
      <c r="R322" s="216"/>
      <c r="S322" s="216"/>
      <c r="T322" s="216"/>
      <c r="U322" s="216"/>
      <c r="V322" s="216"/>
      <c r="W322" s="216"/>
      <c r="X322" s="216"/>
      <c r="Y322" s="216"/>
      <c r="Z322" s="216"/>
    </row>
    <row r="323" spans="1:26" ht="15.75" customHeight="1">
      <c r="A323" s="514" t="s">
        <v>5690</v>
      </c>
      <c r="B323" s="515" t="s">
        <v>5691</v>
      </c>
      <c r="C323" s="316" t="s">
        <v>141</v>
      </c>
      <c r="D323" s="591" t="s">
        <v>5692</v>
      </c>
      <c r="E323" s="591" t="s">
        <v>5693</v>
      </c>
      <c r="F323" s="869" t="s">
        <v>4963</v>
      </c>
      <c r="G323" s="512">
        <v>3</v>
      </c>
      <c r="H323" s="512">
        <v>3</v>
      </c>
      <c r="I323" s="516">
        <v>3</v>
      </c>
      <c r="J323" s="493">
        <v>10</v>
      </c>
      <c r="K323" s="643">
        <f>10/3</f>
        <v>3.3333333333333335</v>
      </c>
      <c r="L323" s="867" t="s">
        <v>739</v>
      </c>
      <c r="M323" s="216"/>
      <c r="N323" s="216"/>
      <c r="O323" s="216"/>
      <c r="P323" s="216"/>
      <c r="Q323" s="216"/>
      <c r="R323" s="216"/>
      <c r="S323" s="216"/>
      <c r="T323" s="216"/>
      <c r="U323" s="216"/>
      <c r="V323" s="216"/>
      <c r="W323" s="216"/>
      <c r="X323" s="216"/>
      <c r="Y323" s="216"/>
      <c r="Z323" s="216"/>
    </row>
    <row r="324" spans="1:26" ht="15.75" customHeight="1">
      <c r="A324" s="301" t="s">
        <v>2895</v>
      </c>
      <c r="B324" s="515" t="s">
        <v>2896</v>
      </c>
      <c r="C324" s="290" t="s">
        <v>141</v>
      </c>
      <c r="D324" s="515" t="s">
        <v>5694</v>
      </c>
      <c r="E324" s="301" t="s">
        <v>5695</v>
      </c>
      <c r="F324" s="301" t="s">
        <v>1899</v>
      </c>
      <c r="G324" s="870">
        <v>2</v>
      </c>
      <c r="H324" s="871">
        <v>2</v>
      </c>
      <c r="I324" s="493">
        <v>2</v>
      </c>
      <c r="J324" s="493">
        <v>20</v>
      </c>
      <c r="K324" s="643">
        <f t="shared" ref="K324:K325" si="23">20/2</f>
        <v>10</v>
      </c>
      <c r="L324" s="867" t="s">
        <v>739</v>
      </c>
      <c r="M324" s="216"/>
      <c r="N324" s="216"/>
      <c r="O324" s="216"/>
      <c r="P324" s="216"/>
      <c r="Q324" s="216"/>
      <c r="R324" s="216"/>
      <c r="S324" s="216"/>
      <c r="T324" s="216"/>
      <c r="U324" s="216"/>
      <c r="V324" s="216"/>
      <c r="W324" s="216"/>
      <c r="X324" s="216"/>
      <c r="Y324" s="216"/>
      <c r="Z324" s="216"/>
    </row>
    <row r="325" spans="1:26" ht="15.75" customHeight="1">
      <c r="A325" s="301" t="s">
        <v>2918</v>
      </c>
      <c r="B325" s="515" t="s">
        <v>2919</v>
      </c>
      <c r="C325" s="290" t="s">
        <v>141</v>
      </c>
      <c r="D325" s="515" t="s">
        <v>5696</v>
      </c>
      <c r="E325" s="301" t="s">
        <v>5697</v>
      </c>
      <c r="F325" s="515" t="s">
        <v>5698</v>
      </c>
      <c r="G325" s="870">
        <v>2</v>
      </c>
      <c r="H325" s="871">
        <v>2</v>
      </c>
      <c r="I325" s="493">
        <v>2</v>
      </c>
      <c r="J325" s="493">
        <v>20</v>
      </c>
      <c r="K325" s="643">
        <f t="shared" si="23"/>
        <v>10</v>
      </c>
      <c r="L325" s="867" t="s">
        <v>739</v>
      </c>
      <c r="M325" s="216"/>
      <c r="N325" s="216"/>
      <c r="O325" s="216"/>
      <c r="P325" s="216"/>
      <c r="Q325" s="216"/>
      <c r="R325" s="216"/>
      <c r="S325" s="216"/>
      <c r="T325" s="216"/>
      <c r="U325" s="216"/>
      <c r="V325" s="216"/>
      <c r="W325" s="216"/>
      <c r="X325" s="216"/>
      <c r="Y325" s="216"/>
      <c r="Z325" s="216"/>
    </row>
    <row r="326" spans="1:26" ht="15.75" customHeight="1">
      <c r="A326" s="301" t="s">
        <v>2918</v>
      </c>
      <c r="B326" s="515" t="s">
        <v>2919</v>
      </c>
      <c r="C326" s="290" t="s">
        <v>141</v>
      </c>
      <c r="D326" s="515" t="s">
        <v>5699</v>
      </c>
      <c r="E326" s="301" t="s">
        <v>5700</v>
      </c>
      <c r="F326" s="301" t="s">
        <v>5701</v>
      </c>
      <c r="G326" s="870">
        <v>2</v>
      </c>
      <c r="H326" s="871">
        <v>2</v>
      </c>
      <c r="I326" s="493">
        <v>2</v>
      </c>
      <c r="J326" s="493">
        <v>10</v>
      </c>
      <c r="K326" s="513">
        <f>10/2</f>
        <v>5</v>
      </c>
      <c r="L326" s="867" t="s">
        <v>739</v>
      </c>
      <c r="M326" s="216"/>
      <c r="N326" s="216"/>
      <c r="O326" s="216"/>
      <c r="P326" s="216"/>
      <c r="Q326" s="216"/>
      <c r="R326" s="216"/>
      <c r="S326" s="216"/>
      <c r="T326" s="216"/>
      <c r="U326" s="216"/>
      <c r="V326" s="216"/>
      <c r="W326" s="216"/>
      <c r="X326" s="216"/>
      <c r="Y326" s="216"/>
      <c r="Z326" s="216"/>
    </row>
    <row r="327" spans="1:26" ht="15.75" customHeight="1">
      <c r="A327" s="301" t="s">
        <v>5702</v>
      </c>
      <c r="B327" s="515" t="s">
        <v>2949</v>
      </c>
      <c r="C327" s="290" t="s">
        <v>141</v>
      </c>
      <c r="D327" s="567" t="s">
        <v>5703</v>
      </c>
      <c r="E327" s="313" t="s">
        <v>5704</v>
      </c>
      <c r="F327" s="301" t="s">
        <v>4963</v>
      </c>
      <c r="G327" s="870">
        <v>3</v>
      </c>
      <c r="H327" s="871">
        <v>3</v>
      </c>
      <c r="I327" s="493">
        <v>3</v>
      </c>
      <c r="J327" s="493">
        <v>10</v>
      </c>
      <c r="K327" s="643">
        <f t="shared" ref="K327:K328" si="24">10/3</f>
        <v>3.3333333333333335</v>
      </c>
      <c r="L327" s="867" t="s">
        <v>739</v>
      </c>
      <c r="M327" s="216"/>
      <c r="N327" s="216"/>
      <c r="O327" s="216"/>
      <c r="P327" s="216"/>
      <c r="Q327" s="216"/>
      <c r="R327" s="216"/>
      <c r="S327" s="216"/>
      <c r="T327" s="216"/>
      <c r="U327" s="216"/>
      <c r="V327" s="216"/>
      <c r="W327" s="216"/>
      <c r="X327" s="216"/>
      <c r="Y327" s="216"/>
      <c r="Z327" s="216"/>
    </row>
    <row r="328" spans="1:26" ht="15.75" customHeight="1">
      <c r="A328" s="301" t="s">
        <v>5702</v>
      </c>
      <c r="B328" s="515" t="s">
        <v>2949</v>
      </c>
      <c r="C328" s="290" t="s">
        <v>141</v>
      </c>
      <c r="D328" s="515" t="s">
        <v>5705</v>
      </c>
      <c r="E328" s="301" t="s">
        <v>5706</v>
      </c>
      <c r="F328" s="301" t="s">
        <v>4963</v>
      </c>
      <c r="G328" s="870">
        <v>3</v>
      </c>
      <c r="H328" s="871">
        <v>3</v>
      </c>
      <c r="I328" s="493">
        <v>3</v>
      </c>
      <c r="J328" s="493">
        <v>10</v>
      </c>
      <c r="K328" s="643">
        <f t="shared" si="24"/>
        <v>3.3333333333333335</v>
      </c>
      <c r="L328" s="867" t="s">
        <v>739</v>
      </c>
      <c r="M328" s="216"/>
      <c r="N328" s="216"/>
      <c r="O328" s="216"/>
      <c r="P328" s="216"/>
      <c r="Q328" s="216"/>
      <c r="R328" s="216"/>
      <c r="S328" s="216"/>
      <c r="T328" s="216"/>
      <c r="U328" s="216"/>
      <c r="V328" s="216"/>
      <c r="W328" s="216"/>
      <c r="X328" s="216"/>
      <c r="Y328" s="216"/>
      <c r="Z328" s="216"/>
    </row>
    <row r="329" spans="1:26" ht="15.75" customHeight="1">
      <c r="A329" s="301" t="s">
        <v>2852</v>
      </c>
      <c r="B329" s="515" t="s">
        <v>2853</v>
      </c>
      <c r="C329" s="290" t="s">
        <v>141</v>
      </c>
      <c r="D329" s="515" t="s">
        <v>5707</v>
      </c>
      <c r="E329" s="301" t="s">
        <v>5708</v>
      </c>
      <c r="F329" s="301" t="s">
        <v>1899</v>
      </c>
      <c r="G329" s="304">
        <v>2</v>
      </c>
      <c r="H329" s="290">
        <v>2</v>
      </c>
      <c r="I329" s="290">
        <v>3</v>
      </c>
      <c r="J329" s="290">
        <v>20</v>
      </c>
      <c r="K329" s="513">
        <f>20/2</f>
        <v>10</v>
      </c>
      <c r="L329" s="867" t="s">
        <v>739</v>
      </c>
      <c r="M329" s="216"/>
      <c r="N329" s="216"/>
      <c r="O329" s="216"/>
      <c r="P329" s="216"/>
      <c r="Q329" s="216"/>
      <c r="R329" s="216"/>
      <c r="S329" s="216"/>
      <c r="T329" s="216"/>
      <c r="U329" s="216"/>
      <c r="V329" s="216"/>
      <c r="W329" s="216"/>
      <c r="X329" s="216"/>
      <c r="Y329" s="216"/>
      <c r="Z329" s="216"/>
    </row>
    <row r="330" spans="1:26" ht="15.75" customHeight="1">
      <c r="A330" s="302" t="s">
        <v>2852</v>
      </c>
      <c r="B330" s="302" t="s">
        <v>2853</v>
      </c>
      <c r="C330" s="316" t="s">
        <v>141</v>
      </c>
      <c r="D330" s="301" t="s">
        <v>5709</v>
      </c>
      <c r="E330" s="301" t="s">
        <v>5710</v>
      </c>
      <c r="F330" s="289" t="s">
        <v>5701</v>
      </c>
      <c r="G330" s="304">
        <v>2</v>
      </c>
      <c r="H330" s="290">
        <v>2</v>
      </c>
      <c r="I330" s="290">
        <v>3</v>
      </c>
      <c r="J330" s="290">
        <v>10</v>
      </c>
      <c r="K330" s="513">
        <f>10/2</f>
        <v>5</v>
      </c>
      <c r="L330" s="867" t="s">
        <v>739</v>
      </c>
      <c r="M330" s="216"/>
      <c r="N330" s="216"/>
      <c r="O330" s="216"/>
      <c r="P330" s="216"/>
      <c r="Q330" s="216"/>
      <c r="R330" s="216"/>
      <c r="S330" s="216"/>
      <c r="T330" s="216"/>
      <c r="U330" s="216"/>
      <c r="V330" s="216"/>
      <c r="W330" s="216"/>
      <c r="X330" s="216"/>
      <c r="Y330" s="216"/>
      <c r="Z330" s="216"/>
    </row>
    <row r="331" spans="1:26" ht="15.75" customHeight="1">
      <c r="A331" s="515" t="s">
        <v>2874</v>
      </c>
      <c r="B331" s="514" t="s">
        <v>2875</v>
      </c>
      <c r="C331" s="290" t="s">
        <v>141</v>
      </c>
      <c r="D331" s="515" t="s">
        <v>5711</v>
      </c>
      <c r="E331" s="515" t="s">
        <v>5712</v>
      </c>
      <c r="F331" s="301" t="s">
        <v>5713</v>
      </c>
      <c r="G331" s="870">
        <v>2</v>
      </c>
      <c r="H331" s="871">
        <v>2</v>
      </c>
      <c r="I331" s="493">
        <v>2</v>
      </c>
      <c r="J331" s="493">
        <v>20</v>
      </c>
      <c r="K331" s="643">
        <v>10</v>
      </c>
      <c r="L331" s="867" t="s">
        <v>739</v>
      </c>
      <c r="M331" s="216"/>
      <c r="N331" s="216"/>
      <c r="O331" s="216"/>
      <c r="P331" s="216"/>
      <c r="Q331" s="216"/>
      <c r="R331" s="216"/>
      <c r="S331" s="216"/>
      <c r="T331" s="216"/>
      <c r="U331" s="216"/>
      <c r="V331" s="216"/>
      <c r="W331" s="216"/>
      <c r="X331" s="216"/>
      <c r="Y331" s="216"/>
      <c r="Z331" s="216"/>
    </row>
    <row r="332" spans="1:26" ht="15.75" customHeight="1">
      <c r="A332" s="301" t="s">
        <v>2866</v>
      </c>
      <c r="B332" s="301" t="s">
        <v>2867</v>
      </c>
      <c r="C332" s="290" t="s">
        <v>141</v>
      </c>
      <c r="D332" s="301" t="s">
        <v>5714</v>
      </c>
      <c r="E332" s="872" t="s">
        <v>5715</v>
      </c>
      <c r="F332" s="301" t="s">
        <v>2072</v>
      </c>
      <c r="G332" s="870">
        <v>2</v>
      </c>
      <c r="H332" s="871">
        <v>2</v>
      </c>
      <c r="I332" s="493">
        <v>2</v>
      </c>
      <c r="J332" s="493">
        <v>20</v>
      </c>
      <c r="K332" s="643">
        <v>10</v>
      </c>
      <c r="L332" s="867" t="s">
        <v>739</v>
      </c>
      <c r="M332" s="216"/>
      <c r="N332" s="216"/>
      <c r="O332" s="216"/>
      <c r="P332" s="216"/>
      <c r="Q332" s="216"/>
      <c r="R332" s="216"/>
      <c r="S332" s="216"/>
      <c r="T332" s="216"/>
      <c r="U332" s="216"/>
      <c r="V332" s="216"/>
      <c r="W332" s="216"/>
      <c r="X332" s="216"/>
      <c r="Y332" s="216"/>
      <c r="Z332" s="216"/>
    </row>
    <row r="333" spans="1:26" ht="15.75" customHeight="1">
      <c r="A333" s="301" t="s">
        <v>2848</v>
      </c>
      <c r="B333" s="301" t="s">
        <v>2849</v>
      </c>
      <c r="C333" s="290" t="s">
        <v>141</v>
      </c>
      <c r="D333" s="301" t="s">
        <v>5716</v>
      </c>
      <c r="E333" s="301" t="s">
        <v>5717</v>
      </c>
      <c r="F333" s="301" t="s">
        <v>5718</v>
      </c>
      <c r="G333" s="870">
        <v>3</v>
      </c>
      <c r="H333" s="871">
        <v>3</v>
      </c>
      <c r="I333" s="493">
        <v>3</v>
      </c>
      <c r="J333" s="493">
        <v>20</v>
      </c>
      <c r="K333" s="643">
        <f>20/3</f>
        <v>6.666666666666667</v>
      </c>
      <c r="L333" s="867" t="s">
        <v>739</v>
      </c>
      <c r="M333" s="216"/>
      <c r="N333" s="216"/>
      <c r="O333" s="216"/>
      <c r="P333" s="216"/>
      <c r="Q333" s="216"/>
      <c r="R333" s="216"/>
      <c r="S333" s="216"/>
      <c r="T333" s="216"/>
      <c r="U333" s="216"/>
      <c r="V333" s="216"/>
      <c r="W333" s="216"/>
      <c r="X333" s="216"/>
      <c r="Y333" s="216"/>
      <c r="Z333" s="216"/>
    </row>
    <row r="334" spans="1:26" ht="15.75" customHeight="1">
      <c r="A334" s="134" t="s">
        <v>2958</v>
      </c>
      <c r="B334" s="99" t="s">
        <v>2959</v>
      </c>
      <c r="C334" s="99" t="s">
        <v>141</v>
      </c>
      <c r="D334" s="133" t="s">
        <v>5719</v>
      </c>
      <c r="E334" s="133" t="s">
        <v>5720</v>
      </c>
      <c r="F334" s="99" t="s">
        <v>5721</v>
      </c>
      <c r="G334" s="99">
        <v>3</v>
      </c>
      <c r="H334" s="500">
        <v>3</v>
      </c>
      <c r="I334" s="873">
        <v>3</v>
      </c>
      <c r="J334" s="873">
        <v>10</v>
      </c>
      <c r="K334" s="874">
        <f t="shared" ref="K334:K340" si="25">J334/H334</f>
        <v>3.3333333333333335</v>
      </c>
      <c r="L334" s="216" t="s">
        <v>2962</v>
      </c>
      <c r="M334" s="216"/>
      <c r="N334" s="216"/>
      <c r="O334" s="216"/>
      <c r="P334" s="216"/>
      <c r="Q334" s="216"/>
      <c r="R334" s="216"/>
      <c r="S334" s="216"/>
      <c r="T334" s="216"/>
      <c r="U334" s="216"/>
      <c r="V334" s="216"/>
      <c r="W334" s="216"/>
      <c r="X334" s="216"/>
      <c r="Y334" s="216"/>
      <c r="Z334" s="216"/>
    </row>
    <row r="335" spans="1:26" ht="15.75" customHeight="1">
      <c r="A335" s="134" t="s">
        <v>2958</v>
      </c>
      <c r="B335" s="99" t="s">
        <v>2959</v>
      </c>
      <c r="C335" s="99" t="s">
        <v>141</v>
      </c>
      <c r="D335" s="133" t="s">
        <v>5722</v>
      </c>
      <c r="E335" s="240" t="s">
        <v>5723</v>
      </c>
      <c r="F335" s="99" t="s">
        <v>5724</v>
      </c>
      <c r="G335" s="99">
        <v>3</v>
      </c>
      <c r="H335" s="500">
        <v>3</v>
      </c>
      <c r="I335" s="873">
        <v>3</v>
      </c>
      <c r="J335" s="873">
        <v>10</v>
      </c>
      <c r="K335" s="874">
        <f t="shared" si="25"/>
        <v>3.3333333333333335</v>
      </c>
      <c r="L335" s="216" t="s">
        <v>2962</v>
      </c>
      <c r="M335" s="216"/>
      <c r="N335" s="216"/>
      <c r="O335" s="216"/>
      <c r="P335" s="216"/>
      <c r="Q335" s="216"/>
      <c r="R335" s="216"/>
      <c r="S335" s="216"/>
      <c r="T335" s="216"/>
      <c r="U335" s="216"/>
      <c r="V335" s="216"/>
      <c r="W335" s="216"/>
      <c r="X335" s="216"/>
      <c r="Y335" s="216"/>
      <c r="Z335" s="216"/>
    </row>
    <row r="336" spans="1:26" ht="15.75" customHeight="1">
      <c r="A336" s="134" t="s">
        <v>5725</v>
      </c>
      <c r="B336" s="99" t="s">
        <v>2974</v>
      </c>
      <c r="C336" s="99" t="s">
        <v>141</v>
      </c>
      <c r="D336" s="133" t="s">
        <v>5726</v>
      </c>
      <c r="E336" s="240" t="s">
        <v>5727</v>
      </c>
      <c r="F336" s="99" t="s">
        <v>5728</v>
      </c>
      <c r="G336" s="99">
        <v>4</v>
      </c>
      <c r="H336" s="500">
        <v>4</v>
      </c>
      <c r="I336" s="873">
        <v>4</v>
      </c>
      <c r="J336" s="873">
        <v>10</v>
      </c>
      <c r="K336" s="874">
        <f t="shared" si="25"/>
        <v>2.5</v>
      </c>
      <c r="L336" s="216" t="s">
        <v>2962</v>
      </c>
      <c r="M336" s="216"/>
      <c r="N336" s="216"/>
      <c r="O336" s="216"/>
      <c r="P336" s="216"/>
      <c r="Q336" s="216"/>
      <c r="R336" s="216"/>
      <c r="S336" s="216"/>
      <c r="T336" s="216"/>
      <c r="U336" s="216"/>
      <c r="V336" s="216"/>
      <c r="W336" s="216"/>
      <c r="X336" s="216"/>
      <c r="Y336" s="216"/>
      <c r="Z336" s="216"/>
    </row>
    <row r="337" spans="1:26" ht="15.75" customHeight="1">
      <c r="A337" s="28" t="s">
        <v>2987</v>
      </c>
      <c r="B337" s="523" t="s">
        <v>2988</v>
      </c>
      <c r="C337" s="28" t="s">
        <v>141</v>
      </c>
      <c r="D337" s="523" t="s">
        <v>5729</v>
      </c>
      <c r="E337" s="524" t="s">
        <v>5730</v>
      </c>
      <c r="F337" s="28" t="s">
        <v>5731</v>
      </c>
      <c r="G337" s="28">
        <v>3</v>
      </c>
      <c r="H337" s="28">
        <v>3</v>
      </c>
      <c r="I337" s="28">
        <v>5</v>
      </c>
      <c r="J337" s="28">
        <v>20</v>
      </c>
      <c r="K337" s="526">
        <f t="shared" si="25"/>
        <v>6.666666666666667</v>
      </c>
      <c r="L337" s="216" t="s">
        <v>758</v>
      </c>
      <c r="M337" s="216"/>
      <c r="N337" s="216"/>
      <c r="O337" s="216"/>
      <c r="P337" s="216"/>
      <c r="Q337" s="216"/>
      <c r="R337" s="216"/>
      <c r="S337" s="216"/>
      <c r="T337" s="216"/>
      <c r="U337" s="216"/>
      <c r="V337" s="216"/>
      <c r="W337" s="216"/>
      <c r="X337" s="216"/>
      <c r="Y337" s="216"/>
      <c r="Z337" s="216"/>
    </row>
    <row r="338" spans="1:26" ht="15.75" customHeight="1">
      <c r="A338" s="134" t="s">
        <v>2958</v>
      </c>
      <c r="B338" s="99" t="s">
        <v>2959</v>
      </c>
      <c r="C338" s="99" t="s">
        <v>141</v>
      </c>
      <c r="D338" s="133" t="s">
        <v>5719</v>
      </c>
      <c r="E338" s="133" t="s">
        <v>5720</v>
      </c>
      <c r="F338" s="99" t="s">
        <v>5721</v>
      </c>
      <c r="G338" s="99">
        <v>3</v>
      </c>
      <c r="H338" s="500">
        <v>3</v>
      </c>
      <c r="I338" s="521">
        <v>3</v>
      </c>
      <c r="J338" s="521">
        <v>10</v>
      </c>
      <c r="K338" s="522">
        <f t="shared" si="25"/>
        <v>3.3333333333333335</v>
      </c>
      <c r="L338" s="216" t="s">
        <v>3007</v>
      </c>
      <c r="M338" s="216"/>
      <c r="N338" s="216"/>
      <c r="O338" s="216"/>
      <c r="P338" s="216"/>
      <c r="Q338" s="216"/>
      <c r="R338" s="216"/>
      <c r="S338" s="216"/>
      <c r="T338" s="216"/>
      <c r="U338" s="216"/>
      <c r="V338" s="216"/>
      <c r="W338" s="216"/>
      <c r="X338" s="216"/>
      <c r="Y338" s="216"/>
      <c r="Z338" s="216"/>
    </row>
    <row r="339" spans="1:26" ht="15.75" customHeight="1">
      <c r="A339" s="134" t="s">
        <v>2958</v>
      </c>
      <c r="B339" s="99" t="s">
        <v>2959</v>
      </c>
      <c r="C339" s="99" t="s">
        <v>141</v>
      </c>
      <c r="D339" s="133" t="s">
        <v>5722</v>
      </c>
      <c r="E339" s="240" t="s">
        <v>5723</v>
      </c>
      <c r="F339" s="99" t="s">
        <v>5724</v>
      </c>
      <c r="G339" s="99">
        <v>3</v>
      </c>
      <c r="H339" s="500">
        <v>3</v>
      </c>
      <c r="I339" s="521">
        <v>3</v>
      </c>
      <c r="J339" s="521">
        <v>10</v>
      </c>
      <c r="K339" s="522">
        <f t="shared" si="25"/>
        <v>3.3333333333333335</v>
      </c>
      <c r="L339" s="216" t="s">
        <v>3007</v>
      </c>
      <c r="M339" s="216"/>
      <c r="N339" s="216"/>
      <c r="O339" s="216"/>
      <c r="P339" s="216"/>
      <c r="Q339" s="216"/>
      <c r="R339" s="216"/>
      <c r="S339" s="216"/>
      <c r="T339" s="216"/>
      <c r="U339" s="216"/>
      <c r="V339" s="216"/>
      <c r="W339" s="216"/>
      <c r="X339" s="216"/>
      <c r="Y339" s="216"/>
      <c r="Z339" s="216"/>
    </row>
    <row r="340" spans="1:26" ht="15.75" customHeight="1">
      <c r="A340" s="134" t="s">
        <v>5725</v>
      </c>
      <c r="B340" s="99" t="s">
        <v>2974</v>
      </c>
      <c r="C340" s="99" t="s">
        <v>141</v>
      </c>
      <c r="D340" s="133" t="s">
        <v>5726</v>
      </c>
      <c r="E340" s="240" t="s">
        <v>5727</v>
      </c>
      <c r="F340" s="99" t="s">
        <v>5728</v>
      </c>
      <c r="G340" s="99">
        <v>4</v>
      </c>
      <c r="H340" s="500">
        <v>4</v>
      </c>
      <c r="I340" s="521">
        <v>4</v>
      </c>
      <c r="J340" s="521">
        <v>10</v>
      </c>
      <c r="K340" s="522">
        <f t="shared" si="25"/>
        <v>2.5</v>
      </c>
      <c r="L340" s="216" t="s">
        <v>3007</v>
      </c>
      <c r="M340" s="216"/>
      <c r="N340" s="216"/>
      <c r="O340" s="216"/>
      <c r="P340" s="216"/>
      <c r="Q340" s="216"/>
      <c r="R340" s="216"/>
      <c r="S340" s="216"/>
      <c r="T340" s="216"/>
      <c r="U340" s="216"/>
      <c r="V340" s="216"/>
      <c r="W340" s="216"/>
      <c r="X340" s="216"/>
      <c r="Y340" s="216"/>
      <c r="Z340" s="216"/>
    </row>
    <row r="341" spans="1:26" ht="15.75" customHeight="1">
      <c r="A341" s="515" t="s">
        <v>2870</v>
      </c>
      <c r="B341" s="515" t="s">
        <v>5691</v>
      </c>
      <c r="C341" s="316" t="s">
        <v>141</v>
      </c>
      <c r="D341" s="591" t="s">
        <v>5692</v>
      </c>
      <c r="E341" s="591" t="s">
        <v>5693</v>
      </c>
      <c r="F341" s="869" t="s">
        <v>4963</v>
      </c>
      <c r="G341" s="512">
        <v>3</v>
      </c>
      <c r="H341" s="512">
        <v>3</v>
      </c>
      <c r="I341" s="516">
        <v>3</v>
      </c>
      <c r="J341" s="493">
        <v>10</v>
      </c>
      <c r="K341" s="789">
        <v>3.33</v>
      </c>
      <c r="L341" s="216" t="s">
        <v>3020</v>
      </c>
      <c r="M341" s="216"/>
      <c r="N341" s="216"/>
      <c r="O341" s="216"/>
      <c r="P341" s="216"/>
      <c r="Q341" s="216"/>
      <c r="R341" s="216"/>
      <c r="S341" s="216"/>
      <c r="T341" s="216"/>
      <c r="U341" s="216"/>
      <c r="V341" s="216"/>
      <c r="W341" s="216"/>
      <c r="X341" s="216"/>
      <c r="Y341" s="216"/>
      <c r="Z341" s="216"/>
    </row>
    <row r="342" spans="1:26" ht="15.75" customHeight="1">
      <c r="A342" s="515" t="s">
        <v>2874</v>
      </c>
      <c r="B342" s="514" t="s">
        <v>2875</v>
      </c>
      <c r="C342" s="290" t="s">
        <v>141</v>
      </c>
      <c r="D342" s="515" t="s">
        <v>5711</v>
      </c>
      <c r="E342" s="515" t="s">
        <v>5712</v>
      </c>
      <c r="F342" s="301" t="s">
        <v>5713</v>
      </c>
      <c r="G342" s="870">
        <v>2</v>
      </c>
      <c r="H342" s="871">
        <v>2</v>
      </c>
      <c r="I342" s="493">
        <v>2</v>
      </c>
      <c r="J342" s="493">
        <v>20</v>
      </c>
      <c r="K342" s="643">
        <v>10</v>
      </c>
      <c r="L342" s="216" t="s">
        <v>3020</v>
      </c>
      <c r="M342" s="216"/>
      <c r="N342" s="216"/>
      <c r="O342" s="216"/>
      <c r="P342" s="216"/>
      <c r="Q342" s="216"/>
      <c r="R342" s="216"/>
      <c r="S342" s="216"/>
      <c r="T342" s="216"/>
      <c r="U342" s="216"/>
      <c r="V342" s="216"/>
      <c r="W342" s="216"/>
      <c r="X342" s="216"/>
      <c r="Y342" s="216"/>
      <c r="Z342" s="216"/>
    </row>
    <row r="343" spans="1:26" ht="15.75" customHeight="1">
      <c r="A343" s="134" t="s">
        <v>3021</v>
      </c>
      <c r="B343" s="875" t="s">
        <v>5732</v>
      </c>
      <c r="C343" s="99" t="s">
        <v>141</v>
      </c>
      <c r="D343" s="535" t="s">
        <v>5733</v>
      </c>
      <c r="E343" s="130" t="s">
        <v>5734</v>
      </c>
      <c r="F343" s="162" t="s">
        <v>5735</v>
      </c>
      <c r="G343" s="162">
        <v>1</v>
      </c>
      <c r="H343" s="162">
        <v>1</v>
      </c>
      <c r="I343" s="162">
        <v>2</v>
      </c>
      <c r="J343" s="162">
        <v>20</v>
      </c>
      <c r="K343" s="483">
        <f t="shared" ref="K343:K374" si="26">J343/G343</f>
        <v>20</v>
      </c>
      <c r="L343" s="216" t="s">
        <v>798</v>
      </c>
      <c r="M343" s="216"/>
      <c r="N343" s="216"/>
      <c r="O343" s="216"/>
      <c r="P343" s="216"/>
      <c r="Q343" s="216"/>
      <c r="R343" s="216"/>
      <c r="S343" s="216"/>
      <c r="T343" s="216"/>
      <c r="U343" s="216"/>
      <c r="V343" s="216"/>
      <c r="W343" s="216"/>
      <c r="X343" s="216"/>
      <c r="Y343" s="216"/>
      <c r="Z343" s="216"/>
    </row>
    <row r="344" spans="1:26" ht="15.75" customHeight="1">
      <c r="A344" s="134" t="s">
        <v>3021</v>
      </c>
      <c r="B344" s="875" t="s">
        <v>5736</v>
      </c>
      <c r="C344" s="99" t="s">
        <v>141</v>
      </c>
      <c r="D344" s="535" t="s">
        <v>5737</v>
      </c>
      <c r="E344" s="130" t="s">
        <v>5738</v>
      </c>
      <c r="F344" s="162" t="s">
        <v>5739</v>
      </c>
      <c r="G344" s="162">
        <v>1</v>
      </c>
      <c r="H344" s="162">
        <v>1</v>
      </c>
      <c r="I344" s="162">
        <v>2</v>
      </c>
      <c r="J344" s="162">
        <v>20</v>
      </c>
      <c r="K344" s="483">
        <f t="shared" si="26"/>
        <v>20</v>
      </c>
      <c r="L344" s="216" t="s">
        <v>798</v>
      </c>
      <c r="M344" s="216"/>
      <c r="N344" s="216"/>
      <c r="O344" s="216"/>
      <c r="P344" s="216"/>
      <c r="Q344" s="216"/>
      <c r="R344" s="216"/>
      <c r="S344" s="216"/>
      <c r="T344" s="216"/>
      <c r="U344" s="216"/>
      <c r="V344" s="216"/>
      <c r="W344" s="216"/>
      <c r="X344" s="216"/>
      <c r="Y344" s="216"/>
      <c r="Z344" s="216"/>
    </row>
    <row r="345" spans="1:26" ht="15.75" customHeight="1">
      <c r="A345" s="134" t="s">
        <v>3021</v>
      </c>
      <c r="B345" s="875" t="s">
        <v>5740</v>
      </c>
      <c r="C345" s="99" t="s">
        <v>141</v>
      </c>
      <c r="D345" s="535" t="s">
        <v>5741</v>
      </c>
      <c r="E345" s="130" t="s">
        <v>5742</v>
      </c>
      <c r="F345" s="162" t="s">
        <v>5743</v>
      </c>
      <c r="G345" s="162">
        <v>1</v>
      </c>
      <c r="H345" s="162">
        <v>1</v>
      </c>
      <c r="I345" s="162">
        <v>2</v>
      </c>
      <c r="J345" s="162">
        <v>20</v>
      </c>
      <c r="K345" s="483">
        <f t="shared" si="26"/>
        <v>20</v>
      </c>
      <c r="L345" s="216" t="s">
        <v>798</v>
      </c>
      <c r="M345" s="216"/>
      <c r="N345" s="216"/>
      <c r="O345" s="216"/>
      <c r="P345" s="216"/>
      <c r="Q345" s="216"/>
      <c r="R345" s="216"/>
      <c r="S345" s="216"/>
      <c r="T345" s="216"/>
      <c r="U345" s="216"/>
      <c r="V345" s="216"/>
      <c r="W345" s="216"/>
      <c r="X345" s="216"/>
      <c r="Y345" s="216"/>
      <c r="Z345" s="216"/>
    </row>
    <row r="346" spans="1:26" ht="15.75" customHeight="1">
      <c r="A346" s="134" t="s">
        <v>3021</v>
      </c>
      <c r="B346" s="875" t="s">
        <v>5744</v>
      </c>
      <c r="C346" s="99" t="s">
        <v>141</v>
      </c>
      <c r="D346" s="535" t="s">
        <v>5745</v>
      </c>
      <c r="E346" s="130" t="s">
        <v>5746</v>
      </c>
      <c r="F346" s="162" t="s">
        <v>5747</v>
      </c>
      <c r="G346" s="162">
        <v>1</v>
      </c>
      <c r="H346" s="162">
        <v>1</v>
      </c>
      <c r="I346" s="162">
        <v>2</v>
      </c>
      <c r="J346" s="162">
        <v>20</v>
      </c>
      <c r="K346" s="483">
        <f t="shared" si="26"/>
        <v>20</v>
      </c>
      <c r="L346" s="216" t="s">
        <v>798</v>
      </c>
      <c r="M346" s="216"/>
      <c r="N346" s="216"/>
      <c r="O346" s="216"/>
      <c r="P346" s="216"/>
      <c r="Q346" s="216"/>
      <c r="R346" s="216"/>
      <c r="S346" s="216"/>
      <c r="T346" s="216"/>
      <c r="U346" s="216"/>
      <c r="V346" s="216"/>
      <c r="W346" s="216"/>
      <c r="X346" s="216"/>
      <c r="Y346" s="216"/>
      <c r="Z346" s="216"/>
    </row>
    <row r="347" spans="1:26" ht="15.75" customHeight="1">
      <c r="A347" s="134" t="s">
        <v>3021</v>
      </c>
      <c r="B347" s="875" t="s">
        <v>5748</v>
      </c>
      <c r="C347" s="99" t="s">
        <v>141</v>
      </c>
      <c r="D347" s="535" t="s">
        <v>5749</v>
      </c>
      <c r="E347" s="130" t="s">
        <v>5750</v>
      </c>
      <c r="F347" s="162" t="s">
        <v>5731</v>
      </c>
      <c r="G347" s="162">
        <v>1</v>
      </c>
      <c r="H347" s="162">
        <v>1</v>
      </c>
      <c r="I347" s="162">
        <v>2</v>
      </c>
      <c r="J347" s="162">
        <v>10</v>
      </c>
      <c r="K347" s="483">
        <f t="shared" si="26"/>
        <v>10</v>
      </c>
      <c r="L347" s="216" t="s">
        <v>798</v>
      </c>
      <c r="M347" s="216"/>
      <c r="N347" s="216"/>
      <c r="O347" s="216"/>
      <c r="P347" s="216"/>
      <c r="Q347" s="216"/>
      <c r="R347" s="216"/>
      <c r="S347" s="216"/>
      <c r="T347" s="216"/>
      <c r="U347" s="216"/>
      <c r="V347" s="216"/>
      <c r="W347" s="216"/>
      <c r="X347" s="216"/>
      <c r="Y347" s="216"/>
      <c r="Z347" s="216"/>
    </row>
    <row r="348" spans="1:26" ht="15.75" customHeight="1">
      <c r="A348" s="134" t="s">
        <v>3021</v>
      </c>
      <c r="B348" s="875" t="s">
        <v>5751</v>
      </c>
      <c r="C348" s="99" t="s">
        <v>141</v>
      </c>
      <c r="D348" s="535" t="s">
        <v>5752</v>
      </c>
      <c r="E348" s="130" t="s">
        <v>5753</v>
      </c>
      <c r="F348" s="162" t="s">
        <v>5754</v>
      </c>
      <c r="G348" s="162">
        <v>1</v>
      </c>
      <c r="H348" s="162">
        <v>1</v>
      </c>
      <c r="I348" s="162">
        <v>2</v>
      </c>
      <c r="J348" s="162">
        <v>20</v>
      </c>
      <c r="K348" s="483">
        <f t="shared" si="26"/>
        <v>20</v>
      </c>
      <c r="L348" s="216" t="s">
        <v>798</v>
      </c>
      <c r="M348" s="216"/>
      <c r="N348" s="216"/>
      <c r="O348" s="216"/>
      <c r="P348" s="216"/>
      <c r="Q348" s="216"/>
      <c r="R348" s="216"/>
      <c r="S348" s="216"/>
      <c r="T348" s="216"/>
      <c r="U348" s="216"/>
      <c r="V348" s="216"/>
      <c r="W348" s="216"/>
      <c r="X348" s="216"/>
      <c r="Y348" s="216"/>
      <c r="Z348" s="216"/>
    </row>
    <row r="349" spans="1:26" ht="15.75" customHeight="1">
      <c r="A349" s="134" t="s">
        <v>3021</v>
      </c>
      <c r="B349" s="875" t="s">
        <v>5755</v>
      </c>
      <c r="C349" s="99" t="s">
        <v>141</v>
      </c>
      <c r="D349" s="535" t="s">
        <v>5756</v>
      </c>
      <c r="E349" s="130" t="s">
        <v>5757</v>
      </c>
      <c r="F349" s="162" t="s">
        <v>5758</v>
      </c>
      <c r="G349" s="162">
        <v>1</v>
      </c>
      <c r="H349" s="162">
        <v>1</v>
      </c>
      <c r="I349" s="162">
        <v>2</v>
      </c>
      <c r="J349" s="162">
        <v>20</v>
      </c>
      <c r="K349" s="483">
        <f t="shared" si="26"/>
        <v>20</v>
      </c>
      <c r="L349" s="216" t="s">
        <v>798</v>
      </c>
      <c r="M349" s="216"/>
      <c r="N349" s="216"/>
      <c r="O349" s="216"/>
      <c r="P349" s="216"/>
      <c r="Q349" s="216"/>
      <c r="R349" s="216"/>
      <c r="S349" s="216"/>
      <c r="T349" s="216"/>
      <c r="U349" s="216"/>
      <c r="V349" s="216"/>
      <c r="W349" s="216"/>
      <c r="X349" s="216"/>
      <c r="Y349" s="216"/>
      <c r="Z349" s="216"/>
    </row>
    <row r="350" spans="1:26" ht="15.75" customHeight="1">
      <c r="A350" s="134" t="s">
        <v>3021</v>
      </c>
      <c r="B350" s="875" t="s">
        <v>5759</v>
      </c>
      <c r="C350" s="99" t="s">
        <v>141</v>
      </c>
      <c r="D350" s="535" t="s">
        <v>5760</v>
      </c>
      <c r="E350" s="130" t="s">
        <v>5761</v>
      </c>
      <c r="F350" s="162" t="s">
        <v>5731</v>
      </c>
      <c r="G350" s="162">
        <v>1</v>
      </c>
      <c r="H350" s="162">
        <v>1</v>
      </c>
      <c r="I350" s="162">
        <v>2</v>
      </c>
      <c r="J350" s="162">
        <v>20</v>
      </c>
      <c r="K350" s="483">
        <f t="shared" si="26"/>
        <v>20</v>
      </c>
      <c r="L350" s="216" t="s">
        <v>798</v>
      </c>
      <c r="M350" s="216"/>
      <c r="N350" s="216"/>
      <c r="O350" s="216"/>
      <c r="P350" s="216"/>
      <c r="Q350" s="216"/>
      <c r="R350" s="216"/>
      <c r="S350" s="216"/>
      <c r="T350" s="216"/>
      <c r="U350" s="216"/>
      <c r="V350" s="216"/>
      <c r="W350" s="216"/>
      <c r="X350" s="216"/>
      <c r="Y350" s="216"/>
      <c r="Z350" s="216"/>
    </row>
    <row r="351" spans="1:26" ht="15.75" customHeight="1">
      <c r="A351" s="134" t="s">
        <v>3021</v>
      </c>
      <c r="B351" s="875" t="s">
        <v>5762</v>
      </c>
      <c r="C351" s="99" t="s">
        <v>141</v>
      </c>
      <c r="D351" s="535" t="s">
        <v>5763</v>
      </c>
      <c r="E351" s="876" t="s">
        <v>5764</v>
      </c>
      <c r="F351" s="162" t="s">
        <v>5765</v>
      </c>
      <c r="G351" s="162">
        <v>1</v>
      </c>
      <c r="H351" s="162">
        <v>1</v>
      </c>
      <c r="I351" s="162">
        <v>2</v>
      </c>
      <c r="J351" s="162">
        <v>20</v>
      </c>
      <c r="K351" s="483">
        <f t="shared" si="26"/>
        <v>20</v>
      </c>
      <c r="L351" s="216" t="s">
        <v>798</v>
      </c>
      <c r="M351" s="216"/>
      <c r="N351" s="216"/>
      <c r="O351" s="216"/>
      <c r="P351" s="216"/>
      <c r="Q351" s="216"/>
      <c r="R351" s="216"/>
      <c r="S351" s="216"/>
      <c r="T351" s="216"/>
      <c r="U351" s="216"/>
      <c r="V351" s="216"/>
      <c r="W351" s="216"/>
      <c r="X351" s="216"/>
      <c r="Y351" s="216"/>
      <c r="Z351" s="216"/>
    </row>
    <row r="352" spans="1:26" ht="15.75" customHeight="1">
      <c r="A352" s="134" t="s">
        <v>3021</v>
      </c>
      <c r="B352" s="875" t="s">
        <v>5766</v>
      </c>
      <c r="C352" s="99" t="s">
        <v>141</v>
      </c>
      <c r="D352" s="535" t="s">
        <v>5767</v>
      </c>
      <c r="E352" s="130" t="s">
        <v>5768</v>
      </c>
      <c r="F352" s="162" t="s">
        <v>5731</v>
      </c>
      <c r="G352" s="162">
        <v>1</v>
      </c>
      <c r="H352" s="162">
        <v>1</v>
      </c>
      <c r="I352" s="162">
        <v>2</v>
      </c>
      <c r="J352" s="162">
        <v>20</v>
      </c>
      <c r="K352" s="483">
        <f t="shared" si="26"/>
        <v>20</v>
      </c>
      <c r="L352" s="216" t="s">
        <v>798</v>
      </c>
      <c r="M352" s="216"/>
      <c r="N352" s="216"/>
      <c r="O352" s="216"/>
      <c r="P352" s="216"/>
      <c r="Q352" s="216"/>
      <c r="R352" s="216"/>
      <c r="S352" s="216"/>
      <c r="T352" s="216"/>
      <c r="U352" s="216"/>
      <c r="V352" s="216"/>
      <c r="W352" s="216"/>
      <c r="X352" s="216"/>
      <c r="Y352" s="216"/>
      <c r="Z352" s="216"/>
    </row>
    <row r="353" spans="1:26" ht="15.75" customHeight="1">
      <c r="A353" s="134" t="s">
        <v>3021</v>
      </c>
      <c r="B353" s="875" t="s">
        <v>5769</v>
      </c>
      <c r="C353" s="99" t="s">
        <v>141</v>
      </c>
      <c r="D353" s="535" t="s">
        <v>5770</v>
      </c>
      <c r="E353" s="130" t="s">
        <v>5771</v>
      </c>
      <c r="F353" s="162" t="s">
        <v>5772</v>
      </c>
      <c r="G353" s="162">
        <v>1</v>
      </c>
      <c r="H353" s="162">
        <v>1</v>
      </c>
      <c r="I353" s="162">
        <v>2</v>
      </c>
      <c r="J353" s="162">
        <v>20</v>
      </c>
      <c r="K353" s="483">
        <f t="shared" si="26"/>
        <v>20</v>
      </c>
      <c r="L353" s="216" t="s">
        <v>798</v>
      </c>
      <c r="M353" s="216"/>
      <c r="N353" s="216"/>
      <c r="O353" s="216"/>
      <c r="P353" s="216"/>
      <c r="Q353" s="216"/>
      <c r="R353" s="216"/>
      <c r="S353" s="216"/>
      <c r="T353" s="216"/>
      <c r="U353" s="216"/>
      <c r="V353" s="216"/>
      <c r="W353" s="216"/>
      <c r="X353" s="216"/>
      <c r="Y353" s="216"/>
      <c r="Z353" s="216"/>
    </row>
    <row r="354" spans="1:26" ht="15.75" customHeight="1">
      <c r="A354" s="134" t="s">
        <v>3021</v>
      </c>
      <c r="B354" s="875" t="s">
        <v>5773</v>
      </c>
      <c r="C354" s="99" t="s">
        <v>141</v>
      </c>
      <c r="D354" s="535" t="s">
        <v>5774</v>
      </c>
      <c r="E354" s="876" t="s">
        <v>5775</v>
      </c>
      <c r="F354" s="162" t="s">
        <v>5776</v>
      </c>
      <c r="G354" s="162">
        <v>1</v>
      </c>
      <c r="H354" s="162">
        <v>1</v>
      </c>
      <c r="I354" s="162">
        <v>2</v>
      </c>
      <c r="J354" s="162">
        <v>20</v>
      </c>
      <c r="K354" s="483">
        <f t="shared" si="26"/>
        <v>20</v>
      </c>
      <c r="L354" s="216" t="s">
        <v>798</v>
      </c>
      <c r="M354" s="216"/>
      <c r="N354" s="216"/>
      <c r="O354" s="216"/>
      <c r="P354" s="216"/>
      <c r="Q354" s="216"/>
      <c r="R354" s="216"/>
      <c r="S354" s="216"/>
      <c r="T354" s="216"/>
      <c r="U354" s="216"/>
      <c r="V354" s="216"/>
      <c r="W354" s="216"/>
      <c r="X354" s="216"/>
      <c r="Y354" s="216"/>
      <c r="Z354" s="216"/>
    </row>
    <row r="355" spans="1:26" ht="15.75" customHeight="1">
      <c r="A355" s="134" t="s">
        <v>3031</v>
      </c>
      <c r="B355" s="875" t="s">
        <v>3032</v>
      </c>
      <c r="C355" s="99" t="s">
        <v>141</v>
      </c>
      <c r="D355" s="535" t="s">
        <v>5714</v>
      </c>
      <c r="E355" s="130" t="s">
        <v>5715</v>
      </c>
      <c r="F355" s="162" t="s">
        <v>5735</v>
      </c>
      <c r="G355" s="162">
        <v>2</v>
      </c>
      <c r="H355" s="162">
        <v>2</v>
      </c>
      <c r="I355" s="162">
        <v>5</v>
      </c>
      <c r="J355" s="162">
        <v>20</v>
      </c>
      <c r="K355" s="483">
        <f t="shared" si="26"/>
        <v>10</v>
      </c>
      <c r="L355" s="216" t="s">
        <v>798</v>
      </c>
      <c r="M355" s="216"/>
      <c r="N355" s="216"/>
      <c r="O355" s="216"/>
      <c r="P355" s="216"/>
      <c r="Q355" s="216"/>
      <c r="R355" s="216"/>
      <c r="S355" s="216"/>
      <c r="T355" s="216"/>
      <c r="U355" s="216"/>
      <c r="V355" s="216"/>
      <c r="W355" s="216"/>
      <c r="X355" s="216"/>
      <c r="Y355" s="216"/>
      <c r="Z355" s="216"/>
    </row>
    <row r="356" spans="1:26" ht="15.75" customHeight="1">
      <c r="A356" s="134" t="s">
        <v>3031</v>
      </c>
      <c r="B356" s="875" t="s">
        <v>3032</v>
      </c>
      <c r="C356" s="99" t="s">
        <v>141</v>
      </c>
      <c r="D356" s="535" t="s">
        <v>5777</v>
      </c>
      <c r="E356" s="130" t="s">
        <v>5778</v>
      </c>
      <c r="F356" s="162" t="s">
        <v>5758</v>
      </c>
      <c r="G356" s="162">
        <v>2</v>
      </c>
      <c r="H356" s="162">
        <v>2</v>
      </c>
      <c r="I356" s="162">
        <v>5</v>
      </c>
      <c r="J356" s="162">
        <v>10</v>
      </c>
      <c r="K356" s="483">
        <f t="shared" si="26"/>
        <v>5</v>
      </c>
      <c r="L356" s="216" t="s">
        <v>798</v>
      </c>
      <c r="M356" s="216"/>
      <c r="N356" s="216"/>
      <c r="O356" s="216"/>
      <c r="P356" s="216"/>
      <c r="Q356" s="216"/>
      <c r="R356" s="216"/>
      <c r="S356" s="216"/>
      <c r="T356" s="216"/>
      <c r="U356" s="216"/>
      <c r="V356" s="216"/>
      <c r="W356" s="216"/>
      <c r="X356" s="216"/>
      <c r="Y356" s="216"/>
      <c r="Z356" s="216"/>
    </row>
    <row r="357" spans="1:26" ht="15.75" customHeight="1">
      <c r="A357" s="134" t="s">
        <v>3045</v>
      </c>
      <c r="B357" s="877" t="s">
        <v>3046</v>
      </c>
      <c r="C357" s="99" t="s">
        <v>141</v>
      </c>
      <c r="D357" s="535" t="s">
        <v>5779</v>
      </c>
      <c r="E357" s="130" t="s">
        <v>5280</v>
      </c>
      <c r="F357" s="162" t="s">
        <v>5780</v>
      </c>
      <c r="G357" s="162">
        <v>3</v>
      </c>
      <c r="H357" s="162">
        <v>3</v>
      </c>
      <c r="I357" s="162">
        <v>7</v>
      </c>
      <c r="J357" s="162">
        <v>20</v>
      </c>
      <c r="K357" s="483">
        <f t="shared" si="26"/>
        <v>6.666666666666667</v>
      </c>
      <c r="L357" s="216" t="s">
        <v>798</v>
      </c>
      <c r="M357" s="216"/>
      <c r="N357" s="216"/>
      <c r="O357" s="216"/>
      <c r="P357" s="216"/>
      <c r="Q357" s="216"/>
      <c r="R357" s="216"/>
      <c r="S357" s="216"/>
      <c r="T357" s="216"/>
      <c r="U357" s="216"/>
      <c r="V357" s="216"/>
      <c r="W357" s="216"/>
      <c r="X357" s="216"/>
      <c r="Y357" s="216"/>
      <c r="Z357" s="216"/>
    </row>
    <row r="358" spans="1:26" ht="15.75" customHeight="1">
      <c r="A358" s="134" t="s">
        <v>3045</v>
      </c>
      <c r="B358" s="877" t="s">
        <v>3046</v>
      </c>
      <c r="C358" s="99" t="s">
        <v>141</v>
      </c>
      <c r="D358" s="535" t="s">
        <v>5781</v>
      </c>
      <c r="E358" s="130" t="s">
        <v>5782</v>
      </c>
      <c r="F358" s="162" t="s">
        <v>5731</v>
      </c>
      <c r="G358" s="162">
        <v>3</v>
      </c>
      <c r="H358" s="162">
        <v>3</v>
      </c>
      <c r="I358" s="162">
        <v>7</v>
      </c>
      <c r="J358" s="162">
        <v>20</v>
      </c>
      <c r="K358" s="483">
        <f t="shared" si="26"/>
        <v>6.666666666666667</v>
      </c>
      <c r="L358" s="216" t="s">
        <v>798</v>
      </c>
      <c r="M358" s="216"/>
      <c r="N358" s="216"/>
      <c r="O358" s="216"/>
      <c r="P358" s="216"/>
      <c r="Q358" s="216"/>
      <c r="R358" s="216"/>
      <c r="S358" s="216"/>
      <c r="T358" s="216"/>
      <c r="U358" s="216"/>
      <c r="V358" s="216"/>
      <c r="W358" s="216"/>
      <c r="X358" s="216"/>
      <c r="Y358" s="216"/>
      <c r="Z358" s="216"/>
    </row>
    <row r="359" spans="1:26" ht="15.75" customHeight="1">
      <c r="A359" s="134" t="s">
        <v>3069</v>
      </c>
      <c r="B359" s="875" t="s">
        <v>3070</v>
      </c>
      <c r="C359" s="99" t="s">
        <v>141</v>
      </c>
      <c r="D359" s="535" t="s">
        <v>2228</v>
      </c>
      <c r="E359" s="130" t="s">
        <v>5783</v>
      </c>
      <c r="F359" s="162" t="s">
        <v>5784</v>
      </c>
      <c r="G359" s="162">
        <v>2</v>
      </c>
      <c r="H359" s="162">
        <v>2</v>
      </c>
      <c r="I359" s="162">
        <v>3</v>
      </c>
      <c r="J359" s="162">
        <v>20</v>
      </c>
      <c r="K359" s="483">
        <f t="shared" si="26"/>
        <v>10</v>
      </c>
      <c r="L359" s="216" t="s">
        <v>798</v>
      </c>
      <c r="M359" s="216"/>
      <c r="N359" s="216"/>
      <c r="O359" s="216"/>
      <c r="P359" s="216"/>
      <c r="Q359" s="216"/>
      <c r="R359" s="216"/>
      <c r="S359" s="216"/>
      <c r="T359" s="216"/>
      <c r="U359" s="216"/>
      <c r="V359" s="216"/>
      <c r="W359" s="216"/>
      <c r="X359" s="216"/>
      <c r="Y359" s="216"/>
      <c r="Z359" s="216"/>
    </row>
    <row r="360" spans="1:26" ht="15.75" customHeight="1">
      <c r="A360" s="134" t="s">
        <v>3069</v>
      </c>
      <c r="B360" s="875" t="s">
        <v>3070</v>
      </c>
      <c r="C360" s="99" t="s">
        <v>141</v>
      </c>
      <c r="D360" s="535" t="s">
        <v>5785</v>
      </c>
      <c r="E360" s="130" t="s">
        <v>5786</v>
      </c>
      <c r="F360" s="162" t="s">
        <v>5787</v>
      </c>
      <c r="G360" s="162">
        <v>2</v>
      </c>
      <c r="H360" s="162">
        <v>2</v>
      </c>
      <c r="I360" s="162">
        <v>3</v>
      </c>
      <c r="J360" s="162">
        <v>20</v>
      </c>
      <c r="K360" s="483">
        <f t="shared" si="26"/>
        <v>10</v>
      </c>
      <c r="L360" s="216" t="s">
        <v>798</v>
      </c>
      <c r="M360" s="216"/>
      <c r="N360" s="216"/>
      <c r="O360" s="216"/>
      <c r="P360" s="216"/>
      <c r="Q360" s="216"/>
      <c r="R360" s="216"/>
      <c r="S360" s="216"/>
      <c r="T360" s="216"/>
      <c r="U360" s="216"/>
      <c r="V360" s="216"/>
      <c r="W360" s="216"/>
      <c r="X360" s="216"/>
      <c r="Y360" s="216"/>
      <c r="Z360" s="216"/>
    </row>
    <row r="361" spans="1:26" ht="15.75" customHeight="1">
      <c r="A361" s="134" t="s">
        <v>5788</v>
      </c>
      <c r="B361" s="875" t="s">
        <v>5789</v>
      </c>
      <c r="C361" s="99" t="s">
        <v>141</v>
      </c>
      <c r="D361" s="535" t="s">
        <v>5790</v>
      </c>
      <c r="E361" s="130" t="s">
        <v>5791</v>
      </c>
      <c r="F361" s="162" t="s">
        <v>5731</v>
      </c>
      <c r="G361" s="162">
        <v>3</v>
      </c>
      <c r="H361" s="162">
        <v>3</v>
      </c>
      <c r="I361" s="162">
        <v>3</v>
      </c>
      <c r="J361" s="162">
        <v>10</v>
      </c>
      <c r="K361" s="483">
        <f t="shared" si="26"/>
        <v>3.3333333333333335</v>
      </c>
      <c r="L361" s="216" t="s">
        <v>798</v>
      </c>
      <c r="M361" s="216"/>
      <c r="N361" s="216"/>
      <c r="O361" s="216"/>
      <c r="P361" s="216"/>
      <c r="Q361" s="216"/>
      <c r="R361" s="216"/>
      <c r="S361" s="216"/>
      <c r="T361" s="216"/>
      <c r="U361" s="216"/>
      <c r="V361" s="216"/>
      <c r="W361" s="216"/>
      <c r="X361" s="216"/>
      <c r="Y361" s="216"/>
      <c r="Z361" s="216"/>
    </row>
    <row r="362" spans="1:26" ht="15.75" customHeight="1">
      <c r="A362" s="134" t="s">
        <v>3075</v>
      </c>
      <c r="B362" s="875" t="s">
        <v>3076</v>
      </c>
      <c r="C362" s="99" t="s">
        <v>141</v>
      </c>
      <c r="D362" s="535" t="s">
        <v>5792</v>
      </c>
      <c r="E362" s="130" t="s">
        <v>5793</v>
      </c>
      <c r="F362" s="162" t="s">
        <v>5794</v>
      </c>
      <c r="G362" s="162">
        <v>2</v>
      </c>
      <c r="H362" s="162">
        <v>1</v>
      </c>
      <c r="I362" s="162">
        <v>7</v>
      </c>
      <c r="J362" s="162">
        <v>20</v>
      </c>
      <c r="K362" s="483">
        <f t="shared" si="26"/>
        <v>10</v>
      </c>
      <c r="L362" s="216" t="s">
        <v>798</v>
      </c>
      <c r="M362" s="216"/>
      <c r="N362" s="216"/>
      <c r="O362" s="216"/>
      <c r="P362" s="216"/>
      <c r="Q362" s="216"/>
      <c r="R362" s="216"/>
      <c r="S362" s="216"/>
      <c r="T362" s="216"/>
      <c r="U362" s="216"/>
      <c r="V362" s="216"/>
      <c r="W362" s="216"/>
      <c r="X362" s="216"/>
      <c r="Y362" s="216"/>
      <c r="Z362" s="216"/>
    </row>
    <row r="363" spans="1:26" ht="15.75" customHeight="1">
      <c r="A363" s="134" t="s">
        <v>3075</v>
      </c>
      <c r="B363" s="875" t="s">
        <v>3076</v>
      </c>
      <c r="C363" s="99" t="s">
        <v>141</v>
      </c>
      <c r="D363" s="535" t="s">
        <v>5795</v>
      </c>
      <c r="E363" s="130" t="s">
        <v>5796</v>
      </c>
      <c r="F363" s="162" t="s">
        <v>5735</v>
      </c>
      <c r="G363" s="162">
        <v>2</v>
      </c>
      <c r="H363" s="162">
        <v>1</v>
      </c>
      <c r="I363" s="162">
        <v>7</v>
      </c>
      <c r="J363" s="162">
        <v>20</v>
      </c>
      <c r="K363" s="483">
        <f t="shared" si="26"/>
        <v>10</v>
      </c>
      <c r="L363" s="216" t="s">
        <v>798</v>
      </c>
      <c r="M363" s="216"/>
      <c r="N363" s="216"/>
      <c r="O363" s="216"/>
      <c r="P363" s="216"/>
      <c r="Q363" s="216"/>
      <c r="R363" s="216"/>
      <c r="S363" s="216"/>
      <c r="T363" s="216"/>
      <c r="U363" s="216"/>
      <c r="V363" s="216"/>
      <c r="W363" s="216"/>
      <c r="X363" s="216"/>
      <c r="Y363" s="216"/>
      <c r="Z363" s="216"/>
    </row>
    <row r="364" spans="1:26" ht="15.75" customHeight="1">
      <c r="A364" s="134" t="s">
        <v>3075</v>
      </c>
      <c r="B364" s="875" t="s">
        <v>3076</v>
      </c>
      <c r="C364" s="99" t="s">
        <v>141</v>
      </c>
      <c r="D364" s="535" t="s">
        <v>5797</v>
      </c>
      <c r="E364" s="130" t="s">
        <v>5798</v>
      </c>
      <c r="F364" s="162" t="s">
        <v>5735</v>
      </c>
      <c r="G364" s="162">
        <v>2</v>
      </c>
      <c r="H364" s="162">
        <v>1</v>
      </c>
      <c r="I364" s="162">
        <v>7</v>
      </c>
      <c r="J364" s="162">
        <v>20</v>
      </c>
      <c r="K364" s="483">
        <f t="shared" si="26"/>
        <v>10</v>
      </c>
      <c r="L364" s="216" t="s">
        <v>798</v>
      </c>
      <c r="M364" s="216"/>
      <c r="N364" s="216"/>
      <c r="O364" s="216"/>
      <c r="P364" s="216"/>
      <c r="Q364" s="216"/>
      <c r="R364" s="216"/>
      <c r="S364" s="216"/>
      <c r="T364" s="216"/>
      <c r="U364" s="216"/>
      <c r="V364" s="216"/>
      <c r="W364" s="216"/>
      <c r="X364" s="216"/>
      <c r="Y364" s="216"/>
      <c r="Z364" s="216"/>
    </row>
    <row r="365" spans="1:26" ht="15.75" customHeight="1">
      <c r="A365" s="134" t="s">
        <v>3075</v>
      </c>
      <c r="B365" s="875" t="s">
        <v>3076</v>
      </c>
      <c r="C365" s="99" t="s">
        <v>141</v>
      </c>
      <c r="D365" s="535" t="s">
        <v>5799</v>
      </c>
      <c r="E365" s="130" t="s">
        <v>5800</v>
      </c>
      <c r="F365" s="162" t="s">
        <v>5801</v>
      </c>
      <c r="G365" s="162">
        <v>2</v>
      </c>
      <c r="H365" s="162">
        <v>1</v>
      </c>
      <c r="I365" s="162">
        <v>7</v>
      </c>
      <c r="J365" s="162">
        <v>20</v>
      </c>
      <c r="K365" s="483">
        <f t="shared" si="26"/>
        <v>10</v>
      </c>
      <c r="L365" s="216" t="s">
        <v>798</v>
      </c>
      <c r="M365" s="216"/>
      <c r="N365" s="216"/>
      <c r="O365" s="216"/>
      <c r="P365" s="216"/>
      <c r="Q365" s="216"/>
      <c r="R365" s="216"/>
      <c r="S365" s="216"/>
      <c r="T365" s="216"/>
      <c r="U365" s="216"/>
      <c r="V365" s="216"/>
      <c r="W365" s="216"/>
      <c r="X365" s="216"/>
      <c r="Y365" s="216"/>
      <c r="Z365" s="216"/>
    </row>
    <row r="366" spans="1:26" ht="15.75" customHeight="1">
      <c r="A366" s="134" t="s">
        <v>3075</v>
      </c>
      <c r="B366" s="875" t="s">
        <v>3076</v>
      </c>
      <c r="C366" s="99" t="s">
        <v>141</v>
      </c>
      <c r="D366" s="535" t="s">
        <v>5802</v>
      </c>
      <c r="E366" s="130" t="s">
        <v>5803</v>
      </c>
      <c r="F366" s="162" t="s">
        <v>5804</v>
      </c>
      <c r="G366" s="162">
        <v>2</v>
      </c>
      <c r="H366" s="162">
        <v>1</v>
      </c>
      <c r="I366" s="162">
        <v>7</v>
      </c>
      <c r="J366" s="162">
        <v>20</v>
      </c>
      <c r="K366" s="483">
        <f t="shared" si="26"/>
        <v>10</v>
      </c>
      <c r="L366" s="216" t="s">
        <v>798</v>
      </c>
      <c r="M366" s="216"/>
      <c r="N366" s="216"/>
      <c r="O366" s="216"/>
      <c r="P366" s="216"/>
      <c r="Q366" s="216"/>
      <c r="R366" s="216"/>
      <c r="S366" s="216"/>
      <c r="T366" s="216"/>
      <c r="U366" s="216"/>
      <c r="V366" s="216"/>
      <c r="W366" s="216"/>
      <c r="X366" s="216"/>
      <c r="Y366" s="216"/>
      <c r="Z366" s="216"/>
    </row>
    <row r="367" spans="1:26" ht="15.75" customHeight="1">
      <c r="A367" s="134" t="s">
        <v>3081</v>
      </c>
      <c r="B367" s="875" t="s">
        <v>3082</v>
      </c>
      <c r="C367" s="99" t="s">
        <v>141</v>
      </c>
      <c r="D367" s="535" t="s">
        <v>5805</v>
      </c>
      <c r="E367" s="130" t="s">
        <v>5806</v>
      </c>
      <c r="F367" s="162" t="s">
        <v>5807</v>
      </c>
      <c r="G367" s="162">
        <v>1</v>
      </c>
      <c r="H367" s="162">
        <v>1</v>
      </c>
      <c r="I367" s="162">
        <v>3</v>
      </c>
      <c r="J367" s="162">
        <v>20</v>
      </c>
      <c r="K367" s="483">
        <f t="shared" si="26"/>
        <v>20</v>
      </c>
      <c r="L367" s="216" t="s">
        <v>798</v>
      </c>
      <c r="M367" s="216"/>
      <c r="N367" s="216"/>
      <c r="O367" s="216"/>
      <c r="P367" s="216"/>
      <c r="Q367" s="216"/>
      <c r="R367" s="216"/>
      <c r="S367" s="216"/>
      <c r="T367" s="216"/>
      <c r="U367" s="216"/>
      <c r="V367" s="216"/>
      <c r="W367" s="216"/>
      <c r="X367" s="216"/>
      <c r="Y367" s="216"/>
      <c r="Z367" s="216"/>
    </row>
    <row r="368" spans="1:26" ht="15.75" customHeight="1">
      <c r="A368" s="134" t="s">
        <v>3081</v>
      </c>
      <c r="B368" s="875" t="s">
        <v>3082</v>
      </c>
      <c r="C368" s="99" t="s">
        <v>141</v>
      </c>
      <c r="D368" s="535" t="s">
        <v>5808</v>
      </c>
      <c r="E368" s="130" t="s">
        <v>5809</v>
      </c>
      <c r="F368" s="162" t="s">
        <v>5810</v>
      </c>
      <c r="G368" s="162">
        <v>1</v>
      </c>
      <c r="H368" s="162">
        <v>1</v>
      </c>
      <c r="I368" s="162">
        <v>3</v>
      </c>
      <c r="J368" s="162">
        <v>20</v>
      </c>
      <c r="K368" s="483">
        <f t="shared" si="26"/>
        <v>20</v>
      </c>
      <c r="L368" s="216" t="s">
        <v>798</v>
      </c>
      <c r="M368" s="216"/>
      <c r="N368" s="216"/>
      <c r="O368" s="216"/>
      <c r="P368" s="216"/>
      <c r="Q368" s="216"/>
      <c r="R368" s="216"/>
      <c r="S368" s="216"/>
      <c r="T368" s="216"/>
      <c r="U368" s="216"/>
      <c r="V368" s="216"/>
      <c r="W368" s="216"/>
      <c r="X368" s="216"/>
      <c r="Y368" s="216"/>
      <c r="Z368" s="216"/>
    </row>
    <row r="369" spans="1:26" ht="15.75" customHeight="1">
      <c r="A369" s="134" t="s">
        <v>3084</v>
      </c>
      <c r="B369" s="875" t="s">
        <v>3085</v>
      </c>
      <c r="C369" s="99" t="s">
        <v>141</v>
      </c>
      <c r="D369" s="535" t="s">
        <v>5811</v>
      </c>
      <c r="E369" s="130" t="s">
        <v>5812</v>
      </c>
      <c r="F369" s="162" t="s">
        <v>5731</v>
      </c>
      <c r="G369" s="162">
        <v>3</v>
      </c>
      <c r="H369" s="162">
        <v>3</v>
      </c>
      <c r="I369" s="162">
        <v>5</v>
      </c>
      <c r="J369" s="162">
        <v>10</v>
      </c>
      <c r="K369" s="483">
        <f t="shared" si="26"/>
        <v>3.3333333333333335</v>
      </c>
      <c r="L369" s="216" t="s">
        <v>798</v>
      </c>
      <c r="M369" s="216"/>
      <c r="N369" s="216"/>
      <c r="O369" s="216"/>
      <c r="P369" s="216"/>
      <c r="Q369" s="216"/>
      <c r="R369" s="216"/>
      <c r="S369" s="216"/>
      <c r="T369" s="216"/>
      <c r="U369" s="216"/>
      <c r="V369" s="216"/>
      <c r="W369" s="216"/>
      <c r="X369" s="216"/>
      <c r="Y369" s="216"/>
      <c r="Z369" s="216"/>
    </row>
    <row r="370" spans="1:26" ht="15.75" customHeight="1">
      <c r="A370" s="134" t="s">
        <v>2987</v>
      </c>
      <c r="B370" s="875" t="s">
        <v>2988</v>
      </c>
      <c r="C370" s="99" t="s">
        <v>141</v>
      </c>
      <c r="D370" s="535" t="s">
        <v>5729</v>
      </c>
      <c r="E370" s="878" t="s">
        <v>5730</v>
      </c>
      <c r="F370" s="162" t="s">
        <v>5731</v>
      </c>
      <c r="G370" s="162">
        <v>3</v>
      </c>
      <c r="H370" s="162">
        <v>3</v>
      </c>
      <c r="I370" s="162">
        <v>5</v>
      </c>
      <c r="J370" s="162">
        <v>20</v>
      </c>
      <c r="K370" s="483">
        <f t="shared" si="26"/>
        <v>6.666666666666667</v>
      </c>
      <c r="L370" s="216" t="s">
        <v>798</v>
      </c>
      <c r="M370" s="216"/>
      <c r="N370" s="216"/>
      <c r="O370" s="216"/>
      <c r="P370" s="216"/>
      <c r="Q370" s="216"/>
      <c r="R370" s="216"/>
      <c r="S370" s="216"/>
      <c r="T370" s="216"/>
      <c r="U370" s="216"/>
      <c r="V370" s="216"/>
      <c r="W370" s="216"/>
      <c r="X370" s="216"/>
      <c r="Y370" s="216"/>
      <c r="Z370" s="216"/>
    </row>
    <row r="371" spans="1:26" ht="15.75" customHeight="1">
      <c r="A371" s="134" t="s">
        <v>5813</v>
      </c>
      <c r="B371" s="875" t="s">
        <v>5814</v>
      </c>
      <c r="C371" s="99" t="s">
        <v>141</v>
      </c>
      <c r="D371" s="535" t="s">
        <v>5741</v>
      </c>
      <c r="E371" s="130" t="s">
        <v>5742</v>
      </c>
      <c r="F371" s="162" t="s">
        <v>5743</v>
      </c>
      <c r="G371" s="162">
        <v>1</v>
      </c>
      <c r="H371" s="162">
        <v>1</v>
      </c>
      <c r="I371" s="162">
        <v>6</v>
      </c>
      <c r="J371" s="162">
        <v>20</v>
      </c>
      <c r="K371" s="483">
        <f t="shared" si="26"/>
        <v>20</v>
      </c>
      <c r="L371" s="216" t="s">
        <v>798</v>
      </c>
      <c r="M371" s="216"/>
      <c r="N371" s="216"/>
      <c r="O371" s="216"/>
      <c r="P371" s="216"/>
      <c r="Q371" s="216"/>
      <c r="R371" s="216"/>
      <c r="S371" s="216"/>
      <c r="T371" s="216"/>
      <c r="U371" s="216"/>
      <c r="V371" s="216"/>
      <c r="W371" s="216"/>
      <c r="X371" s="216"/>
      <c r="Y371" s="216"/>
      <c r="Z371" s="216"/>
    </row>
    <row r="372" spans="1:26" ht="15.75" customHeight="1">
      <c r="A372" s="134" t="s">
        <v>5815</v>
      </c>
      <c r="B372" s="875" t="s">
        <v>5816</v>
      </c>
      <c r="C372" s="99" t="s">
        <v>141</v>
      </c>
      <c r="D372" s="535" t="s">
        <v>5817</v>
      </c>
      <c r="E372" s="130" t="s">
        <v>5004</v>
      </c>
      <c r="F372" s="162" t="s">
        <v>5731</v>
      </c>
      <c r="G372" s="162">
        <v>4</v>
      </c>
      <c r="H372" s="162">
        <v>4</v>
      </c>
      <c r="I372" s="162">
        <v>4</v>
      </c>
      <c r="J372" s="162">
        <v>10</v>
      </c>
      <c r="K372" s="483">
        <f t="shared" si="26"/>
        <v>2.5</v>
      </c>
      <c r="L372" s="216" t="s">
        <v>798</v>
      </c>
      <c r="M372" s="216"/>
      <c r="N372" s="216"/>
      <c r="O372" s="216"/>
      <c r="P372" s="216"/>
      <c r="Q372" s="216"/>
      <c r="R372" s="216"/>
      <c r="S372" s="216"/>
      <c r="T372" s="216"/>
      <c r="U372" s="216"/>
      <c r="V372" s="216"/>
      <c r="W372" s="216"/>
      <c r="X372" s="216"/>
      <c r="Y372" s="216"/>
      <c r="Z372" s="216"/>
    </row>
    <row r="373" spans="1:26" ht="15.75" customHeight="1">
      <c r="A373" s="134" t="s">
        <v>3120</v>
      </c>
      <c r="B373" s="875" t="s">
        <v>3121</v>
      </c>
      <c r="C373" s="99" t="s">
        <v>141</v>
      </c>
      <c r="D373" s="535" t="s">
        <v>5818</v>
      </c>
      <c r="E373" s="130" t="s">
        <v>5819</v>
      </c>
      <c r="F373" s="162" t="s">
        <v>5731</v>
      </c>
      <c r="G373" s="162">
        <v>2</v>
      </c>
      <c r="H373" s="162">
        <v>2</v>
      </c>
      <c r="I373" s="162">
        <v>9</v>
      </c>
      <c r="J373" s="162">
        <v>20</v>
      </c>
      <c r="K373" s="483">
        <f t="shared" si="26"/>
        <v>10</v>
      </c>
      <c r="L373" s="216" t="s">
        <v>798</v>
      </c>
      <c r="M373" s="216"/>
      <c r="N373" s="216"/>
      <c r="O373" s="216"/>
      <c r="P373" s="216"/>
      <c r="Q373" s="216"/>
      <c r="R373" s="216"/>
      <c r="S373" s="216"/>
      <c r="T373" s="216"/>
      <c r="U373" s="216"/>
      <c r="V373" s="216"/>
      <c r="W373" s="216"/>
      <c r="X373" s="216"/>
      <c r="Y373" s="216"/>
      <c r="Z373" s="216"/>
    </row>
    <row r="374" spans="1:26" ht="15.75" customHeight="1">
      <c r="A374" s="134" t="s">
        <v>3124</v>
      </c>
      <c r="B374" s="875" t="s">
        <v>3125</v>
      </c>
      <c r="C374" s="99" t="s">
        <v>141</v>
      </c>
      <c r="D374" s="535" t="s">
        <v>5820</v>
      </c>
      <c r="E374" s="879" t="s">
        <v>5821</v>
      </c>
      <c r="F374" s="162" t="s">
        <v>5822</v>
      </c>
      <c r="G374" s="162">
        <v>6</v>
      </c>
      <c r="H374" s="162">
        <v>6</v>
      </c>
      <c r="I374" s="162">
        <v>7</v>
      </c>
      <c r="J374" s="162">
        <v>20</v>
      </c>
      <c r="K374" s="483">
        <f t="shared" si="26"/>
        <v>3.3333333333333335</v>
      </c>
      <c r="L374" s="216" t="s">
        <v>798</v>
      </c>
      <c r="M374" s="216"/>
      <c r="N374" s="216"/>
      <c r="O374" s="216"/>
      <c r="P374" s="216"/>
      <c r="Q374" s="216"/>
      <c r="R374" s="216"/>
      <c r="S374" s="216"/>
      <c r="T374" s="216"/>
      <c r="U374" s="216"/>
      <c r="V374" s="216"/>
      <c r="W374" s="216"/>
      <c r="X374" s="216"/>
      <c r="Y374" s="216"/>
      <c r="Z374" s="216"/>
    </row>
    <row r="375" spans="1:26" ht="15.75" customHeight="1">
      <c r="A375" s="134" t="s">
        <v>5823</v>
      </c>
      <c r="B375" s="99" t="s">
        <v>5824</v>
      </c>
      <c r="C375" s="99" t="s">
        <v>141</v>
      </c>
      <c r="D375" s="133" t="s">
        <v>5825</v>
      </c>
      <c r="E375" s="130" t="s">
        <v>5826</v>
      </c>
      <c r="F375" s="133" t="s">
        <v>4963</v>
      </c>
      <c r="G375" s="495">
        <v>2</v>
      </c>
      <c r="H375" s="495">
        <v>2</v>
      </c>
      <c r="I375" s="495">
        <v>2</v>
      </c>
      <c r="J375" s="495">
        <v>10</v>
      </c>
      <c r="K375" s="398">
        <v>5</v>
      </c>
      <c r="L375" s="216" t="s">
        <v>829</v>
      </c>
      <c r="M375" s="216"/>
      <c r="N375" s="216"/>
      <c r="O375" s="216"/>
      <c r="P375" s="216"/>
      <c r="Q375" s="216"/>
      <c r="R375" s="216"/>
      <c r="S375" s="216"/>
      <c r="T375" s="216"/>
      <c r="U375" s="216"/>
      <c r="V375" s="216"/>
      <c r="W375" s="216"/>
      <c r="X375" s="216"/>
      <c r="Y375" s="216"/>
      <c r="Z375" s="216"/>
    </row>
    <row r="376" spans="1:26" ht="15.75" customHeight="1">
      <c r="A376" s="438" t="s">
        <v>3144</v>
      </c>
      <c r="B376" s="228" t="s">
        <v>3145</v>
      </c>
      <c r="C376" s="138" t="s">
        <v>141</v>
      </c>
      <c r="D376" s="131" t="s">
        <v>5827</v>
      </c>
      <c r="E376" s="142" t="s">
        <v>5449</v>
      </c>
      <c r="F376" s="131" t="s">
        <v>5828</v>
      </c>
      <c r="G376" s="495">
        <v>3</v>
      </c>
      <c r="H376" s="495">
        <v>3</v>
      </c>
      <c r="I376" s="495">
        <v>3</v>
      </c>
      <c r="J376" s="495">
        <v>20</v>
      </c>
      <c r="K376" s="398">
        <v>6.67</v>
      </c>
      <c r="L376" s="216" t="s">
        <v>829</v>
      </c>
      <c r="M376" s="216"/>
      <c r="N376" s="216"/>
      <c r="O376" s="216"/>
      <c r="P376" s="216"/>
      <c r="Q376" s="216"/>
      <c r="R376" s="216"/>
      <c r="S376" s="216"/>
      <c r="T376" s="216"/>
      <c r="U376" s="216"/>
      <c r="V376" s="216"/>
      <c r="W376" s="216"/>
      <c r="X376" s="216"/>
      <c r="Y376" s="216"/>
      <c r="Z376" s="216"/>
    </row>
    <row r="377" spans="1:26" ht="15.75" customHeight="1">
      <c r="A377" s="438" t="s">
        <v>5829</v>
      </c>
      <c r="B377" s="228" t="s">
        <v>5830</v>
      </c>
      <c r="C377" s="138" t="s">
        <v>141</v>
      </c>
      <c r="D377" s="131" t="s">
        <v>5831</v>
      </c>
      <c r="E377" s="142" t="s">
        <v>5832</v>
      </c>
      <c r="F377" s="131" t="s">
        <v>5833</v>
      </c>
      <c r="G377" s="495">
        <v>4</v>
      </c>
      <c r="H377" s="495">
        <v>4</v>
      </c>
      <c r="I377" s="495">
        <v>4</v>
      </c>
      <c r="J377" s="495">
        <v>20</v>
      </c>
      <c r="K377" s="398">
        <v>5</v>
      </c>
      <c r="L377" s="216" t="s">
        <v>829</v>
      </c>
      <c r="M377" s="216"/>
      <c r="N377" s="216"/>
      <c r="O377" s="216"/>
      <c r="P377" s="216"/>
      <c r="Q377" s="216"/>
      <c r="R377" s="216"/>
      <c r="S377" s="216"/>
      <c r="T377" s="216"/>
      <c r="U377" s="216"/>
      <c r="V377" s="216"/>
      <c r="W377" s="216"/>
      <c r="X377" s="216"/>
      <c r="Y377" s="216"/>
      <c r="Z377" s="216"/>
    </row>
    <row r="378" spans="1:26" ht="15.75" customHeight="1">
      <c r="A378" s="438" t="s">
        <v>3169</v>
      </c>
      <c r="B378" s="228" t="s">
        <v>3170</v>
      </c>
      <c r="C378" s="138" t="s">
        <v>141</v>
      </c>
      <c r="D378" s="133" t="s">
        <v>5834</v>
      </c>
      <c r="E378" s="130" t="s">
        <v>5835</v>
      </c>
      <c r="F378" s="133" t="s">
        <v>5828</v>
      </c>
      <c r="G378" s="495">
        <v>3</v>
      </c>
      <c r="H378" s="495">
        <v>3</v>
      </c>
      <c r="I378" s="495">
        <v>3</v>
      </c>
      <c r="J378" s="495">
        <v>20</v>
      </c>
      <c r="K378" s="398">
        <v>6.67</v>
      </c>
      <c r="L378" s="216" t="s">
        <v>829</v>
      </c>
      <c r="M378" s="216"/>
      <c r="N378" s="216"/>
      <c r="O378" s="216"/>
      <c r="P378" s="216"/>
      <c r="Q378" s="216"/>
      <c r="R378" s="216"/>
      <c r="S378" s="216"/>
      <c r="T378" s="216"/>
      <c r="U378" s="216"/>
      <c r="V378" s="216"/>
      <c r="W378" s="216"/>
      <c r="X378" s="216"/>
      <c r="Y378" s="216"/>
      <c r="Z378" s="216"/>
    </row>
    <row r="379" spans="1:26" ht="15.75" customHeight="1">
      <c r="A379" s="438" t="s">
        <v>3156</v>
      </c>
      <c r="B379" s="228" t="s">
        <v>3157</v>
      </c>
      <c r="C379" s="138" t="s">
        <v>141</v>
      </c>
      <c r="D379" s="138" t="s">
        <v>5836</v>
      </c>
      <c r="E379" s="130" t="s">
        <v>5837</v>
      </c>
      <c r="F379" s="138" t="s">
        <v>5838</v>
      </c>
      <c r="G379" s="398">
        <v>3</v>
      </c>
      <c r="H379" s="398">
        <v>3</v>
      </c>
      <c r="I379" s="398">
        <v>5</v>
      </c>
      <c r="J379" s="398">
        <v>20</v>
      </c>
      <c r="K379" s="398">
        <v>6.67</v>
      </c>
      <c r="L379" s="216" t="s">
        <v>829</v>
      </c>
      <c r="M379" s="216"/>
      <c r="N379" s="216"/>
      <c r="O379" s="216"/>
      <c r="P379" s="216"/>
      <c r="Q379" s="216"/>
      <c r="R379" s="216"/>
      <c r="S379" s="216"/>
      <c r="T379" s="216"/>
      <c r="U379" s="216"/>
      <c r="V379" s="216"/>
      <c r="W379" s="216"/>
      <c r="X379" s="216"/>
      <c r="Y379" s="216"/>
      <c r="Z379" s="216"/>
    </row>
    <row r="380" spans="1:26" ht="15.75" customHeight="1">
      <c r="A380" s="438" t="s">
        <v>5839</v>
      </c>
      <c r="B380" s="228" t="s">
        <v>5840</v>
      </c>
      <c r="C380" s="138" t="s">
        <v>141</v>
      </c>
      <c r="D380" s="133" t="s">
        <v>5841</v>
      </c>
      <c r="E380" s="131" t="s">
        <v>5727</v>
      </c>
      <c r="F380" s="131" t="s">
        <v>4963</v>
      </c>
      <c r="G380" s="821">
        <v>4</v>
      </c>
      <c r="H380" s="797">
        <v>4</v>
      </c>
      <c r="I380" s="781">
        <v>4</v>
      </c>
      <c r="J380" s="781">
        <v>10</v>
      </c>
      <c r="K380" s="781">
        <v>2.5</v>
      </c>
      <c r="L380" s="216" t="s">
        <v>3249</v>
      </c>
      <c r="M380" s="216"/>
      <c r="N380" s="216"/>
      <c r="O380" s="216"/>
      <c r="P380" s="216"/>
      <c r="Q380" s="216"/>
      <c r="R380" s="216"/>
      <c r="S380" s="216"/>
      <c r="T380" s="216"/>
      <c r="U380" s="216"/>
      <c r="V380" s="216"/>
      <c r="W380" s="216"/>
      <c r="X380" s="216"/>
      <c r="Y380" s="216"/>
      <c r="Z380" s="216"/>
    </row>
    <row r="381" spans="1:26" ht="15.75" customHeight="1">
      <c r="A381" s="438" t="s">
        <v>5842</v>
      </c>
      <c r="B381" s="228" t="s">
        <v>5843</v>
      </c>
      <c r="C381" s="138" t="s">
        <v>141</v>
      </c>
      <c r="D381" s="133" t="s">
        <v>5844</v>
      </c>
      <c r="E381" s="131" t="s">
        <v>5720</v>
      </c>
      <c r="F381" s="131" t="s">
        <v>4963</v>
      </c>
      <c r="G381" s="821">
        <v>3</v>
      </c>
      <c r="H381" s="797">
        <v>3</v>
      </c>
      <c r="I381" s="781">
        <v>3</v>
      </c>
      <c r="J381" s="781">
        <v>10</v>
      </c>
      <c r="K381" s="781">
        <v>3.33</v>
      </c>
      <c r="L381" s="216" t="s">
        <v>3249</v>
      </c>
      <c r="M381" s="216"/>
      <c r="N381" s="216"/>
      <c r="O381" s="216"/>
      <c r="P381" s="216"/>
      <c r="Q381" s="216"/>
      <c r="R381" s="216"/>
      <c r="S381" s="216"/>
      <c r="T381" s="216"/>
      <c r="U381" s="216"/>
      <c r="V381" s="216"/>
      <c r="W381" s="216"/>
      <c r="X381" s="216"/>
      <c r="Y381" s="216"/>
      <c r="Z381" s="216"/>
    </row>
    <row r="382" spans="1:26" ht="15.75" customHeight="1">
      <c r="A382" s="438" t="s">
        <v>5842</v>
      </c>
      <c r="B382" s="228" t="s">
        <v>5843</v>
      </c>
      <c r="C382" s="138" t="s">
        <v>141</v>
      </c>
      <c r="D382" s="133" t="s">
        <v>5845</v>
      </c>
      <c r="E382" s="131" t="s">
        <v>5723</v>
      </c>
      <c r="F382" s="131" t="s">
        <v>4963</v>
      </c>
      <c r="G382" s="821">
        <v>3</v>
      </c>
      <c r="H382" s="797">
        <v>3</v>
      </c>
      <c r="I382" s="781">
        <v>3</v>
      </c>
      <c r="J382" s="781">
        <v>10</v>
      </c>
      <c r="K382" s="781">
        <v>3.33</v>
      </c>
      <c r="L382" s="216" t="s">
        <v>3249</v>
      </c>
      <c r="M382" s="216"/>
      <c r="N382" s="216"/>
      <c r="O382" s="216"/>
      <c r="P382" s="216"/>
      <c r="Q382" s="216"/>
      <c r="R382" s="216"/>
      <c r="S382" s="216"/>
      <c r="T382" s="216"/>
      <c r="U382" s="216"/>
      <c r="V382" s="216"/>
      <c r="W382" s="216"/>
      <c r="X382" s="216"/>
      <c r="Y382" s="216"/>
      <c r="Z382" s="216"/>
    </row>
    <row r="383" spans="1:26" ht="15.75" customHeight="1">
      <c r="A383" s="438" t="s">
        <v>5846</v>
      </c>
      <c r="B383" s="228" t="s">
        <v>5847</v>
      </c>
      <c r="C383" s="138" t="s">
        <v>141</v>
      </c>
      <c r="D383" s="133" t="s">
        <v>5848</v>
      </c>
      <c r="E383" s="131" t="s">
        <v>5849</v>
      </c>
      <c r="F383" s="131" t="s">
        <v>5850</v>
      </c>
      <c r="G383" s="821">
        <v>2</v>
      </c>
      <c r="H383" s="797">
        <v>2</v>
      </c>
      <c r="I383" s="781">
        <v>2</v>
      </c>
      <c r="J383" s="781">
        <v>20</v>
      </c>
      <c r="K383" s="781">
        <v>10</v>
      </c>
      <c r="L383" s="216" t="s">
        <v>3249</v>
      </c>
      <c r="M383" s="216"/>
      <c r="N383" s="216"/>
      <c r="O383" s="216"/>
      <c r="P383" s="216"/>
      <c r="Q383" s="216"/>
      <c r="R383" s="216"/>
      <c r="S383" s="216"/>
      <c r="T383" s="216"/>
      <c r="U383" s="216"/>
      <c r="V383" s="216"/>
      <c r="W383" s="216"/>
      <c r="X383" s="216"/>
      <c r="Y383" s="216"/>
      <c r="Z383" s="216"/>
    </row>
    <row r="384" spans="1:26" ht="15.75" customHeight="1">
      <c r="A384" s="438" t="s">
        <v>5851</v>
      </c>
      <c r="B384" s="228" t="s">
        <v>5852</v>
      </c>
      <c r="C384" s="138" t="s">
        <v>141</v>
      </c>
      <c r="D384" s="133" t="s">
        <v>5853</v>
      </c>
      <c r="E384" s="131" t="s">
        <v>5854</v>
      </c>
      <c r="F384" s="131" t="s">
        <v>4963</v>
      </c>
      <c r="G384" s="821">
        <v>1</v>
      </c>
      <c r="H384" s="797">
        <v>1</v>
      </c>
      <c r="I384" s="781">
        <v>1</v>
      </c>
      <c r="J384" s="781">
        <v>10</v>
      </c>
      <c r="K384" s="781">
        <v>10</v>
      </c>
      <c r="L384" s="216" t="s">
        <v>3249</v>
      </c>
      <c r="M384" s="216"/>
      <c r="N384" s="216"/>
      <c r="O384" s="216"/>
      <c r="P384" s="216"/>
      <c r="Q384" s="216"/>
      <c r="R384" s="216"/>
      <c r="S384" s="216"/>
      <c r="T384" s="216"/>
      <c r="U384" s="216"/>
      <c r="V384" s="216"/>
      <c r="W384" s="216"/>
      <c r="X384" s="216"/>
      <c r="Y384" s="216"/>
      <c r="Z384" s="216"/>
    </row>
    <row r="385" spans="1:26" ht="15.75" customHeight="1">
      <c r="A385" s="438" t="s">
        <v>5855</v>
      </c>
      <c r="B385" s="228" t="s">
        <v>5856</v>
      </c>
      <c r="C385" s="138" t="s">
        <v>141</v>
      </c>
      <c r="D385" s="133" t="s">
        <v>5857</v>
      </c>
      <c r="E385" s="131" t="s">
        <v>5858</v>
      </c>
      <c r="F385" s="131" t="s">
        <v>4963</v>
      </c>
      <c r="G385" s="821">
        <v>3</v>
      </c>
      <c r="H385" s="797">
        <v>2</v>
      </c>
      <c r="I385" s="781">
        <v>2</v>
      </c>
      <c r="J385" s="781">
        <v>10</v>
      </c>
      <c r="K385" s="781">
        <v>5</v>
      </c>
      <c r="L385" s="216" t="s">
        <v>3249</v>
      </c>
      <c r="M385" s="216"/>
      <c r="N385" s="216"/>
      <c r="O385" s="216"/>
      <c r="P385" s="216"/>
      <c r="Q385" s="216"/>
      <c r="R385" s="216"/>
      <c r="S385" s="216"/>
      <c r="T385" s="216"/>
      <c r="U385" s="216"/>
      <c r="V385" s="216"/>
      <c r="W385" s="216"/>
      <c r="X385" s="216"/>
      <c r="Y385" s="216"/>
      <c r="Z385" s="216"/>
    </row>
    <row r="386" spans="1:26" ht="15.75" customHeight="1">
      <c r="A386" s="438" t="s">
        <v>5855</v>
      </c>
      <c r="B386" s="228" t="s">
        <v>5856</v>
      </c>
      <c r="C386" s="138" t="s">
        <v>141</v>
      </c>
      <c r="D386" s="133" t="s">
        <v>5859</v>
      </c>
      <c r="E386" s="142" t="s">
        <v>5860</v>
      </c>
      <c r="F386" s="131" t="s">
        <v>5861</v>
      </c>
      <c r="G386" s="821">
        <v>3</v>
      </c>
      <c r="H386" s="797">
        <v>2</v>
      </c>
      <c r="I386" s="781">
        <v>2</v>
      </c>
      <c r="J386" s="781">
        <v>20</v>
      </c>
      <c r="K386" s="781">
        <v>10</v>
      </c>
      <c r="L386" s="216" t="s">
        <v>3249</v>
      </c>
      <c r="M386" s="216"/>
      <c r="N386" s="216"/>
      <c r="O386" s="216"/>
      <c r="P386" s="216"/>
      <c r="Q386" s="216"/>
      <c r="R386" s="216"/>
      <c r="S386" s="216"/>
      <c r="T386" s="216"/>
      <c r="U386" s="216"/>
      <c r="V386" s="216"/>
      <c r="W386" s="216"/>
      <c r="X386" s="216"/>
      <c r="Y386" s="216"/>
      <c r="Z386" s="216"/>
    </row>
    <row r="387" spans="1:26" ht="15.75" customHeight="1">
      <c r="A387" s="438" t="s">
        <v>5855</v>
      </c>
      <c r="B387" s="228" t="s">
        <v>5856</v>
      </c>
      <c r="C387" s="138" t="s">
        <v>141</v>
      </c>
      <c r="D387" s="133" t="s">
        <v>5862</v>
      </c>
      <c r="E387" s="131" t="s">
        <v>5863</v>
      </c>
      <c r="F387" s="131" t="s">
        <v>4963</v>
      </c>
      <c r="G387" s="821">
        <v>3</v>
      </c>
      <c r="H387" s="797">
        <v>2</v>
      </c>
      <c r="I387" s="781">
        <v>2</v>
      </c>
      <c r="J387" s="781">
        <v>10</v>
      </c>
      <c r="K387" s="781">
        <v>5</v>
      </c>
      <c r="L387" s="216" t="s">
        <v>3249</v>
      </c>
      <c r="M387" s="216"/>
      <c r="N387" s="216"/>
      <c r="O387" s="216"/>
      <c r="P387" s="216"/>
      <c r="Q387" s="216"/>
      <c r="R387" s="216"/>
      <c r="S387" s="216"/>
      <c r="T387" s="216"/>
      <c r="U387" s="216"/>
      <c r="V387" s="216"/>
      <c r="W387" s="216"/>
      <c r="X387" s="216"/>
      <c r="Y387" s="216"/>
      <c r="Z387" s="216"/>
    </row>
    <row r="388" spans="1:26" ht="15.75" customHeight="1">
      <c r="A388" s="438" t="s">
        <v>5864</v>
      </c>
      <c r="B388" s="228" t="s">
        <v>5865</v>
      </c>
      <c r="C388" s="138" t="s">
        <v>141</v>
      </c>
      <c r="D388" s="133" t="s">
        <v>5866</v>
      </c>
      <c r="E388" s="142" t="s">
        <v>5867</v>
      </c>
      <c r="F388" s="131" t="s">
        <v>4963</v>
      </c>
      <c r="G388" s="821">
        <v>3</v>
      </c>
      <c r="H388" s="797">
        <v>2</v>
      </c>
      <c r="I388" s="781">
        <v>2</v>
      </c>
      <c r="J388" s="781">
        <v>10</v>
      </c>
      <c r="K388" s="781">
        <v>5</v>
      </c>
      <c r="L388" s="216" t="s">
        <v>3249</v>
      </c>
      <c r="M388" s="216"/>
      <c r="N388" s="216"/>
      <c r="O388" s="216"/>
      <c r="P388" s="216"/>
      <c r="Q388" s="216"/>
      <c r="R388" s="216"/>
      <c r="S388" s="216"/>
      <c r="T388" s="216"/>
      <c r="U388" s="216"/>
      <c r="V388" s="216"/>
      <c r="W388" s="216"/>
      <c r="X388" s="216"/>
      <c r="Y388" s="216"/>
      <c r="Z388" s="216"/>
    </row>
    <row r="389" spans="1:26" ht="15.75" customHeight="1">
      <c r="A389" s="134" t="s">
        <v>3147</v>
      </c>
      <c r="B389" s="99" t="s">
        <v>3148</v>
      </c>
      <c r="C389" s="99" t="s">
        <v>141</v>
      </c>
      <c r="D389" s="133" t="s">
        <v>3149</v>
      </c>
      <c r="E389" s="130" t="s">
        <v>2512</v>
      </c>
      <c r="F389" s="133" t="s">
        <v>5828</v>
      </c>
      <c r="G389" s="495">
        <v>2</v>
      </c>
      <c r="H389" s="495">
        <v>2</v>
      </c>
      <c r="I389" s="495">
        <v>2</v>
      </c>
      <c r="J389" s="495">
        <v>20</v>
      </c>
      <c r="K389" s="398">
        <v>10</v>
      </c>
      <c r="L389" s="216" t="s">
        <v>865</v>
      </c>
      <c r="M389" s="216"/>
      <c r="N389" s="216"/>
      <c r="O389" s="216"/>
      <c r="P389" s="216"/>
      <c r="Q389" s="216"/>
      <c r="R389" s="216"/>
      <c r="S389" s="216"/>
      <c r="T389" s="216"/>
      <c r="U389" s="216"/>
      <c r="V389" s="216"/>
      <c r="W389" s="216"/>
      <c r="X389" s="216"/>
      <c r="Y389" s="216"/>
      <c r="Z389" s="216"/>
    </row>
    <row r="390" spans="1:26" ht="15.75" customHeight="1">
      <c r="A390" s="134" t="s">
        <v>3150</v>
      </c>
      <c r="B390" s="99" t="s">
        <v>3151</v>
      </c>
      <c r="C390" s="99" t="s">
        <v>141</v>
      </c>
      <c r="D390" s="138" t="s">
        <v>3152</v>
      </c>
      <c r="E390" s="130" t="s">
        <v>2512</v>
      </c>
      <c r="F390" s="138" t="s">
        <v>5828</v>
      </c>
      <c r="G390" s="398">
        <v>4</v>
      </c>
      <c r="H390" s="495">
        <v>4</v>
      </c>
      <c r="I390" s="398">
        <v>4</v>
      </c>
      <c r="J390" s="398">
        <v>20</v>
      </c>
      <c r="K390" s="398">
        <v>5</v>
      </c>
      <c r="L390" s="216" t="s">
        <v>865</v>
      </c>
      <c r="M390" s="216"/>
      <c r="N390" s="216"/>
      <c r="O390" s="216"/>
      <c r="P390" s="216"/>
      <c r="Q390" s="216"/>
      <c r="R390" s="216"/>
      <c r="S390" s="216"/>
      <c r="T390" s="216"/>
      <c r="U390" s="216"/>
      <c r="V390" s="216"/>
      <c r="W390" s="216"/>
      <c r="X390" s="216"/>
      <c r="Y390" s="216"/>
      <c r="Z390" s="216"/>
    </row>
    <row r="391" spans="1:26" ht="15.75" customHeight="1">
      <c r="A391" s="438" t="s">
        <v>3160</v>
      </c>
      <c r="B391" s="228" t="s">
        <v>3161</v>
      </c>
      <c r="C391" s="138" t="s">
        <v>141</v>
      </c>
      <c r="D391" s="133" t="s">
        <v>3162</v>
      </c>
      <c r="E391" s="133" t="s">
        <v>3163</v>
      </c>
      <c r="F391" s="133" t="s">
        <v>5868</v>
      </c>
      <c r="G391" s="149">
        <v>4</v>
      </c>
      <c r="H391" s="761">
        <v>4</v>
      </c>
      <c r="I391" s="781">
        <v>6</v>
      </c>
      <c r="J391" s="781">
        <v>20</v>
      </c>
      <c r="K391" s="781">
        <v>5</v>
      </c>
      <c r="L391" s="216" t="s">
        <v>865</v>
      </c>
      <c r="M391" s="216"/>
      <c r="N391" s="216"/>
      <c r="O391" s="216"/>
      <c r="P391" s="216"/>
      <c r="Q391" s="216"/>
      <c r="R391" s="216"/>
      <c r="S391" s="216"/>
      <c r="T391" s="216"/>
      <c r="U391" s="216"/>
      <c r="V391" s="216"/>
      <c r="W391" s="216"/>
      <c r="X391" s="216"/>
      <c r="Y391" s="216"/>
      <c r="Z391" s="216"/>
    </row>
    <row r="392" spans="1:26" ht="15.75" customHeight="1">
      <c r="A392" s="134" t="s">
        <v>5869</v>
      </c>
      <c r="B392" s="99" t="s">
        <v>5870</v>
      </c>
      <c r="C392" s="99" t="s">
        <v>141</v>
      </c>
      <c r="D392" s="133" t="s">
        <v>5871</v>
      </c>
      <c r="E392" s="130" t="s">
        <v>5872</v>
      </c>
      <c r="F392" s="133" t="s">
        <v>5873</v>
      </c>
      <c r="G392" s="133">
        <v>2</v>
      </c>
      <c r="H392" s="495">
        <v>2</v>
      </c>
      <c r="I392" s="495">
        <v>3</v>
      </c>
      <c r="J392" s="385">
        <v>20</v>
      </c>
      <c r="K392" s="114">
        <v>10</v>
      </c>
      <c r="L392" s="216" t="s">
        <v>890</v>
      </c>
      <c r="M392" s="216"/>
      <c r="N392" s="216"/>
      <c r="O392" s="216"/>
      <c r="P392" s="216"/>
      <c r="Q392" s="216"/>
      <c r="R392" s="216"/>
      <c r="S392" s="216"/>
      <c r="T392" s="216"/>
      <c r="U392" s="216"/>
      <c r="V392" s="216"/>
      <c r="W392" s="216"/>
      <c r="X392" s="216"/>
      <c r="Y392" s="216"/>
      <c r="Z392" s="216"/>
    </row>
    <row r="393" spans="1:26" ht="15.75" customHeight="1">
      <c r="A393" s="134" t="s">
        <v>3431</v>
      </c>
      <c r="B393" s="134" t="s">
        <v>3432</v>
      </c>
      <c r="C393" s="92" t="s">
        <v>141</v>
      </c>
      <c r="D393" s="133" t="s">
        <v>5874</v>
      </c>
      <c r="E393" s="130" t="s">
        <v>5875</v>
      </c>
      <c r="F393" s="131" t="s">
        <v>1899</v>
      </c>
      <c r="G393" s="99">
        <v>5</v>
      </c>
      <c r="H393" s="500">
        <v>1</v>
      </c>
      <c r="I393" s="873">
        <v>5</v>
      </c>
      <c r="J393" s="873">
        <v>20</v>
      </c>
      <c r="K393" s="873">
        <f t="shared" ref="K393:K399" si="27">J393/I393</f>
        <v>4</v>
      </c>
      <c r="L393" s="216" t="s">
        <v>906</v>
      </c>
      <c r="M393" s="216"/>
      <c r="N393" s="216"/>
      <c r="O393" s="216"/>
      <c r="P393" s="216"/>
      <c r="Q393" s="216"/>
      <c r="R393" s="216"/>
      <c r="S393" s="216"/>
      <c r="T393" s="216"/>
      <c r="U393" s="216"/>
      <c r="V393" s="216"/>
      <c r="W393" s="216"/>
      <c r="X393" s="216"/>
      <c r="Y393" s="216"/>
      <c r="Z393" s="216"/>
    </row>
    <row r="394" spans="1:26" ht="15.75" customHeight="1">
      <c r="A394" s="438" t="s">
        <v>5876</v>
      </c>
      <c r="B394" s="228" t="s">
        <v>5877</v>
      </c>
      <c r="C394" s="92" t="s">
        <v>141</v>
      </c>
      <c r="D394" s="131" t="s">
        <v>5878</v>
      </c>
      <c r="E394" s="142" t="s">
        <v>5879</v>
      </c>
      <c r="F394" s="131" t="s">
        <v>5880</v>
      </c>
      <c r="G394" s="796">
        <v>1</v>
      </c>
      <c r="H394" s="880">
        <v>1</v>
      </c>
      <c r="I394" s="798">
        <v>1</v>
      </c>
      <c r="J394" s="798">
        <v>20</v>
      </c>
      <c r="K394" s="798">
        <f t="shared" si="27"/>
        <v>20</v>
      </c>
      <c r="L394" s="216" t="s">
        <v>906</v>
      </c>
      <c r="M394" s="216"/>
      <c r="N394" s="216"/>
      <c r="O394" s="216"/>
      <c r="P394" s="216"/>
      <c r="Q394" s="216"/>
      <c r="R394" s="216"/>
      <c r="S394" s="216"/>
      <c r="T394" s="216"/>
      <c r="U394" s="216"/>
      <c r="V394" s="216"/>
      <c r="W394" s="216"/>
      <c r="X394" s="216"/>
      <c r="Y394" s="216"/>
      <c r="Z394" s="216"/>
    </row>
    <row r="395" spans="1:26" ht="15.75" customHeight="1">
      <c r="A395" s="438" t="s">
        <v>3427</v>
      </c>
      <c r="B395" s="228" t="s">
        <v>3428</v>
      </c>
      <c r="C395" s="228" t="s">
        <v>141</v>
      </c>
      <c r="D395" s="133" t="s">
        <v>5881</v>
      </c>
      <c r="E395" s="130" t="s">
        <v>5882</v>
      </c>
      <c r="F395" s="133" t="s">
        <v>5883</v>
      </c>
      <c r="G395" s="100">
        <v>3</v>
      </c>
      <c r="H395" s="140">
        <v>3</v>
      </c>
      <c r="I395" s="798">
        <v>3</v>
      </c>
      <c r="J395" s="798">
        <v>20</v>
      </c>
      <c r="K395" s="881">
        <f t="shared" si="27"/>
        <v>6.666666666666667</v>
      </c>
      <c r="L395" s="216" t="s">
        <v>906</v>
      </c>
      <c r="M395" s="216"/>
      <c r="N395" s="216"/>
      <c r="O395" s="216"/>
      <c r="P395" s="216"/>
      <c r="Q395" s="216"/>
      <c r="R395" s="216"/>
      <c r="S395" s="216"/>
      <c r="T395" s="216"/>
      <c r="U395" s="216"/>
      <c r="V395" s="216"/>
      <c r="W395" s="216"/>
      <c r="X395" s="216"/>
      <c r="Y395" s="216"/>
      <c r="Z395" s="216"/>
    </row>
    <row r="396" spans="1:26" ht="15.75" customHeight="1">
      <c r="A396" s="438" t="s">
        <v>3427</v>
      </c>
      <c r="B396" s="228" t="s">
        <v>3428</v>
      </c>
      <c r="C396" s="228" t="s">
        <v>141</v>
      </c>
      <c r="D396" s="133" t="s">
        <v>5884</v>
      </c>
      <c r="E396" s="130" t="s">
        <v>5885</v>
      </c>
      <c r="F396" s="133" t="s">
        <v>5886</v>
      </c>
      <c r="G396" s="100">
        <v>3</v>
      </c>
      <c r="H396" s="140">
        <v>3</v>
      </c>
      <c r="I396" s="798">
        <v>3</v>
      </c>
      <c r="J396" s="798">
        <v>10</v>
      </c>
      <c r="K396" s="881">
        <f t="shared" si="27"/>
        <v>3.3333333333333335</v>
      </c>
      <c r="L396" s="216" t="s">
        <v>906</v>
      </c>
      <c r="M396" s="216"/>
      <c r="N396" s="216"/>
      <c r="O396" s="216"/>
      <c r="P396" s="216"/>
      <c r="Q396" s="216"/>
      <c r="R396" s="216"/>
      <c r="S396" s="216"/>
      <c r="T396" s="216"/>
      <c r="U396" s="216"/>
      <c r="V396" s="216"/>
      <c r="W396" s="216"/>
      <c r="X396" s="216"/>
      <c r="Y396" s="216"/>
      <c r="Z396" s="216"/>
    </row>
    <row r="397" spans="1:26" ht="15.75" customHeight="1">
      <c r="A397" s="134" t="s">
        <v>5887</v>
      </c>
      <c r="B397" s="134" t="s">
        <v>5888</v>
      </c>
      <c r="C397" s="92" t="s">
        <v>141</v>
      </c>
      <c r="D397" s="138" t="s">
        <v>5889</v>
      </c>
      <c r="E397" s="130" t="s">
        <v>5890</v>
      </c>
      <c r="F397" s="133" t="s">
        <v>5886</v>
      </c>
      <c r="G397" s="882">
        <v>3</v>
      </c>
      <c r="H397" s="883">
        <v>3</v>
      </c>
      <c r="I397" s="798">
        <v>3</v>
      </c>
      <c r="J397" s="798">
        <v>10</v>
      </c>
      <c r="K397" s="881">
        <f t="shared" si="27"/>
        <v>3.3333333333333335</v>
      </c>
      <c r="L397" s="216" t="s">
        <v>906</v>
      </c>
      <c r="M397" s="216"/>
      <c r="N397" s="216"/>
      <c r="O397" s="216"/>
      <c r="P397" s="216"/>
      <c r="Q397" s="216"/>
      <c r="R397" s="216"/>
      <c r="S397" s="216"/>
      <c r="T397" s="216"/>
      <c r="U397" s="216"/>
      <c r="V397" s="216"/>
      <c r="W397" s="216"/>
      <c r="X397" s="216"/>
      <c r="Y397" s="216"/>
      <c r="Z397" s="216"/>
    </row>
    <row r="398" spans="1:26" ht="15.75" customHeight="1">
      <c r="A398" s="134" t="s">
        <v>5891</v>
      </c>
      <c r="B398" s="134" t="s">
        <v>5892</v>
      </c>
      <c r="C398" s="92" t="s">
        <v>141</v>
      </c>
      <c r="D398" s="138" t="s">
        <v>5893</v>
      </c>
      <c r="E398" s="130" t="s">
        <v>5894</v>
      </c>
      <c r="F398" s="133" t="s">
        <v>4963</v>
      </c>
      <c r="G398" s="882">
        <v>2</v>
      </c>
      <c r="H398" s="883">
        <v>2</v>
      </c>
      <c r="I398" s="798">
        <v>2</v>
      </c>
      <c r="J398" s="798">
        <v>10</v>
      </c>
      <c r="K398" s="881">
        <f t="shared" si="27"/>
        <v>5</v>
      </c>
      <c r="L398" s="216" t="s">
        <v>906</v>
      </c>
      <c r="M398" s="216"/>
      <c r="N398" s="216"/>
      <c r="O398" s="216"/>
      <c r="P398" s="216"/>
      <c r="Q398" s="216"/>
      <c r="R398" s="216"/>
      <c r="S398" s="216"/>
      <c r="T398" s="216"/>
      <c r="U398" s="216"/>
      <c r="V398" s="216"/>
      <c r="W398" s="216"/>
      <c r="X398" s="216"/>
      <c r="Y398" s="216"/>
      <c r="Z398" s="216"/>
    </row>
    <row r="399" spans="1:26" ht="15.75" customHeight="1">
      <c r="A399" s="134" t="s">
        <v>5895</v>
      </c>
      <c r="B399" s="134" t="s">
        <v>5896</v>
      </c>
      <c r="C399" s="92" t="s">
        <v>141</v>
      </c>
      <c r="D399" s="138" t="s">
        <v>5897</v>
      </c>
      <c r="E399" s="130" t="s">
        <v>5898</v>
      </c>
      <c r="F399" s="133" t="s">
        <v>4963</v>
      </c>
      <c r="G399" s="882">
        <v>1</v>
      </c>
      <c r="H399" s="883">
        <v>1</v>
      </c>
      <c r="I399" s="798">
        <v>1</v>
      </c>
      <c r="J399" s="798">
        <v>10</v>
      </c>
      <c r="K399" s="881">
        <f t="shared" si="27"/>
        <v>10</v>
      </c>
      <c r="L399" s="216" t="s">
        <v>906</v>
      </c>
      <c r="M399" s="216"/>
      <c r="N399" s="216"/>
      <c r="O399" s="216"/>
      <c r="P399" s="216"/>
      <c r="Q399" s="216"/>
      <c r="R399" s="216"/>
      <c r="S399" s="216"/>
      <c r="T399" s="216"/>
      <c r="U399" s="216"/>
      <c r="V399" s="216"/>
      <c r="W399" s="216"/>
      <c r="X399" s="216"/>
      <c r="Y399" s="216"/>
      <c r="Z399" s="216"/>
    </row>
    <row r="400" spans="1:26" ht="15.75" customHeight="1">
      <c r="A400" s="134" t="s">
        <v>5725</v>
      </c>
      <c r="B400" s="134" t="s">
        <v>2974</v>
      </c>
      <c r="C400" s="99" t="s">
        <v>141</v>
      </c>
      <c r="D400" s="133" t="s">
        <v>5726</v>
      </c>
      <c r="E400" s="133" t="s">
        <v>5727</v>
      </c>
      <c r="F400" s="133" t="s">
        <v>4963</v>
      </c>
      <c r="G400" s="99">
        <v>4</v>
      </c>
      <c r="H400" s="500">
        <v>4</v>
      </c>
      <c r="I400" s="521">
        <v>4</v>
      </c>
      <c r="J400" s="521">
        <v>20</v>
      </c>
      <c r="K400" s="522">
        <f>J400/H400</f>
        <v>5</v>
      </c>
      <c r="L400" s="216" t="s">
        <v>1204</v>
      </c>
      <c r="M400" s="216"/>
      <c r="N400" s="216"/>
      <c r="O400" s="216"/>
      <c r="P400" s="216"/>
      <c r="Q400" s="216"/>
      <c r="R400" s="216"/>
      <c r="S400" s="216"/>
      <c r="T400" s="216"/>
      <c r="U400" s="216"/>
      <c r="V400" s="216"/>
      <c r="W400" s="216"/>
      <c r="X400" s="216"/>
      <c r="Y400" s="216"/>
      <c r="Z400" s="216"/>
    </row>
    <row r="401" spans="1:26" ht="15.75" customHeight="1">
      <c r="A401" s="884" t="s">
        <v>3501</v>
      </c>
      <c r="B401" s="843" t="s">
        <v>3502</v>
      </c>
      <c r="C401" s="862" t="s">
        <v>141</v>
      </c>
      <c r="D401" s="843" t="s">
        <v>5899</v>
      </c>
      <c r="E401" s="851" t="s">
        <v>5900</v>
      </c>
      <c r="F401" s="863" t="s">
        <v>4585</v>
      </c>
      <c r="G401" s="851">
        <v>6</v>
      </c>
      <c r="H401" s="885">
        <v>1</v>
      </c>
      <c r="I401" s="851">
        <v>6</v>
      </c>
      <c r="J401" s="854">
        <v>20</v>
      </c>
      <c r="K401" s="855">
        <v>3.33</v>
      </c>
      <c r="L401" s="216" t="s">
        <v>147</v>
      </c>
      <c r="M401" s="216"/>
      <c r="N401" s="216"/>
      <c r="O401" s="216"/>
      <c r="P401" s="216"/>
      <c r="Q401" s="216"/>
      <c r="R401" s="216"/>
      <c r="S401" s="216"/>
      <c r="T401" s="216"/>
      <c r="U401" s="216"/>
      <c r="V401" s="216"/>
      <c r="W401" s="216"/>
      <c r="X401" s="216"/>
      <c r="Y401" s="216"/>
      <c r="Z401" s="216"/>
    </row>
    <row r="402" spans="1:26" ht="15.75" customHeight="1">
      <c r="A402" s="861" t="s">
        <v>5901</v>
      </c>
      <c r="B402" s="843" t="s">
        <v>5902</v>
      </c>
      <c r="C402" s="862" t="s">
        <v>141</v>
      </c>
      <c r="D402" s="843" t="s">
        <v>5903</v>
      </c>
      <c r="E402" s="851" t="s">
        <v>5904</v>
      </c>
      <c r="F402" s="863" t="s">
        <v>4585</v>
      </c>
      <c r="G402" s="851">
        <v>3</v>
      </c>
      <c r="H402" s="885">
        <v>3</v>
      </c>
      <c r="I402" s="851">
        <v>4</v>
      </c>
      <c r="J402" s="854">
        <v>20</v>
      </c>
      <c r="K402" s="855">
        <v>6.66</v>
      </c>
      <c r="L402" s="216" t="s">
        <v>147</v>
      </c>
      <c r="M402" s="216"/>
      <c r="N402" s="216"/>
      <c r="O402" s="216"/>
      <c r="P402" s="216"/>
      <c r="Q402" s="216"/>
      <c r="R402" s="216"/>
      <c r="S402" s="216"/>
      <c r="T402" s="216"/>
      <c r="U402" s="216"/>
      <c r="V402" s="216"/>
      <c r="W402" s="216"/>
      <c r="X402" s="216"/>
      <c r="Y402" s="216"/>
      <c r="Z402" s="216"/>
    </row>
    <row r="403" spans="1:26" ht="15.75" customHeight="1">
      <c r="A403" s="861" t="s">
        <v>5901</v>
      </c>
      <c r="B403" s="843" t="s">
        <v>5902</v>
      </c>
      <c r="C403" s="862" t="s">
        <v>141</v>
      </c>
      <c r="D403" s="843" t="s">
        <v>5905</v>
      </c>
      <c r="E403" s="851" t="s">
        <v>5906</v>
      </c>
      <c r="F403" s="863" t="s">
        <v>4585</v>
      </c>
      <c r="G403" s="851">
        <v>3</v>
      </c>
      <c r="H403" s="885">
        <v>3</v>
      </c>
      <c r="I403" s="851">
        <v>4</v>
      </c>
      <c r="J403" s="854">
        <v>20</v>
      </c>
      <c r="K403" s="855">
        <v>6.66</v>
      </c>
      <c r="L403" s="216" t="s">
        <v>147</v>
      </c>
      <c r="M403" s="216"/>
      <c r="N403" s="216"/>
      <c r="O403" s="216"/>
      <c r="P403" s="216"/>
      <c r="Q403" s="216"/>
      <c r="R403" s="216"/>
      <c r="S403" s="216"/>
      <c r="T403" s="216"/>
      <c r="U403" s="216"/>
      <c r="V403" s="216"/>
      <c r="W403" s="216"/>
      <c r="X403" s="216"/>
      <c r="Y403" s="216"/>
      <c r="Z403" s="216"/>
    </row>
    <row r="404" spans="1:26" ht="15.75" customHeight="1">
      <c r="A404" s="861" t="s">
        <v>5901</v>
      </c>
      <c r="B404" s="843" t="s">
        <v>5902</v>
      </c>
      <c r="C404" s="862" t="s">
        <v>141</v>
      </c>
      <c r="D404" s="843" t="s">
        <v>5907</v>
      </c>
      <c r="E404" s="851" t="s">
        <v>5908</v>
      </c>
      <c r="F404" s="863" t="s">
        <v>4585</v>
      </c>
      <c r="G404" s="851">
        <v>3</v>
      </c>
      <c r="H404" s="885">
        <v>3</v>
      </c>
      <c r="I404" s="851">
        <v>4</v>
      </c>
      <c r="J404" s="854">
        <v>20</v>
      </c>
      <c r="K404" s="855">
        <v>6.66</v>
      </c>
      <c r="L404" s="216" t="s">
        <v>147</v>
      </c>
      <c r="M404" s="216"/>
      <c r="N404" s="216"/>
      <c r="O404" s="216"/>
      <c r="P404" s="216"/>
      <c r="Q404" s="216"/>
      <c r="R404" s="216"/>
      <c r="S404" s="216"/>
      <c r="T404" s="216"/>
      <c r="U404" s="216"/>
      <c r="V404" s="216"/>
      <c r="W404" s="216"/>
      <c r="X404" s="216"/>
      <c r="Y404" s="216"/>
      <c r="Z404" s="216"/>
    </row>
    <row r="405" spans="1:26" ht="15.75" customHeight="1">
      <c r="A405" s="861" t="s">
        <v>5909</v>
      </c>
      <c r="B405" s="843" t="s">
        <v>5910</v>
      </c>
      <c r="C405" s="862" t="s">
        <v>141</v>
      </c>
      <c r="D405" s="843" t="s">
        <v>5911</v>
      </c>
      <c r="E405" s="851" t="s">
        <v>5912</v>
      </c>
      <c r="F405" s="863" t="s">
        <v>4585</v>
      </c>
      <c r="G405" s="851">
        <v>2</v>
      </c>
      <c r="H405" s="885">
        <v>4</v>
      </c>
      <c r="I405" s="851">
        <v>2</v>
      </c>
      <c r="J405" s="854">
        <v>20</v>
      </c>
      <c r="K405" s="855">
        <v>10</v>
      </c>
      <c r="L405" s="216" t="s">
        <v>147</v>
      </c>
      <c r="M405" s="216"/>
      <c r="N405" s="216"/>
      <c r="O405" s="216"/>
      <c r="P405" s="216"/>
      <c r="Q405" s="216"/>
      <c r="R405" s="216"/>
      <c r="S405" s="216"/>
      <c r="T405" s="216"/>
      <c r="U405" s="216"/>
      <c r="V405" s="216"/>
      <c r="W405" s="216"/>
      <c r="X405" s="216"/>
      <c r="Y405" s="216"/>
      <c r="Z405" s="216"/>
    </row>
    <row r="406" spans="1:26" ht="15" customHeight="1">
      <c r="A406" s="134" t="s">
        <v>5913</v>
      </c>
      <c r="B406" s="99" t="s">
        <v>5914</v>
      </c>
      <c r="C406" s="99" t="s">
        <v>105</v>
      </c>
      <c r="D406" s="133" t="s">
        <v>5915</v>
      </c>
      <c r="E406" s="130" t="s">
        <v>5916</v>
      </c>
      <c r="F406" s="133" t="s">
        <v>5917</v>
      </c>
      <c r="G406" s="133">
        <v>5</v>
      </c>
      <c r="H406" s="586">
        <v>5</v>
      </c>
      <c r="I406" s="804">
        <v>5</v>
      </c>
      <c r="J406" s="804">
        <v>10</v>
      </c>
      <c r="K406" s="784">
        <f t="shared" ref="K406:K424" si="28">J406/I406</f>
        <v>2</v>
      </c>
      <c r="L406" s="338" t="s">
        <v>114</v>
      </c>
      <c r="M406" s="216"/>
      <c r="N406" s="216"/>
      <c r="O406" s="216"/>
      <c r="P406" s="216"/>
      <c r="Q406" s="216"/>
      <c r="R406" s="216"/>
      <c r="S406" s="216"/>
      <c r="T406" s="216"/>
      <c r="U406" s="216"/>
      <c r="V406" s="216"/>
      <c r="W406" s="216"/>
      <c r="X406" s="216"/>
      <c r="Y406" s="216"/>
      <c r="Z406" s="216"/>
    </row>
    <row r="407" spans="1:26" ht="15" customHeight="1">
      <c r="A407" s="438" t="s">
        <v>5918</v>
      </c>
      <c r="B407" s="228" t="s">
        <v>5919</v>
      </c>
      <c r="C407" s="99" t="s">
        <v>105</v>
      </c>
      <c r="D407" s="133" t="s">
        <v>5915</v>
      </c>
      <c r="E407" s="130" t="s">
        <v>5916</v>
      </c>
      <c r="F407" s="133" t="s">
        <v>5917</v>
      </c>
      <c r="G407" s="133">
        <v>5</v>
      </c>
      <c r="H407" s="586">
        <v>5</v>
      </c>
      <c r="I407" s="804">
        <v>5</v>
      </c>
      <c r="J407" s="804">
        <v>10</v>
      </c>
      <c r="K407" s="784">
        <f t="shared" si="28"/>
        <v>2</v>
      </c>
      <c r="L407" s="338" t="s">
        <v>114</v>
      </c>
      <c r="M407" s="216"/>
      <c r="N407" s="216"/>
      <c r="O407" s="216"/>
      <c r="P407" s="216"/>
      <c r="Q407" s="216"/>
      <c r="R407" s="216"/>
      <c r="S407" s="216"/>
      <c r="T407" s="216"/>
      <c r="U407" s="216"/>
      <c r="V407" s="216"/>
      <c r="W407" s="216"/>
      <c r="X407" s="216"/>
      <c r="Y407" s="216"/>
      <c r="Z407" s="216"/>
    </row>
    <row r="408" spans="1:26" ht="15" customHeight="1">
      <c r="A408" s="438" t="s">
        <v>5920</v>
      </c>
      <c r="B408" s="228" t="s">
        <v>5483</v>
      </c>
      <c r="C408" s="99" t="s">
        <v>105</v>
      </c>
      <c r="D408" s="133" t="s">
        <v>5921</v>
      </c>
      <c r="E408" s="130" t="s">
        <v>5922</v>
      </c>
      <c r="F408" s="133" t="s">
        <v>5917</v>
      </c>
      <c r="G408" s="133">
        <v>5</v>
      </c>
      <c r="H408" s="586">
        <v>5</v>
      </c>
      <c r="I408" s="804">
        <v>5</v>
      </c>
      <c r="J408" s="804">
        <v>10</v>
      </c>
      <c r="K408" s="784">
        <f t="shared" si="28"/>
        <v>2</v>
      </c>
      <c r="L408" s="338" t="s">
        <v>114</v>
      </c>
      <c r="M408" s="216"/>
      <c r="N408" s="216"/>
      <c r="O408" s="216"/>
      <c r="P408" s="216"/>
      <c r="Q408" s="216"/>
      <c r="R408" s="216"/>
      <c r="S408" s="216"/>
      <c r="T408" s="216"/>
      <c r="U408" s="216"/>
      <c r="V408" s="216"/>
      <c r="W408" s="216"/>
      <c r="X408" s="216"/>
      <c r="Y408" s="216"/>
      <c r="Z408" s="216"/>
    </row>
    <row r="409" spans="1:26" ht="15" customHeight="1">
      <c r="A409" s="438" t="s">
        <v>5920</v>
      </c>
      <c r="B409" s="228" t="s">
        <v>5483</v>
      </c>
      <c r="C409" s="99" t="s">
        <v>105</v>
      </c>
      <c r="D409" s="301" t="s">
        <v>5923</v>
      </c>
      <c r="E409" s="576" t="s">
        <v>5487</v>
      </c>
      <c r="F409" s="301" t="s">
        <v>4585</v>
      </c>
      <c r="G409" s="301">
        <v>4</v>
      </c>
      <c r="H409" s="886">
        <v>4</v>
      </c>
      <c r="I409" s="887">
        <v>4</v>
      </c>
      <c r="J409" s="887">
        <v>20</v>
      </c>
      <c r="K409" s="887">
        <f t="shared" si="28"/>
        <v>5</v>
      </c>
      <c r="L409" s="338" t="s">
        <v>114</v>
      </c>
      <c r="M409" s="216"/>
      <c r="N409" s="216"/>
      <c r="O409" s="216"/>
      <c r="P409" s="216"/>
      <c r="Q409" s="216"/>
      <c r="R409" s="216"/>
      <c r="S409" s="216"/>
      <c r="T409" s="216"/>
      <c r="U409" s="216"/>
      <c r="V409" s="216"/>
      <c r="W409" s="216"/>
      <c r="X409" s="216"/>
      <c r="Y409" s="216"/>
      <c r="Z409" s="216"/>
    </row>
    <row r="410" spans="1:26" ht="15" customHeight="1">
      <c r="A410" s="302" t="s">
        <v>5924</v>
      </c>
      <c r="B410" s="290" t="s">
        <v>3536</v>
      </c>
      <c r="C410" s="290" t="s">
        <v>105</v>
      </c>
      <c r="D410" s="301" t="s">
        <v>5925</v>
      </c>
      <c r="E410" s="576" t="s">
        <v>5926</v>
      </c>
      <c r="F410" s="301" t="s">
        <v>5927</v>
      </c>
      <c r="G410" s="301">
        <v>4</v>
      </c>
      <c r="H410" s="886">
        <v>4</v>
      </c>
      <c r="I410" s="887">
        <v>4</v>
      </c>
      <c r="J410" s="887">
        <v>10</v>
      </c>
      <c r="K410" s="887">
        <f t="shared" si="28"/>
        <v>2.5</v>
      </c>
      <c r="L410" s="338" t="s">
        <v>931</v>
      </c>
      <c r="M410" s="216"/>
      <c r="N410" s="216"/>
      <c r="O410" s="216"/>
      <c r="P410" s="216"/>
      <c r="Q410" s="216"/>
      <c r="R410" s="216"/>
      <c r="S410" s="216"/>
      <c r="T410" s="216"/>
      <c r="U410" s="216"/>
      <c r="V410" s="216"/>
      <c r="W410" s="216"/>
      <c r="X410" s="216"/>
      <c r="Y410" s="216"/>
      <c r="Z410" s="216"/>
    </row>
    <row r="411" spans="1:26" ht="15" customHeight="1">
      <c r="A411" s="302" t="s">
        <v>5924</v>
      </c>
      <c r="B411" s="290" t="s">
        <v>3536</v>
      </c>
      <c r="C411" s="515" t="s">
        <v>105</v>
      </c>
      <c r="D411" s="301" t="s">
        <v>5923</v>
      </c>
      <c r="E411" s="576" t="s">
        <v>5487</v>
      </c>
      <c r="F411" s="301" t="s">
        <v>4585</v>
      </c>
      <c r="G411" s="301">
        <v>4</v>
      </c>
      <c r="H411" s="886">
        <v>4</v>
      </c>
      <c r="I411" s="887">
        <v>4</v>
      </c>
      <c r="J411" s="887">
        <v>20</v>
      </c>
      <c r="K411" s="887">
        <f t="shared" si="28"/>
        <v>5</v>
      </c>
      <c r="L411" s="338" t="s">
        <v>931</v>
      </c>
      <c r="M411" s="216"/>
      <c r="N411" s="216"/>
      <c r="O411" s="216"/>
      <c r="P411" s="216"/>
      <c r="Q411" s="216"/>
      <c r="R411" s="216"/>
      <c r="S411" s="216"/>
      <c r="T411" s="216"/>
      <c r="U411" s="216"/>
      <c r="V411" s="216"/>
      <c r="W411" s="216"/>
      <c r="X411" s="216"/>
      <c r="Y411" s="216"/>
      <c r="Z411" s="216"/>
    </row>
    <row r="412" spans="1:26" ht="15" customHeight="1">
      <c r="A412" s="514" t="s">
        <v>5928</v>
      </c>
      <c r="B412" s="519" t="s">
        <v>5929</v>
      </c>
      <c r="C412" s="515" t="s">
        <v>105</v>
      </c>
      <c r="D412" s="301" t="s">
        <v>5930</v>
      </c>
      <c r="E412" s="576" t="s">
        <v>5931</v>
      </c>
      <c r="F412" s="301" t="s">
        <v>5932</v>
      </c>
      <c r="G412" s="301">
        <v>4</v>
      </c>
      <c r="H412" s="886">
        <v>4</v>
      </c>
      <c r="I412" s="887">
        <v>4</v>
      </c>
      <c r="J412" s="887">
        <v>20</v>
      </c>
      <c r="K412" s="887">
        <f t="shared" si="28"/>
        <v>5</v>
      </c>
      <c r="L412" s="338" t="s">
        <v>931</v>
      </c>
      <c r="M412" s="216"/>
      <c r="N412" s="216"/>
      <c r="O412" s="216"/>
      <c r="P412" s="216"/>
      <c r="Q412" s="216"/>
      <c r="R412" s="216"/>
      <c r="S412" s="216"/>
      <c r="T412" s="216"/>
      <c r="U412" s="216"/>
      <c r="V412" s="216"/>
      <c r="W412" s="216"/>
      <c r="X412" s="216"/>
      <c r="Y412" s="216"/>
      <c r="Z412" s="216"/>
    </row>
    <row r="413" spans="1:26" ht="15" customHeight="1">
      <c r="A413" s="514" t="s">
        <v>3554</v>
      </c>
      <c r="B413" s="519" t="s">
        <v>5933</v>
      </c>
      <c r="C413" s="515" t="s">
        <v>105</v>
      </c>
      <c r="D413" s="301" t="s">
        <v>5934</v>
      </c>
      <c r="E413" s="576" t="s">
        <v>5935</v>
      </c>
      <c r="F413" s="301" t="s">
        <v>4585</v>
      </c>
      <c r="G413" s="663">
        <v>1</v>
      </c>
      <c r="H413" s="886">
        <v>1</v>
      </c>
      <c r="I413" s="887">
        <v>1</v>
      </c>
      <c r="J413" s="887">
        <v>20</v>
      </c>
      <c r="K413" s="887">
        <f t="shared" si="28"/>
        <v>20</v>
      </c>
      <c r="L413" s="338" t="s">
        <v>931</v>
      </c>
      <c r="M413" s="216"/>
      <c r="N413" s="216"/>
      <c r="O413" s="216"/>
      <c r="P413" s="216"/>
      <c r="Q413" s="216"/>
      <c r="R413" s="216"/>
      <c r="S413" s="216"/>
      <c r="T413" s="216"/>
      <c r="U413" s="216"/>
      <c r="V413" s="216"/>
      <c r="W413" s="216"/>
      <c r="X413" s="216"/>
      <c r="Y413" s="216"/>
      <c r="Z413" s="216"/>
    </row>
    <row r="414" spans="1:26" ht="15" customHeight="1">
      <c r="A414" s="570" t="s">
        <v>5936</v>
      </c>
      <c r="B414" s="570" t="s">
        <v>5937</v>
      </c>
      <c r="C414" s="567" t="s">
        <v>105</v>
      </c>
      <c r="D414" s="590" t="s">
        <v>5938</v>
      </c>
      <c r="E414" s="565" t="s">
        <v>5939</v>
      </c>
      <c r="F414" s="574" t="s">
        <v>4585</v>
      </c>
      <c r="G414" s="663">
        <v>8</v>
      </c>
      <c r="H414" s="888">
        <v>8</v>
      </c>
      <c r="I414" s="887">
        <v>8</v>
      </c>
      <c r="J414" s="887">
        <v>20</v>
      </c>
      <c r="K414" s="887">
        <f t="shared" si="28"/>
        <v>2.5</v>
      </c>
      <c r="L414" s="338" t="s">
        <v>931</v>
      </c>
      <c r="M414" s="216"/>
      <c r="N414" s="216"/>
      <c r="O414" s="216"/>
      <c r="P414" s="216"/>
      <c r="Q414" s="216"/>
      <c r="R414" s="216"/>
      <c r="S414" s="216"/>
      <c r="T414" s="216"/>
      <c r="U414" s="216"/>
      <c r="V414" s="216"/>
      <c r="W414" s="216"/>
      <c r="X414" s="216"/>
      <c r="Y414" s="216"/>
      <c r="Z414" s="216"/>
    </row>
    <row r="415" spans="1:26" ht="15" customHeight="1">
      <c r="A415" s="514" t="s">
        <v>3554</v>
      </c>
      <c r="B415" s="301" t="s">
        <v>3551</v>
      </c>
      <c r="C415" s="889" t="s">
        <v>105</v>
      </c>
      <c r="D415" s="590" t="s">
        <v>5938</v>
      </c>
      <c r="E415" s="565" t="s">
        <v>5939</v>
      </c>
      <c r="F415" s="574" t="s">
        <v>4585</v>
      </c>
      <c r="G415" s="890">
        <v>1</v>
      </c>
      <c r="H415" s="891">
        <v>1</v>
      </c>
      <c r="I415" s="892">
        <v>1</v>
      </c>
      <c r="J415" s="892">
        <v>20</v>
      </c>
      <c r="K415" s="892">
        <f t="shared" si="28"/>
        <v>20</v>
      </c>
      <c r="L415" s="338" t="s">
        <v>931</v>
      </c>
      <c r="M415" s="216"/>
      <c r="N415" s="216"/>
      <c r="O415" s="216"/>
      <c r="P415" s="216"/>
      <c r="Q415" s="216"/>
      <c r="R415" s="216"/>
      <c r="S415" s="216"/>
      <c r="T415" s="216"/>
      <c r="U415" s="216"/>
      <c r="V415" s="216"/>
      <c r="W415" s="216"/>
      <c r="X415" s="216"/>
      <c r="Y415" s="216"/>
      <c r="Z415" s="216"/>
    </row>
    <row r="416" spans="1:26" ht="15" customHeight="1">
      <c r="A416" s="588" t="s">
        <v>5940</v>
      </c>
      <c r="B416" s="589" t="s">
        <v>5941</v>
      </c>
      <c r="C416" s="515" t="s">
        <v>105</v>
      </c>
      <c r="D416" s="590" t="s">
        <v>5942</v>
      </c>
      <c r="E416" s="592" t="s">
        <v>4768</v>
      </c>
      <c r="F416" s="574" t="s">
        <v>4585</v>
      </c>
      <c r="G416" s="890">
        <v>4</v>
      </c>
      <c r="H416" s="891">
        <v>3</v>
      </c>
      <c r="I416" s="892">
        <v>4</v>
      </c>
      <c r="J416" s="892">
        <v>20</v>
      </c>
      <c r="K416" s="892">
        <f t="shared" si="28"/>
        <v>5</v>
      </c>
      <c r="L416" s="338" t="s">
        <v>931</v>
      </c>
      <c r="M416" s="216"/>
      <c r="N416" s="216"/>
      <c r="O416" s="216"/>
      <c r="P416" s="216"/>
      <c r="Q416" s="216"/>
      <c r="R416" s="216"/>
      <c r="S416" s="216"/>
      <c r="T416" s="216"/>
      <c r="U416" s="216"/>
      <c r="V416" s="216"/>
      <c r="W416" s="216"/>
      <c r="X416" s="216"/>
      <c r="Y416" s="216"/>
      <c r="Z416" s="216"/>
    </row>
    <row r="417" spans="1:26" ht="15" customHeight="1">
      <c r="A417" s="134" t="s">
        <v>3572</v>
      </c>
      <c r="B417" s="471" t="s">
        <v>3573</v>
      </c>
      <c r="C417" s="99" t="s">
        <v>105</v>
      </c>
      <c r="D417" s="133" t="s">
        <v>5943</v>
      </c>
      <c r="E417" s="893" t="s">
        <v>5944</v>
      </c>
      <c r="F417" s="133" t="s">
        <v>5945</v>
      </c>
      <c r="G417" s="99">
        <v>3</v>
      </c>
      <c r="H417" s="99">
        <v>1</v>
      </c>
      <c r="I417" s="894">
        <v>3</v>
      </c>
      <c r="J417" s="894">
        <v>20</v>
      </c>
      <c r="K417" s="895">
        <f t="shared" si="28"/>
        <v>6.666666666666667</v>
      </c>
      <c r="L417" s="338" t="s">
        <v>952</v>
      </c>
      <c r="M417" s="216"/>
      <c r="N417" s="216"/>
      <c r="O417" s="216"/>
      <c r="P417" s="216"/>
      <c r="Q417" s="216"/>
      <c r="R417" s="216"/>
      <c r="S417" s="216"/>
      <c r="T417" s="216"/>
      <c r="U417" s="216"/>
      <c r="V417" s="216"/>
      <c r="W417" s="216"/>
      <c r="X417" s="216"/>
      <c r="Y417" s="216"/>
      <c r="Z417" s="216"/>
    </row>
    <row r="418" spans="1:26" ht="15" customHeight="1">
      <c r="A418" s="134" t="s">
        <v>3572</v>
      </c>
      <c r="B418" s="471" t="s">
        <v>3573</v>
      </c>
      <c r="C418" s="99" t="s">
        <v>105</v>
      </c>
      <c r="D418" s="133" t="s">
        <v>5943</v>
      </c>
      <c r="E418" s="893" t="s">
        <v>5946</v>
      </c>
      <c r="F418" s="133" t="s">
        <v>5947</v>
      </c>
      <c r="G418" s="99">
        <v>3</v>
      </c>
      <c r="H418" s="99">
        <v>1</v>
      </c>
      <c r="I418" s="894">
        <v>3</v>
      </c>
      <c r="J418" s="894">
        <v>10</v>
      </c>
      <c r="K418" s="895">
        <f t="shared" si="28"/>
        <v>3.3333333333333335</v>
      </c>
      <c r="L418" s="338" t="s">
        <v>952</v>
      </c>
      <c r="M418" s="216"/>
      <c r="N418" s="216"/>
      <c r="O418" s="216"/>
      <c r="P418" s="216"/>
      <c r="Q418" s="216"/>
      <c r="R418" s="216"/>
      <c r="S418" s="216"/>
      <c r="T418" s="216"/>
      <c r="U418" s="216"/>
      <c r="V418" s="216"/>
      <c r="W418" s="216"/>
      <c r="X418" s="216"/>
      <c r="Y418" s="216"/>
      <c r="Z418" s="216"/>
    </row>
    <row r="419" spans="1:26" ht="15" customHeight="1">
      <c r="A419" s="379" t="s">
        <v>5948</v>
      </c>
      <c r="B419" s="471" t="s">
        <v>5949</v>
      </c>
      <c r="C419" s="99" t="s">
        <v>105</v>
      </c>
      <c r="D419" s="134" t="s">
        <v>5950</v>
      </c>
      <c r="E419" s="134" t="s">
        <v>5951</v>
      </c>
      <c r="F419" s="131" t="s">
        <v>5952</v>
      </c>
      <c r="G419" s="796">
        <v>3</v>
      </c>
      <c r="H419" s="796">
        <v>3</v>
      </c>
      <c r="I419" s="798">
        <v>3</v>
      </c>
      <c r="J419" s="798">
        <v>20</v>
      </c>
      <c r="K419" s="881">
        <f t="shared" si="28"/>
        <v>6.666666666666667</v>
      </c>
      <c r="L419" s="338" t="s">
        <v>952</v>
      </c>
      <c r="M419" s="216"/>
      <c r="N419" s="216"/>
      <c r="O419" s="216"/>
      <c r="P419" s="216"/>
      <c r="Q419" s="216"/>
      <c r="R419" s="216"/>
      <c r="S419" s="216"/>
      <c r="T419" s="216"/>
      <c r="U419" s="216"/>
      <c r="V419" s="216"/>
      <c r="W419" s="216"/>
      <c r="X419" s="216"/>
      <c r="Y419" s="216"/>
      <c r="Z419" s="216"/>
    </row>
    <row r="420" spans="1:26" ht="15" customHeight="1">
      <c r="A420" s="134" t="s">
        <v>5953</v>
      </c>
      <c r="B420" s="133" t="s">
        <v>5954</v>
      </c>
      <c r="C420" s="99" t="s">
        <v>105</v>
      </c>
      <c r="D420" s="131" t="s">
        <v>5955</v>
      </c>
      <c r="E420" s="131" t="s">
        <v>5956</v>
      </c>
      <c r="F420" s="131"/>
      <c r="G420" s="821">
        <v>9</v>
      </c>
      <c r="H420" s="796">
        <v>1</v>
      </c>
      <c r="I420" s="798">
        <v>9</v>
      </c>
      <c r="J420" s="798">
        <v>20</v>
      </c>
      <c r="K420" s="881">
        <f t="shared" si="28"/>
        <v>2.2222222222222223</v>
      </c>
      <c r="L420" s="338" t="s">
        <v>952</v>
      </c>
      <c r="M420" s="216"/>
      <c r="N420" s="216"/>
      <c r="O420" s="216"/>
      <c r="P420" s="216"/>
      <c r="Q420" s="216"/>
      <c r="R420" s="216"/>
      <c r="S420" s="216"/>
      <c r="T420" s="216"/>
      <c r="U420" s="216"/>
      <c r="V420" s="216"/>
      <c r="W420" s="216"/>
      <c r="X420" s="216"/>
      <c r="Y420" s="216"/>
      <c r="Z420" s="216"/>
    </row>
    <row r="421" spans="1:26" ht="15" customHeight="1">
      <c r="A421" s="134" t="s">
        <v>3563</v>
      </c>
      <c r="B421" s="91" t="s">
        <v>3564</v>
      </c>
      <c r="C421" s="99" t="s">
        <v>105</v>
      </c>
      <c r="D421" s="134" t="s">
        <v>5950</v>
      </c>
      <c r="E421" s="134" t="s">
        <v>5951</v>
      </c>
      <c r="F421" s="131" t="s">
        <v>5952</v>
      </c>
      <c r="G421" s="796">
        <v>4</v>
      </c>
      <c r="H421" s="796">
        <v>4</v>
      </c>
      <c r="I421" s="798">
        <v>4</v>
      </c>
      <c r="J421" s="798">
        <v>20</v>
      </c>
      <c r="K421" s="881">
        <f t="shared" si="28"/>
        <v>5</v>
      </c>
      <c r="L421" s="338" t="s">
        <v>952</v>
      </c>
      <c r="M421" s="216"/>
      <c r="N421" s="216"/>
      <c r="O421" s="216"/>
      <c r="P421" s="216"/>
      <c r="Q421" s="216"/>
      <c r="R421" s="216"/>
      <c r="S421" s="216"/>
      <c r="T421" s="216"/>
      <c r="U421" s="216"/>
      <c r="V421" s="216"/>
      <c r="W421" s="216"/>
      <c r="X421" s="216"/>
      <c r="Y421" s="216"/>
      <c r="Z421" s="216"/>
    </row>
    <row r="422" spans="1:26" ht="15" customHeight="1">
      <c r="A422" s="134" t="s">
        <v>3591</v>
      </c>
      <c r="B422" s="134" t="s">
        <v>3592</v>
      </c>
      <c r="C422" s="99" t="s">
        <v>105</v>
      </c>
      <c r="D422" s="131" t="s">
        <v>5957</v>
      </c>
      <c r="E422" s="585" t="s">
        <v>5415</v>
      </c>
      <c r="F422" s="131" t="s">
        <v>5947</v>
      </c>
      <c r="G422" s="821">
        <v>7</v>
      </c>
      <c r="H422" s="796">
        <v>7</v>
      </c>
      <c r="I422" s="798">
        <v>7</v>
      </c>
      <c r="J422" s="798">
        <v>10</v>
      </c>
      <c r="K422" s="881">
        <f t="shared" si="28"/>
        <v>1.4285714285714286</v>
      </c>
      <c r="L422" s="338" t="s">
        <v>952</v>
      </c>
      <c r="M422" s="216"/>
      <c r="N422" s="216"/>
      <c r="O422" s="216"/>
      <c r="P422" s="216"/>
      <c r="Q422" s="216"/>
      <c r="R422" s="216"/>
      <c r="S422" s="216"/>
      <c r="T422" s="216"/>
      <c r="U422" s="216"/>
      <c r="V422" s="216"/>
      <c r="W422" s="216"/>
      <c r="X422" s="216"/>
      <c r="Y422" s="216"/>
      <c r="Z422" s="216"/>
    </row>
    <row r="423" spans="1:26" ht="15" customHeight="1">
      <c r="A423" s="134" t="s">
        <v>3591</v>
      </c>
      <c r="B423" s="134" t="s">
        <v>3592</v>
      </c>
      <c r="C423" s="99" t="s">
        <v>105</v>
      </c>
      <c r="D423" s="133" t="s">
        <v>5958</v>
      </c>
      <c r="E423" s="270" t="s">
        <v>5959</v>
      </c>
      <c r="F423" s="131" t="s">
        <v>5947</v>
      </c>
      <c r="G423" s="821">
        <v>7</v>
      </c>
      <c r="H423" s="796">
        <v>7</v>
      </c>
      <c r="I423" s="798">
        <v>7</v>
      </c>
      <c r="J423" s="798">
        <v>10</v>
      </c>
      <c r="K423" s="881">
        <f t="shared" si="28"/>
        <v>1.4285714285714286</v>
      </c>
      <c r="L423" s="338" t="s">
        <v>952</v>
      </c>
      <c r="M423" s="216"/>
      <c r="N423" s="216"/>
      <c r="O423" s="216"/>
      <c r="P423" s="216"/>
      <c r="Q423" s="216"/>
      <c r="R423" s="216"/>
      <c r="S423" s="216"/>
      <c r="T423" s="216"/>
      <c r="U423" s="216"/>
      <c r="V423" s="216"/>
      <c r="W423" s="216"/>
      <c r="X423" s="216"/>
      <c r="Y423" s="216"/>
      <c r="Z423" s="216"/>
    </row>
    <row r="424" spans="1:26" ht="15" customHeight="1">
      <c r="A424" s="134" t="s">
        <v>3591</v>
      </c>
      <c r="B424" s="134" t="s">
        <v>3592</v>
      </c>
      <c r="C424" s="99" t="s">
        <v>105</v>
      </c>
      <c r="D424" s="133" t="s">
        <v>5960</v>
      </c>
      <c r="E424" s="270" t="s">
        <v>5961</v>
      </c>
      <c r="F424" s="133" t="s">
        <v>5962</v>
      </c>
      <c r="G424" s="821">
        <v>7</v>
      </c>
      <c r="H424" s="796">
        <v>7</v>
      </c>
      <c r="I424" s="798">
        <v>7</v>
      </c>
      <c r="J424" s="798">
        <v>20</v>
      </c>
      <c r="K424" s="881">
        <f t="shared" si="28"/>
        <v>2.8571428571428572</v>
      </c>
      <c r="L424" s="338" t="s">
        <v>952</v>
      </c>
      <c r="M424" s="216"/>
      <c r="N424" s="216"/>
      <c r="O424" s="216"/>
      <c r="P424" s="216"/>
      <c r="Q424" s="216"/>
      <c r="R424" s="216"/>
      <c r="S424" s="216"/>
      <c r="T424" s="216"/>
      <c r="U424" s="216"/>
      <c r="V424" s="216"/>
      <c r="W424" s="216"/>
      <c r="X424" s="216"/>
      <c r="Y424" s="216"/>
      <c r="Z424" s="216"/>
    </row>
    <row r="425" spans="1:26" ht="15" customHeight="1">
      <c r="A425" s="504" t="s">
        <v>5684</v>
      </c>
      <c r="B425" s="571" t="s">
        <v>2841</v>
      </c>
      <c r="C425" s="316" t="s">
        <v>105</v>
      </c>
      <c r="D425" s="667" t="s">
        <v>5686</v>
      </c>
      <c r="E425" s="133" t="s">
        <v>5687</v>
      </c>
      <c r="F425" s="292" t="s">
        <v>4963</v>
      </c>
      <c r="G425" s="316">
        <v>2</v>
      </c>
      <c r="H425" s="864">
        <v>2</v>
      </c>
      <c r="I425" s="865">
        <v>3</v>
      </c>
      <c r="J425" s="865">
        <v>10</v>
      </c>
      <c r="K425" s="866">
        <f>10/2</f>
        <v>5</v>
      </c>
      <c r="L425" s="338" t="s">
        <v>123</v>
      </c>
      <c r="M425" s="216"/>
      <c r="N425" s="216"/>
      <c r="O425" s="216"/>
      <c r="P425" s="216"/>
      <c r="Q425" s="216"/>
      <c r="R425" s="216"/>
      <c r="S425" s="216"/>
      <c r="T425" s="216"/>
      <c r="U425" s="216"/>
      <c r="V425" s="216"/>
      <c r="W425" s="216"/>
      <c r="X425" s="216"/>
      <c r="Y425" s="216"/>
      <c r="Z425" s="216"/>
    </row>
    <row r="426" spans="1:26" ht="15" customHeight="1">
      <c r="A426" s="301" t="s">
        <v>2848</v>
      </c>
      <c r="B426" s="301" t="s">
        <v>2849</v>
      </c>
      <c r="C426" s="316" t="s">
        <v>105</v>
      </c>
      <c r="D426" s="648" t="s">
        <v>5688</v>
      </c>
      <c r="E426" s="301" t="s">
        <v>5689</v>
      </c>
      <c r="F426" s="868" t="s">
        <v>5511</v>
      </c>
      <c r="G426" s="512">
        <v>3</v>
      </c>
      <c r="H426" s="512">
        <v>3</v>
      </c>
      <c r="I426" s="516">
        <v>3</v>
      </c>
      <c r="J426" s="516">
        <v>20</v>
      </c>
      <c r="K426" s="518">
        <f>20/3</f>
        <v>6.666666666666667</v>
      </c>
      <c r="L426" s="338" t="s">
        <v>123</v>
      </c>
      <c r="M426" s="216"/>
      <c r="N426" s="216"/>
      <c r="O426" s="216"/>
      <c r="P426" s="216"/>
      <c r="Q426" s="216"/>
      <c r="R426" s="216"/>
      <c r="S426" s="216"/>
      <c r="T426" s="216"/>
      <c r="U426" s="216"/>
      <c r="V426" s="216"/>
      <c r="W426" s="216"/>
      <c r="X426" s="216"/>
      <c r="Y426" s="216"/>
      <c r="Z426" s="216"/>
    </row>
    <row r="427" spans="1:26" ht="15" customHeight="1">
      <c r="A427" s="301" t="s">
        <v>2852</v>
      </c>
      <c r="B427" s="515" t="s">
        <v>2853</v>
      </c>
      <c r="C427" s="316" t="s">
        <v>105</v>
      </c>
      <c r="D427" s="515" t="s">
        <v>5707</v>
      </c>
      <c r="E427" s="301" t="s">
        <v>5708</v>
      </c>
      <c r="F427" s="301" t="s">
        <v>1899</v>
      </c>
      <c r="G427" s="304">
        <v>2</v>
      </c>
      <c r="H427" s="290">
        <v>2</v>
      </c>
      <c r="I427" s="290">
        <v>3</v>
      </c>
      <c r="J427" s="290">
        <v>20</v>
      </c>
      <c r="K427" s="513">
        <f>20/2</f>
        <v>10</v>
      </c>
      <c r="L427" s="338" t="s">
        <v>123</v>
      </c>
      <c r="M427" s="216"/>
      <c r="N427" s="216"/>
      <c r="O427" s="216"/>
      <c r="P427" s="216"/>
      <c r="Q427" s="216"/>
      <c r="R427" s="216"/>
      <c r="S427" s="216"/>
      <c r="T427" s="216"/>
      <c r="U427" s="216"/>
      <c r="V427" s="216"/>
      <c r="W427" s="216"/>
      <c r="X427" s="216"/>
      <c r="Y427" s="216"/>
      <c r="Z427" s="216"/>
    </row>
    <row r="428" spans="1:26" ht="15" customHeight="1">
      <c r="A428" s="504" t="s">
        <v>2852</v>
      </c>
      <c r="B428" s="504" t="s">
        <v>2853</v>
      </c>
      <c r="C428" s="316" t="s">
        <v>105</v>
      </c>
      <c r="D428" s="571" t="s">
        <v>5709</v>
      </c>
      <c r="E428" s="571" t="s">
        <v>5710</v>
      </c>
      <c r="F428" s="896" t="s">
        <v>5701</v>
      </c>
      <c r="G428" s="322">
        <v>2</v>
      </c>
      <c r="H428" s="316">
        <v>2</v>
      </c>
      <c r="I428" s="316">
        <v>3</v>
      </c>
      <c r="J428" s="316">
        <v>10</v>
      </c>
      <c r="K428" s="897">
        <f>10/2</f>
        <v>5</v>
      </c>
      <c r="L428" s="338" t="s">
        <v>123</v>
      </c>
      <c r="M428" s="216"/>
      <c r="N428" s="216"/>
      <c r="O428" s="216"/>
      <c r="P428" s="216"/>
      <c r="Q428" s="216"/>
      <c r="R428" s="216"/>
      <c r="S428" s="216"/>
      <c r="T428" s="216"/>
      <c r="U428" s="216"/>
      <c r="V428" s="216"/>
      <c r="W428" s="216"/>
      <c r="X428" s="216"/>
      <c r="Y428" s="216"/>
      <c r="Z428" s="216"/>
    </row>
    <row r="429" spans="1:26" ht="15" customHeight="1">
      <c r="A429" s="504" t="s">
        <v>2852</v>
      </c>
      <c r="B429" s="504" t="s">
        <v>2853</v>
      </c>
      <c r="C429" s="316" t="s">
        <v>105</v>
      </c>
      <c r="D429" s="301" t="s">
        <v>5963</v>
      </c>
      <c r="E429" s="301" t="s">
        <v>5964</v>
      </c>
      <c r="F429" s="289" t="s">
        <v>5965</v>
      </c>
      <c r="G429" s="304">
        <v>2</v>
      </c>
      <c r="H429" s="290">
        <v>2</v>
      </c>
      <c r="I429" s="290">
        <v>3</v>
      </c>
      <c r="J429" s="290">
        <v>20</v>
      </c>
      <c r="K429" s="513">
        <f>20/2</f>
        <v>10</v>
      </c>
      <c r="L429" s="338" t="s">
        <v>123</v>
      </c>
      <c r="M429" s="216"/>
      <c r="N429" s="216"/>
      <c r="O429" s="216"/>
      <c r="P429" s="216"/>
      <c r="Q429" s="216"/>
      <c r="R429" s="216"/>
      <c r="S429" s="216"/>
      <c r="T429" s="216"/>
      <c r="U429" s="216"/>
      <c r="V429" s="216"/>
      <c r="W429" s="216"/>
      <c r="X429" s="216"/>
      <c r="Y429" s="216"/>
      <c r="Z429" s="216"/>
    </row>
    <row r="430" spans="1:26" ht="15" customHeight="1">
      <c r="A430" s="301" t="s">
        <v>2848</v>
      </c>
      <c r="B430" s="301" t="s">
        <v>2849</v>
      </c>
      <c r="C430" s="316" t="s">
        <v>105</v>
      </c>
      <c r="D430" s="591" t="s">
        <v>5716</v>
      </c>
      <c r="E430" s="591" t="s">
        <v>5717</v>
      </c>
      <c r="F430" s="591" t="s">
        <v>5718</v>
      </c>
      <c r="G430" s="898">
        <v>3</v>
      </c>
      <c r="H430" s="899">
        <v>3</v>
      </c>
      <c r="I430" s="502">
        <v>3</v>
      </c>
      <c r="J430" s="502">
        <v>20</v>
      </c>
      <c r="K430" s="900">
        <f t="shared" ref="K430:K431" si="29">20/3</f>
        <v>6.666666666666667</v>
      </c>
      <c r="L430" s="338" t="s">
        <v>123</v>
      </c>
      <c r="M430" s="216"/>
      <c r="N430" s="216"/>
      <c r="O430" s="216"/>
      <c r="P430" s="216"/>
      <c r="Q430" s="216"/>
      <c r="R430" s="216"/>
      <c r="S430" s="216"/>
      <c r="T430" s="216"/>
      <c r="U430" s="216"/>
      <c r="V430" s="216"/>
      <c r="W430" s="216"/>
      <c r="X430" s="216"/>
      <c r="Y430" s="216"/>
      <c r="Z430" s="216"/>
    </row>
    <row r="431" spans="1:26" ht="15" customHeight="1">
      <c r="A431" s="571" t="s">
        <v>2848</v>
      </c>
      <c r="B431" s="571" t="s">
        <v>2849</v>
      </c>
      <c r="C431" s="316" t="s">
        <v>105</v>
      </c>
      <c r="D431" s="571" t="s">
        <v>5966</v>
      </c>
      <c r="E431" s="571" t="s">
        <v>5717</v>
      </c>
      <c r="F431" s="571" t="s">
        <v>5965</v>
      </c>
      <c r="G431" s="901">
        <v>3</v>
      </c>
      <c r="H431" s="902">
        <v>3</v>
      </c>
      <c r="I431" s="903">
        <v>3</v>
      </c>
      <c r="J431" s="903">
        <v>20</v>
      </c>
      <c r="K431" s="904">
        <f t="shared" si="29"/>
        <v>6.666666666666667</v>
      </c>
      <c r="L431" s="338" t="s">
        <v>123</v>
      </c>
      <c r="M431" s="216"/>
      <c r="N431" s="216"/>
      <c r="O431" s="216"/>
      <c r="P431" s="216"/>
      <c r="Q431" s="216"/>
      <c r="R431" s="216"/>
      <c r="S431" s="216"/>
      <c r="T431" s="216"/>
      <c r="U431" s="216"/>
      <c r="V431" s="216"/>
      <c r="W431" s="216"/>
      <c r="X431" s="216"/>
      <c r="Y431" s="216"/>
      <c r="Z431" s="216"/>
    </row>
    <row r="432" spans="1:26" ht="15" customHeight="1">
      <c r="A432" s="134" t="s">
        <v>5967</v>
      </c>
      <c r="B432" s="134" t="s">
        <v>5968</v>
      </c>
      <c r="C432" s="99" t="s">
        <v>105</v>
      </c>
      <c r="D432" s="131" t="s">
        <v>5957</v>
      </c>
      <c r="E432" s="905" t="s">
        <v>5415</v>
      </c>
      <c r="F432" s="131" t="s">
        <v>5886</v>
      </c>
      <c r="G432" s="99">
        <v>3</v>
      </c>
      <c r="H432" s="500">
        <v>3</v>
      </c>
      <c r="I432" s="99">
        <v>3</v>
      </c>
      <c r="J432" s="385">
        <v>10</v>
      </c>
      <c r="K432" s="186">
        <f t="shared" ref="K432:K439" si="30">J432/I432</f>
        <v>3.3333333333333335</v>
      </c>
      <c r="L432" s="338" t="s">
        <v>104</v>
      </c>
      <c r="M432" s="216"/>
      <c r="N432" s="216"/>
      <c r="O432" s="216"/>
      <c r="P432" s="216"/>
      <c r="Q432" s="216"/>
      <c r="R432" s="216"/>
      <c r="S432" s="216"/>
      <c r="T432" s="216"/>
      <c r="U432" s="216"/>
      <c r="V432" s="216"/>
      <c r="W432" s="216"/>
      <c r="X432" s="216"/>
      <c r="Y432" s="216"/>
      <c r="Z432" s="216"/>
    </row>
    <row r="433" spans="1:26" ht="15" customHeight="1">
      <c r="A433" s="134" t="s">
        <v>5969</v>
      </c>
      <c r="B433" s="134" t="s">
        <v>5929</v>
      </c>
      <c r="C433" s="99" t="s">
        <v>105</v>
      </c>
      <c r="D433" s="134" t="s">
        <v>5970</v>
      </c>
      <c r="E433" s="426" t="s">
        <v>5971</v>
      </c>
      <c r="F433" s="238" t="s">
        <v>4585</v>
      </c>
      <c r="G433" s="99">
        <v>4</v>
      </c>
      <c r="H433" s="500">
        <v>4</v>
      </c>
      <c r="I433" s="99">
        <v>4</v>
      </c>
      <c r="J433" s="385">
        <v>20</v>
      </c>
      <c r="K433" s="186">
        <f t="shared" si="30"/>
        <v>5</v>
      </c>
      <c r="L433" s="338" t="s">
        <v>104</v>
      </c>
      <c r="M433" s="216"/>
      <c r="N433" s="216"/>
      <c r="O433" s="216"/>
      <c r="P433" s="216"/>
      <c r="Q433" s="216"/>
      <c r="R433" s="216"/>
      <c r="S433" s="216"/>
      <c r="T433" s="216"/>
      <c r="U433" s="216"/>
      <c r="V433" s="216"/>
      <c r="W433" s="216"/>
      <c r="X433" s="216"/>
      <c r="Y433" s="216"/>
      <c r="Z433" s="216"/>
    </row>
    <row r="434" spans="1:26" ht="15" customHeight="1">
      <c r="A434" s="134" t="s">
        <v>3621</v>
      </c>
      <c r="B434" s="134" t="s">
        <v>3622</v>
      </c>
      <c r="C434" s="99" t="s">
        <v>105</v>
      </c>
      <c r="D434" s="131" t="s">
        <v>5972</v>
      </c>
      <c r="E434" s="905" t="s">
        <v>5973</v>
      </c>
      <c r="F434" s="238" t="s">
        <v>5698</v>
      </c>
      <c r="G434" s="99">
        <v>4</v>
      </c>
      <c r="H434" s="500">
        <v>4</v>
      </c>
      <c r="I434" s="99">
        <v>4</v>
      </c>
      <c r="J434" s="385">
        <v>20</v>
      </c>
      <c r="K434" s="186">
        <f t="shared" si="30"/>
        <v>5</v>
      </c>
      <c r="L434" s="338" t="s">
        <v>104</v>
      </c>
      <c r="M434" s="216"/>
      <c r="N434" s="216"/>
      <c r="O434" s="216"/>
      <c r="P434" s="216"/>
      <c r="Q434" s="216"/>
      <c r="R434" s="216"/>
      <c r="S434" s="216"/>
      <c r="T434" s="216"/>
      <c r="U434" s="216"/>
      <c r="V434" s="216"/>
      <c r="W434" s="216"/>
      <c r="X434" s="216"/>
      <c r="Y434" s="216"/>
      <c r="Z434" s="216"/>
    </row>
    <row r="435" spans="1:26" ht="15" customHeight="1">
      <c r="A435" s="134" t="s">
        <v>3621</v>
      </c>
      <c r="B435" s="134" t="s">
        <v>3622</v>
      </c>
      <c r="C435" s="99" t="s">
        <v>105</v>
      </c>
      <c r="D435" s="131" t="s">
        <v>5974</v>
      </c>
      <c r="E435" s="905" t="s">
        <v>5975</v>
      </c>
      <c r="F435" s="238" t="s">
        <v>5976</v>
      </c>
      <c r="G435" s="99">
        <v>4</v>
      </c>
      <c r="H435" s="99">
        <v>4</v>
      </c>
      <c r="I435" s="99">
        <v>4</v>
      </c>
      <c r="J435" s="385">
        <v>20</v>
      </c>
      <c r="K435" s="186">
        <f t="shared" si="30"/>
        <v>5</v>
      </c>
      <c r="L435" s="338" t="s">
        <v>104</v>
      </c>
      <c r="M435" s="216"/>
      <c r="N435" s="216"/>
      <c r="O435" s="216"/>
      <c r="P435" s="216"/>
      <c r="Q435" s="216"/>
      <c r="R435" s="216"/>
      <c r="S435" s="216"/>
      <c r="T435" s="216"/>
      <c r="U435" s="216"/>
      <c r="V435" s="216"/>
      <c r="W435" s="216"/>
      <c r="X435" s="216"/>
      <c r="Y435" s="216"/>
      <c r="Z435" s="216"/>
    </row>
    <row r="436" spans="1:26" ht="15" customHeight="1">
      <c r="A436" s="256" t="s">
        <v>3621</v>
      </c>
      <c r="B436" s="256" t="s">
        <v>3622</v>
      </c>
      <c r="C436" s="177" t="s">
        <v>105</v>
      </c>
      <c r="D436" s="583" t="s">
        <v>5977</v>
      </c>
      <c r="E436" s="906" t="s">
        <v>5978</v>
      </c>
      <c r="F436" s="424" t="s">
        <v>4585</v>
      </c>
      <c r="G436" s="177">
        <v>4</v>
      </c>
      <c r="H436" s="177">
        <v>4</v>
      </c>
      <c r="I436" s="177">
        <v>4</v>
      </c>
      <c r="J436" s="467">
        <v>20</v>
      </c>
      <c r="K436" s="907">
        <f t="shared" si="30"/>
        <v>5</v>
      </c>
      <c r="L436" s="338" t="s">
        <v>104</v>
      </c>
      <c r="M436" s="216"/>
      <c r="N436" s="216"/>
      <c r="O436" s="216"/>
      <c r="P436" s="216"/>
      <c r="Q436" s="216"/>
      <c r="R436" s="216"/>
      <c r="S436" s="216"/>
      <c r="T436" s="216"/>
      <c r="U436" s="216"/>
      <c r="V436" s="216"/>
      <c r="W436" s="216"/>
      <c r="X436" s="216"/>
      <c r="Y436" s="216"/>
      <c r="Z436" s="216"/>
    </row>
    <row r="437" spans="1:26" ht="15" customHeight="1">
      <c r="A437" s="134" t="s">
        <v>3621</v>
      </c>
      <c r="B437" s="134" t="s">
        <v>3622</v>
      </c>
      <c r="C437" s="99" t="s">
        <v>105</v>
      </c>
      <c r="D437" s="131" t="s">
        <v>5979</v>
      </c>
      <c r="E437" s="905" t="s">
        <v>5980</v>
      </c>
      <c r="F437" s="238" t="s">
        <v>4585</v>
      </c>
      <c r="G437" s="99">
        <v>4</v>
      </c>
      <c r="H437" s="99">
        <v>4</v>
      </c>
      <c r="I437" s="99">
        <v>4</v>
      </c>
      <c r="J437" s="385">
        <v>20</v>
      </c>
      <c r="K437" s="186">
        <f t="shared" si="30"/>
        <v>5</v>
      </c>
      <c r="L437" s="338" t="s">
        <v>104</v>
      </c>
      <c r="M437" s="216"/>
      <c r="N437" s="216"/>
      <c r="O437" s="216"/>
      <c r="P437" s="216"/>
      <c r="Q437" s="216"/>
      <c r="R437" s="216"/>
      <c r="S437" s="216"/>
      <c r="T437" s="216"/>
      <c r="U437" s="216"/>
      <c r="V437" s="216"/>
      <c r="W437" s="216"/>
      <c r="X437" s="216"/>
      <c r="Y437" s="216"/>
      <c r="Z437" s="216"/>
    </row>
    <row r="438" spans="1:26" ht="15" customHeight="1">
      <c r="A438" s="134" t="s">
        <v>3621</v>
      </c>
      <c r="B438" s="134" t="s">
        <v>3622</v>
      </c>
      <c r="C438" s="99" t="s">
        <v>105</v>
      </c>
      <c r="D438" s="131" t="s">
        <v>5981</v>
      </c>
      <c r="E438" s="905" t="s">
        <v>5982</v>
      </c>
      <c r="F438" s="238" t="s">
        <v>5886</v>
      </c>
      <c r="G438" s="99">
        <v>4</v>
      </c>
      <c r="H438" s="99">
        <v>4</v>
      </c>
      <c r="I438" s="99">
        <v>4</v>
      </c>
      <c r="J438" s="385">
        <v>10</v>
      </c>
      <c r="K438" s="186">
        <f t="shared" si="30"/>
        <v>2.5</v>
      </c>
      <c r="L438" s="338" t="s">
        <v>104</v>
      </c>
      <c r="M438" s="216"/>
      <c r="N438" s="216"/>
      <c r="O438" s="216"/>
      <c r="P438" s="216"/>
      <c r="Q438" s="216"/>
      <c r="R438" s="216"/>
      <c r="S438" s="216"/>
      <c r="T438" s="216"/>
      <c r="U438" s="216"/>
      <c r="V438" s="216"/>
      <c r="W438" s="216"/>
      <c r="X438" s="216"/>
      <c r="Y438" s="216"/>
      <c r="Z438" s="216"/>
    </row>
    <row r="439" spans="1:26" ht="15" customHeight="1">
      <c r="A439" s="256" t="s">
        <v>3629</v>
      </c>
      <c r="B439" s="256" t="s">
        <v>3630</v>
      </c>
      <c r="C439" s="177" t="s">
        <v>105</v>
      </c>
      <c r="D439" s="131" t="s">
        <v>5983</v>
      </c>
      <c r="E439" s="905" t="s">
        <v>5984</v>
      </c>
      <c r="F439" s="238" t="s">
        <v>4585</v>
      </c>
      <c r="G439" s="99">
        <v>3</v>
      </c>
      <c r="H439" s="99">
        <v>3</v>
      </c>
      <c r="I439" s="99">
        <v>3</v>
      </c>
      <c r="J439" s="385">
        <v>20</v>
      </c>
      <c r="K439" s="186">
        <f t="shared" si="30"/>
        <v>6.666666666666667</v>
      </c>
      <c r="L439" s="338" t="s">
        <v>104</v>
      </c>
      <c r="M439" s="216"/>
      <c r="N439" s="216"/>
      <c r="O439" s="216"/>
      <c r="P439" s="216"/>
      <c r="Q439" s="216"/>
      <c r="R439" s="216"/>
      <c r="S439" s="216"/>
      <c r="T439" s="216"/>
      <c r="U439" s="216"/>
      <c r="V439" s="216"/>
      <c r="W439" s="216"/>
      <c r="X439" s="216"/>
      <c r="Y439" s="216"/>
      <c r="Z439" s="216"/>
    </row>
    <row r="440" spans="1:26" ht="15" customHeight="1">
      <c r="A440" s="256" t="s">
        <v>5985</v>
      </c>
      <c r="B440" s="256" t="s">
        <v>5986</v>
      </c>
      <c r="C440" s="177" t="s">
        <v>105</v>
      </c>
      <c r="D440" s="256" t="s">
        <v>5987</v>
      </c>
      <c r="E440" s="908" t="s">
        <v>5988</v>
      </c>
      <c r="F440" s="238" t="s">
        <v>5886</v>
      </c>
      <c r="G440" s="99">
        <v>5</v>
      </c>
      <c r="H440" s="99">
        <v>4</v>
      </c>
      <c r="I440" s="99">
        <v>4</v>
      </c>
      <c r="J440" s="385">
        <v>20</v>
      </c>
      <c r="K440" s="186">
        <f>J440/H440</f>
        <v>5</v>
      </c>
      <c r="L440" s="338" t="s">
        <v>104</v>
      </c>
      <c r="M440" s="216"/>
      <c r="N440" s="216"/>
      <c r="O440" s="216"/>
      <c r="P440" s="216"/>
      <c r="Q440" s="216"/>
      <c r="R440" s="216"/>
      <c r="S440" s="216"/>
      <c r="T440" s="216"/>
      <c r="U440" s="216"/>
      <c r="V440" s="216"/>
      <c r="W440" s="216"/>
      <c r="X440" s="216"/>
      <c r="Y440" s="216"/>
      <c r="Z440" s="216"/>
    </row>
    <row r="441" spans="1:26" ht="15" customHeight="1">
      <c r="A441" s="134" t="s">
        <v>3661</v>
      </c>
      <c r="B441" s="91" t="s">
        <v>3649</v>
      </c>
      <c r="C441" s="99" t="s">
        <v>105</v>
      </c>
      <c r="D441" s="131" t="s">
        <v>5957</v>
      </c>
      <c r="E441" s="905" t="s">
        <v>5415</v>
      </c>
      <c r="F441" s="238" t="s">
        <v>5886</v>
      </c>
      <c r="G441" s="99">
        <v>3</v>
      </c>
      <c r="H441" s="99">
        <v>3</v>
      </c>
      <c r="I441" s="99">
        <v>3</v>
      </c>
      <c r="J441" s="385">
        <v>10</v>
      </c>
      <c r="K441" s="186">
        <f t="shared" ref="K441:K452" si="31">J441/I441</f>
        <v>3.3333333333333335</v>
      </c>
      <c r="L441" s="338" t="s">
        <v>104</v>
      </c>
      <c r="M441" s="216"/>
      <c r="N441" s="216"/>
      <c r="O441" s="216"/>
      <c r="P441" s="216"/>
      <c r="Q441" s="216"/>
      <c r="R441" s="216"/>
      <c r="S441" s="216"/>
      <c r="T441" s="216"/>
      <c r="U441" s="216"/>
      <c r="V441" s="216"/>
      <c r="W441" s="216"/>
      <c r="X441" s="216"/>
      <c r="Y441" s="216"/>
      <c r="Z441" s="216"/>
    </row>
    <row r="442" spans="1:26" ht="15" customHeight="1">
      <c r="A442" s="134" t="s">
        <v>3661</v>
      </c>
      <c r="B442" s="91" t="s">
        <v>3649</v>
      </c>
      <c r="C442" s="99" t="s">
        <v>105</v>
      </c>
      <c r="D442" s="134" t="s">
        <v>5989</v>
      </c>
      <c r="E442" s="426" t="s">
        <v>5990</v>
      </c>
      <c r="F442" s="238"/>
      <c r="G442" s="99">
        <v>3</v>
      </c>
      <c r="H442" s="99">
        <v>3</v>
      </c>
      <c r="I442" s="99">
        <v>3</v>
      </c>
      <c r="J442" s="385">
        <v>10</v>
      </c>
      <c r="K442" s="186">
        <f t="shared" si="31"/>
        <v>3.3333333333333335</v>
      </c>
      <c r="L442" s="338" t="s">
        <v>104</v>
      </c>
      <c r="M442" s="216"/>
      <c r="N442" s="216"/>
      <c r="O442" s="216"/>
      <c r="P442" s="216"/>
      <c r="Q442" s="216"/>
      <c r="R442" s="216"/>
      <c r="S442" s="216"/>
      <c r="T442" s="216"/>
      <c r="U442" s="216"/>
      <c r="V442" s="216"/>
      <c r="W442" s="216"/>
      <c r="X442" s="216"/>
      <c r="Y442" s="216"/>
      <c r="Z442" s="216"/>
    </row>
    <row r="443" spans="1:26" ht="15" customHeight="1">
      <c r="A443" s="134" t="s">
        <v>3661</v>
      </c>
      <c r="B443" s="91" t="s">
        <v>3649</v>
      </c>
      <c r="C443" s="99" t="s">
        <v>105</v>
      </c>
      <c r="D443" s="134" t="s">
        <v>5991</v>
      </c>
      <c r="E443" s="426" t="s">
        <v>5992</v>
      </c>
      <c r="F443" s="238" t="s">
        <v>5993</v>
      </c>
      <c r="G443" s="99">
        <v>3</v>
      </c>
      <c r="H443" s="99">
        <v>3</v>
      </c>
      <c r="I443" s="99">
        <v>3</v>
      </c>
      <c r="J443" s="385">
        <v>20</v>
      </c>
      <c r="K443" s="186">
        <f t="shared" si="31"/>
        <v>6.666666666666667</v>
      </c>
      <c r="L443" s="338" t="s">
        <v>104</v>
      </c>
      <c r="M443" s="216"/>
      <c r="N443" s="216"/>
      <c r="O443" s="216"/>
      <c r="P443" s="216"/>
      <c r="Q443" s="216"/>
      <c r="R443" s="216"/>
      <c r="S443" s="216"/>
      <c r="T443" s="216"/>
      <c r="U443" s="216"/>
      <c r="V443" s="216"/>
      <c r="W443" s="216"/>
      <c r="X443" s="216"/>
      <c r="Y443" s="216"/>
      <c r="Z443" s="216"/>
    </row>
    <row r="444" spans="1:26" ht="15" customHeight="1">
      <c r="A444" s="134" t="s">
        <v>3661</v>
      </c>
      <c r="B444" s="91" t="s">
        <v>3649</v>
      </c>
      <c r="C444" s="99" t="s">
        <v>105</v>
      </c>
      <c r="D444" s="134" t="s">
        <v>5994</v>
      </c>
      <c r="E444" s="426" t="s">
        <v>5995</v>
      </c>
      <c r="F444" s="238" t="s">
        <v>5996</v>
      </c>
      <c r="G444" s="99">
        <v>3</v>
      </c>
      <c r="H444" s="99">
        <v>3</v>
      </c>
      <c r="I444" s="99">
        <v>3</v>
      </c>
      <c r="J444" s="385">
        <v>10</v>
      </c>
      <c r="K444" s="186">
        <f t="shared" si="31"/>
        <v>3.3333333333333335</v>
      </c>
      <c r="L444" s="338" t="s">
        <v>104</v>
      </c>
      <c r="M444" s="216"/>
      <c r="N444" s="216"/>
      <c r="O444" s="216"/>
      <c r="P444" s="216"/>
      <c r="Q444" s="216"/>
      <c r="R444" s="216"/>
      <c r="S444" s="216"/>
      <c r="T444" s="216"/>
      <c r="U444" s="216"/>
      <c r="V444" s="216"/>
      <c r="W444" s="216"/>
      <c r="X444" s="216"/>
      <c r="Y444" s="216"/>
      <c r="Z444" s="216"/>
    </row>
    <row r="445" spans="1:26" ht="15" customHeight="1">
      <c r="A445" s="134" t="s">
        <v>5997</v>
      </c>
      <c r="B445" s="134" t="s">
        <v>5998</v>
      </c>
      <c r="C445" s="99" t="s">
        <v>105</v>
      </c>
      <c r="D445" s="131" t="s">
        <v>5957</v>
      </c>
      <c r="E445" s="905" t="s">
        <v>5415</v>
      </c>
      <c r="F445" s="131" t="s">
        <v>5886</v>
      </c>
      <c r="G445" s="99">
        <v>5</v>
      </c>
      <c r="H445" s="99">
        <v>5</v>
      </c>
      <c r="I445" s="99">
        <v>5</v>
      </c>
      <c r="J445" s="385">
        <v>10</v>
      </c>
      <c r="K445" s="186">
        <f t="shared" si="31"/>
        <v>2</v>
      </c>
      <c r="L445" s="338" t="s">
        <v>104</v>
      </c>
      <c r="M445" s="216"/>
      <c r="N445" s="216"/>
      <c r="O445" s="216"/>
      <c r="P445" s="216"/>
      <c r="Q445" s="216"/>
      <c r="R445" s="216"/>
      <c r="S445" s="216"/>
      <c r="T445" s="216"/>
      <c r="U445" s="216"/>
      <c r="V445" s="216"/>
      <c r="W445" s="216"/>
      <c r="X445" s="216"/>
      <c r="Y445" s="216"/>
      <c r="Z445" s="216"/>
    </row>
    <row r="446" spans="1:26" ht="15" customHeight="1">
      <c r="A446" s="134" t="s">
        <v>5999</v>
      </c>
      <c r="B446" s="134" t="s">
        <v>6000</v>
      </c>
      <c r="C446" s="99" t="s">
        <v>105</v>
      </c>
      <c r="D446" s="131" t="s">
        <v>6001</v>
      </c>
      <c r="E446" s="905" t="s">
        <v>6002</v>
      </c>
      <c r="F446" s="131" t="s">
        <v>4585</v>
      </c>
      <c r="G446" s="99">
        <v>4</v>
      </c>
      <c r="H446" s="99">
        <v>4</v>
      </c>
      <c r="I446" s="99">
        <v>4</v>
      </c>
      <c r="J446" s="385">
        <v>20</v>
      </c>
      <c r="K446" s="186">
        <f t="shared" si="31"/>
        <v>5</v>
      </c>
      <c r="L446" s="338" t="s">
        <v>104</v>
      </c>
      <c r="M446" s="216"/>
      <c r="N446" s="216"/>
      <c r="O446" s="216"/>
      <c r="P446" s="216"/>
      <c r="Q446" s="216"/>
      <c r="R446" s="216"/>
      <c r="S446" s="216"/>
      <c r="T446" s="216"/>
      <c r="U446" s="216"/>
      <c r="V446" s="216"/>
      <c r="W446" s="216"/>
      <c r="X446" s="216"/>
      <c r="Y446" s="216"/>
      <c r="Z446" s="216"/>
    </row>
    <row r="447" spans="1:26" ht="15" customHeight="1">
      <c r="A447" s="793" t="s">
        <v>6003</v>
      </c>
      <c r="B447" s="909" t="s">
        <v>6004</v>
      </c>
      <c r="C447" s="99" t="s">
        <v>105</v>
      </c>
      <c r="D447" s="134" t="s">
        <v>6005</v>
      </c>
      <c r="E447" s="426" t="s">
        <v>6006</v>
      </c>
      <c r="F447" s="135" t="s">
        <v>5886</v>
      </c>
      <c r="G447" s="99">
        <v>4</v>
      </c>
      <c r="H447" s="99">
        <v>4</v>
      </c>
      <c r="I447" s="99">
        <v>4</v>
      </c>
      <c r="J447" s="385">
        <v>10</v>
      </c>
      <c r="K447" s="186">
        <f t="shared" si="31"/>
        <v>2.5</v>
      </c>
      <c r="L447" s="338" t="s">
        <v>104</v>
      </c>
      <c r="M447" s="216"/>
      <c r="N447" s="216"/>
      <c r="O447" s="216"/>
      <c r="P447" s="216"/>
      <c r="Q447" s="216"/>
      <c r="R447" s="216"/>
      <c r="S447" s="216"/>
      <c r="T447" s="216"/>
      <c r="U447" s="216"/>
      <c r="V447" s="216"/>
      <c r="W447" s="216"/>
      <c r="X447" s="216"/>
      <c r="Y447" s="216"/>
      <c r="Z447" s="216"/>
    </row>
    <row r="448" spans="1:26" ht="15" customHeight="1">
      <c r="A448" s="134" t="s">
        <v>6007</v>
      </c>
      <c r="B448" s="134" t="s">
        <v>6008</v>
      </c>
      <c r="C448" s="99" t="s">
        <v>105</v>
      </c>
      <c r="D448" s="131" t="s">
        <v>6009</v>
      </c>
      <c r="E448" s="905" t="s">
        <v>6010</v>
      </c>
      <c r="F448" s="238" t="s">
        <v>4585</v>
      </c>
      <c r="G448" s="99">
        <v>4</v>
      </c>
      <c r="H448" s="99">
        <v>4</v>
      </c>
      <c r="I448" s="99">
        <v>4</v>
      </c>
      <c r="J448" s="385">
        <v>20</v>
      </c>
      <c r="K448" s="186">
        <f t="shared" si="31"/>
        <v>5</v>
      </c>
      <c r="L448" s="338" t="s">
        <v>104</v>
      </c>
      <c r="M448" s="216"/>
      <c r="N448" s="216"/>
      <c r="O448" s="216"/>
      <c r="P448" s="216"/>
      <c r="Q448" s="216"/>
      <c r="R448" s="216"/>
      <c r="S448" s="216"/>
      <c r="T448" s="216"/>
      <c r="U448" s="216"/>
      <c r="V448" s="216"/>
      <c r="W448" s="216"/>
      <c r="X448" s="216"/>
      <c r="Y448" s="216"/>
      <c r="Z448" s="216"/>
    </row>
    <row r="449" spans="1:26" ht="15" customHeight="1">
      <c r="A449" s="134" t="s">
        <v>3701</v>
      </c>
      <c r="B449" s="134" t="s">
        <v>3702</v>
      </c>
      <c r="C449" s="99" t="s">
        <v>105</v>
      </c>
      <c r="D449" s="131" t="s">
        <v>5957</v>
      </c>
      <c r="E449" s="905" t="s">
        <v>5415</v>
      </c>
      <c r="F449" s="131" t="s">
        <v>5886</v>
      </c>
      <c r="G449" s="99">
        <v>5</v>
      </c>
      <c r="H449" s="99">
        <v>5</v>
      </c>
      <c r="I449" s="99">
        <v>5</v>
      </c>
      <c r="J449" s="385">
        <v>10</v>
      </c>
      <c r="K449" s="186">
        <f t="shared" si="31"/>
        <v>2</v>
      </c>
      <c r="L449" s="338" t="s">
        <v>104</v>
      </c>
      <c r="M449" s="216"/>
      <c r="N449" s="216"/>
      <c r="O449" s="216"/>
      <c r="P449" s="216"/>
      <c r="Q449" s="216"/>
      <c r="R449" s="216"/>
      <c r="S449" s="216"/>
      <c r="T449" s="216"/>
      <c r="U449" s="216"/>
      <c r="V449" s="216"/>
      <c r="W449" s="216"/>
      <c r="X449" s="216"/>
      <c r="Y449" s="216"/>
      <c r="Z449" s="216"/>
    </row>
    <row r="450" spans="1:26" ht="15" customHeight="1">
      <c r="A450" s="399" t="s">
        <v>3591</v>
      </c>
      <c r="B450" s="399" t="s">
        <v>3592</v>
      </c>
      <c r="C450" s="99" t="s">
        <v>105</v>
      </c>
      <c r="D450" s="910" t="s">
        <v>5957</v>
      </c>
      <c r="E450" s="911" t="s">
        <v>5415</v>
      </c>
      <c r="F450" s="910" t="s">
        <v>5886</v>
      </c>
      <c r="G450" s="912">
        <v>7</v>
      </c>
      <c r="H450" s="913">
        <v>7</v>
      </c>
      <c r="I450" s="187">
        <v>7</v>
      </c>
      <c r="J450" s="187">
        <v>10</v>
      </c>
      <c r="K450" s="914">
        <f t="shared" si="31"/>
        <v>1.4285714285714286</v>
      </c>
      <c r="L450" s="338" t="s">
        <v>104</v>
      </c>
      <c r="M450" s="216"/>
      <c r="N450" s="216"/>
      <c r="O450" s="216"/>
      <c r="P450" s="216"/>
      <c r="Q450" s="216"/>
      <c r="R450" s="216"/>
      <c r="S450" s="216"/>
      <c r="T450" s="216"/>
      <c r="U450" s="216"/>
      <c r="V450" s="216"/>
      <c r="W450" s="216"/>
      <c r="X450" s="216"/>
      <c r="Y450" s="216"/>
      <c r="Z450" s="216"/>
    </row>
    <row r="451" spans="1:26" ht="15" customHeight="1">
      <c r="A451" s="134" t="s">
        <v>3591</v>
      </c>
      <c r="B451" s="134" t="s">
        <v>3592</v>
      </c>
      <c r="C451" s="99" t="s">
        <v>105</v>
      </c>
      <c r="D451" s="133" t="s">
        <v>5960</v>
      </c>
      <c r="E451" s="146" t="s">
        <v>5961</v>
      </c>
      <c r="F451" s="133" t="s">
        <v>5962</v>
      </c>
      <c r="G451" s="819">
        <v>7</v>
      </c>
      <c r="H451" s="915">
        <v>7</v>
      </c>
      <c r="I451" s="99">
        <v>7</v>
      </c>
      <c r="J451" s="99">
        <v>20</v>
      </c>
      <c r="K451" s="186">
        <f t="shared" si="31"/>
        <v>2.8571428571428572</v>
      </c>
      <c r="L451" s="338" t="s">
        <v>104</v>
      </c>
      <c r="M451" s="216"/>
      <c r="N451" s="216"/>
      <c r="O451" s="216"/>
      <c r="P451" s="216"/>
      <c r="Q451" s="216"/>
      <c r="R451" s="216"/>
      <c r="S451" s="216"/>
      <c r="T451" s="216"/>
      <c r="U451" s="216"/>
      <c r="V451" s="216"/>
      <c r="W451" s="216"/>
      <c r="X451" s="216"/>
      <c r="Y451" s="216"/>
      <c r="Z451" s="216"/>
    </row>
    <row r="452" spans="1:26" ht="15" customHeight="1">
      <c r="A452" s="256" t="s">
        <v>3591</v>
      </c>
      <c r="B452" s="134" t="s">
        <v>3592</v>
      </c>
      <c r="C452" s="99" t="s">
        <v>105</v>
      </c>
      <c r="D452" s="133" t="s">
        <v>5958</v>
      </c>
      <c r="E452" s="146" t="s">
        <v>5959</v>
      </c>
      <c r="F452" s="133" t="s">
        <v>5886</v>
      </c>
      <c r="G452" s="819">
        <v>7</v>
      </c>
      <c r="H452" s="915">
        <v>7</v>
      </c>
      <c r="I452" s="99">
        <v>7</v>
      </c>
      <c r="J452" s="99">
        <v>10</v>
      </c>
      <c r="K452" s="186">
        <f t="shared" si="31"/>
        <v>1.4285714285714286</v>
      </c>
      <c r="L452" s="338" t="s">
        <v>104</v>
      </c>
      <c r="M452" s="216"/>
      <c r="N452" s="216"/>
      <c r="O452" s="216"/>
      <c r="P452" s="216"/>
      <c r="Q452" s="216"/>
      <c r="R452" s="216"/>
      <c r="S452" s="216"/>
      <c r="T452" s="216"/>
      <c r="U452" s="216"/>
      <c r="V452" s="216"/>
      <c r="W452" s="216"/>
      <c r="X452" s="216"/>
      <c r="Y452" s="216"/>
      <c r="Z452" s="216"/>
    </row>
    <row r="453" spans="1:26" ht="15" customHeight="1">
      <c r="A453" s="256" t="s">
        <v>3728</v>
      </c>
      <c r="B453" s="916" t="s">
        <v>3729</v>
      </c>
      <c r="C453" s="99" t="s">
        <v>105</v>
      </c>
      <c r="D453" s="134" t="s">
        <v>6011</v>
      </c>
      <c r="E453" s="380" t="s">
        <v>5959</v>
      </c>
      <c r="F453" s="238"/>
      <c r="G453" s="99">
        <v>6</v>
      </c>
      <c r="H453" s="99">
        <v>6</v>
      </c>
      <c r="I453" s="99">
        <v>6</v>
      </c>
      <c r="J453" s="383">
        <v>10</v>
      </c>
      <c r="K453" s="114">
        <f>J453/H453</f>
        <v>1.6666666666666667</v>
      </c>
      <c r="L453" s="338" t="s">
        <v>104</v>
      </c>
      <c r="M453" s="216"/>
      <c r="N453" s="216"/>
      <c r="O453" s="216"/>
      <c r="P453" s="216"/>
      <c r="Q453" s="216"/>
      <c r="R453" s="216"/>
      <c r="S453" s="216"/>
      <c r="T453" s="216"/>
      <c r="U453" s="216"/>
      <c r="V453" s="216"/>
      <c r="W453" s="216"/>
      <c r="X453" s="216"/>
      <c r="Y453" s="216"/>
      <c r="Z453" s="216"/>
    </row>
    <row r="454" spans="1:26" ht="15" customHeight="1">
      <c r="A454" s="134" t="s">
        <v>6012</v>
      </c>
      <c r="B454" s="735" t="s">
        <v>3639</v>
      </c>
      <c r="C454" s="99" t="s">
        <v>105</v>
      </c>
      <c r="D454" s="134" t="s">
        <v>6013</v>
      </c>
      <c r="E454" s="905" t="s">
        <v>6014</v>
      </c>
      <c r="F454" s="238" t="s">
        <v>4585</v>
      </c>
      <c r="G454" s="99">
        <v>3</v>
      </c>
      <c r="H454" s="99">
        <v>3</v>
      </c>
      <c r="I454" s="99">
        <v>3</v>
      </c>
      <c r="J454" s="385">
        <v>20</v>
      </c>
      <c r="K454" s="186">
        <f t="shared" ref="K454:K458" si="32">J454/I454</f>
        <v>6.666666666666667</v>
      </c>
      <c r="L454" s="338" t="s">
        <v>104</v>
      </c>
      <c r="M454" s="216"/>
      <c r="N454" s="216"/>
      <c r="O454" s="216"/>
      <c r="P454" s="216"/>
      <c r="Q454" s="216"/>
      <c r="R454" s="216"/>
      <c r="S454" s="216"/>
      <c r="T454" s="216"/>
      <c r="U454" s="216"/>
      <c r="V454" s="216"/>
      <c r="W454" s="216"/>
      <c r="X454" s="216"/>
      <c r="Y454" s="216"/>
      <c r="Z454" s="216"/>
    </row>
    <row r="455" spans="1:26" ht="15" customHeight="1">
      <c r="A455" s="917" t="s">
        <v>6015</v>
      </c>
      <c r="B455" s="918" t="s">
        <v>6016</v>
      </c>
      <c r="C455" s="99" t="s">
        <v>105</v>
      </c>
      <c r="D455" s="134" t="s">
        <v>6017</v>
      </c>
      <c r="E455" s="426" t="s">
        <v>4097</v>
      </c>
      <c r="F455" s="238" t="s">
        <v>4585</v>
      </c>
      <c r="G455" s="99">
        <v>4</v>
      </c>
      <c r="H455" s="99">
        <v>4</v>
      </c>
      <c r="I455" s="99">
        <v>4</v>
      </c>
      <c r="J455" s="385">
        <v>20</v>
      </c>
      <c r="K455" s="186">
        <f t="shared" si="32"/>
        <v>5</v>
      </c>
      <c r="L455" s="338" t="s">
        <v>104</v>
      </c>
      <c r="M455" s="216"/>
      <c r="N455" s="216"/>
      <c r="O455" s="216"/>
      <c r="P455" s="216"/>
      <c r="Q455" s="216"/>
      <c r="R455" s="216"/>
      <c r="S455" s="216"/>
      <c r="T455" s="216"/>
      <c r="U455" s="216"/>
      <c r="V455" s="216"/>
      <c r="W455" s="216"/>
      <c r="X455" s="216"/>
      <c r="Y455" s="216"/>
      <c r="Z455" s="216"/>
    </row>
    <row r="456" spans="1:26" ht="15" customHeight="1">
      <c r="A456" s="134" t="s">
        <v>6018</v>
      </c>
      <c r="B456" s="471" t="s">
        <v>6019</v>
      </c>
      <c r="C456" s="99" t="s">
        <v>105</v>
      </c>
      <c r="D456" s="131" t="s">
        <v>6020</v>
      </c>
      <c r="E456" s="905" t="s">
        <v>6021</v>
      </c>
      <c r="F456" s="131" t="s">
        <v>4585</v>
      </c>
      <c r="G456" s="99">
        <v>2</v>
      </c>
      <c r="H456" s="99">
        <v>2</v>
      </c>
      <c r="I456" s="99">
        <v>2</v>
      </c>
      <c r="J456" s="385">
        <v>20</v>
      </c>
      <c r="K456" s="186">
        <f t="shared" si="32"/>
        <v>10</v>
      </c>
      <c r="L456" s="338" t="s">
        <v>104</v>
      </c>
      <c r="M456" s="216"/>
      <c r="N456" s="216"/>
      <c r="O456" s="216"/>
      <c r="P456" s="216"/>
      <c r="Q456" s="216"/>
      <c r="R456" s="216"/>
      <c r="S456" s="216"/>
      <c r="T456" s="216"/>
      <c r="U456" s="216"/>
      <c r="V456" s="216"/>
      <c r="W456" s="216"/>
      <c r="X456" s="216"/>
      <c r="Y456" s="216"/>
      <c r="Z456" s="216"/>
    </row>
    <row r="457" spans="1:26" ht="15" customHeight="1">
      <c r="A457" s="134" t="s">
        <v>6022</v>
      </c>
      <c r="B457" s="919" t="s">
        <v>6023</v>
      </c>
      <c r="C457" s="99" t="s">
        <v>105</v>
      </c>
      <c r="D457" s="134" t="s">
        <v>6024</v>
      </c>
      <c r="E457" s="426" t="s">
        <v>6025</v>
      </c>
      <c r="F457" s="238" t="s">
        <v>6026</v>
      </c>
      <c r="G457" s="99">
        <v>3</v>
      </c>
      <c r="H457" s="99">
        <v>3</v>
      </c>
      <c r="I457" s="99">
        <v>3</v>
      </c>
      <c r="J457" s="385">
        <v>20</v>
      </c>
      <c r="K457" s="186">
        <f t="shared" si="32"/>
        <v>6.666666666666667</v>
      </c>
      <c r="L457" s="338" t="s">
        <v>104</v>
      </c>
      <c r="M457" s="216"/>
      <c r="N457" s="216"/>
      <c r="O457" s="216"/>
      <c r="P457" s="216"/>
      <c r="Q457" s="216"/>
      <c r="R457" s="216"/>
      <c r="S457" s="216"/>
      <c r="T457" s="216"/>
      <c r="U457" s="216"/>
      <c r="V457" s="216"/>
      <c r="W457" s="216"/>
      <c r="X457" s="216"/>
      <c r="Y457" s="216"/>
      <c r="Z457" s="216"/>
    </row>
    <row r="458" spans="1:26" ht="15" customHeight="1">
      <c r="A458" s="134" t="s">
        <v>6027</v>
      </c>
      <c r="B458" s="91" t="s">
        <v>6028</v>
      </c>
      <c r="C458" s="99" t="s">
        <v>105</v>
      </c>
      <c r="D458" s="134" t="s">
        <v>6029</v>
      </c>
      <c r="E458" s="426" t="s">
        <v>6030</v>
      </c>
      <c r="F458" s="238" t="s">
        <v>4585</v>
      </c>
      <c r="G458" s="99">
        <v>6</v>
      </c>
      <c r="H458" s="99">
        <v>6</v>
      </c>
      <c r="I458" s="99">
        <v>6</v>
      </c>
      <c r="J458" s="385">
        <v>20</v>
      </c>
      <c r="K458" s="186">
        <f t="shared" si="32"/>
        <v>3.3333333333333335</v>
      </c>
      <c r="L458" s="338" t="s">
        <v>104</v>
      </c>
      <c r="M458" s="216"/>
      <c r="N458" s="216"/>
      <c r="O458" s="216"/>
      <c r="P458" s="216"/>
      <c r="Q458" s="216"/>
      <c r="R458" s="216"/>
      <c r="S458" s="216"/>
      <c r="T458" s="216"/>
      <c r="U458" s="216"/>
      <c r="V458" s="216"/>
      <c r="W458" s="216"/>
      <c r="X458" s="216"/>
      <c r="Y458" s="216"/>
      <c r="Z458" s="216"/>
    </row>
    <row r="459" spans="1:26" ht="15" customHeight="1">
      <c r="A459" s="134" t="s">
        <v>3728</v>
      </c>
      <c r="B459" s="133" t="s">
        <v>3729</v>
      </c>
      <c r="C459" s="99" t="s">
        <v>105</v>
      </c>
      <c r="D459" s="134" t="s">
        <v>6011</v>
      </c>
      <c r="E459" s="465" t="s">
        <v>5959</v>
      </c>
      <c r="F459" s="99" t="s">
        <v>5886</v>
      </c>
      <c r="G459" s="99">
        <v>6</v>
      </c>
      <c r="H459" s="99">
        <v>6</v>
      </c>
      <c r="I459" s="99">
        <v>6</v>
      </c>
      <c r="J459" s="385">
        <v>10</v>
      </c>
      <c r="K459" s="114">
        <f t="shared" ref="K459:K460" si="33">J459/H459</f>
        <v>1.6666666666666667</v>
      </c>
      <c r="L459" s="338" t="s">
        <v>132</v>
      </c>
      <c r="M459" s="216"/>
      <c r="N459" s="216"/>
      <c r="O459" s="216"/>
      <c r="P459" s="216"/>
      <c r="Q459" s="216"/>
      <c r="R459" s="216"/>
      <c r="S459" s="216"/>
      <c r="T459" s="216"/>
      <c r="U459" s="216"/>
      <c r="V459" s="216"/>
      <c r="W459" s="216"/>
      <c r="X459" s="216"/>
      <c r="Y459" s="216"/>
      <c r="Z459" s="216"/>
    </row>
    <row r="460" spans="1:26" ht="15" customHeight="1">
      <c r="A460" s="134" t="s">
        <v>3591</v>
      </c>
      <c r="B460" s="134" t="s">
        <v>3592</v>
      </c>
      <c r="C460" s="133" t="s">
        <v>105</v>
      </c>
      <c r="D460" s="133" t="s">
        <v>5960</v>
      </c>
      <c r="E460" s="465" t="s">
        <v>5961</v>
      </c>
      <c r="F460" s="99" t="s">
        <v>5962</v>
      </c>
      <c r="G460" s="99">
        <v>6</v>
      </c>
      <c r="H460" s="99">
        <v>6</v>
      </c>
      <c r="I460" s="99">
        <v>6</v>
      </c>
      <c r="J460" s="385">
        <v>20</v>
      </c>
      <c r="K460" s="114">
        <f t="shared" si="33"/>
        <v>3.3333333333333335</v>
      </c>
      <c r="L460" s="338" t="s">
        <v>132</v>
      </c>
      <c r="M460" s="216"/>
      <c r="N460" s="216"/>
      <c r="O460" s="216"/>
      <c r="P460" s="216"/>
      <c r="Q460" s="216"/>
      <c r="R460" s="216"/>
      <c r="S460" s="216"/>
      <c r="T460" s="216"/>
      <c r="U460" s="216"/>
      <c r="V460" s="216"/>
      <c r="W460" s="216"/>
      <c r="X460" s="216"/>
      <c r="Y460" s="216"/>
      <c r="Z460" s="216"/>
    </row>
    <row r="461" spans="1:26" ht="15" customHeight="1">
      <c r="A461" s="134" t="s">
        <v>3591</v>
      </c>
      <c r="B461" s="134" t="s">
        <v>3592</v>
      </c>
      <c r="C461" s="133" t="s">
        <v>105</v>
      </c>
      <c r="D461" s="133" t="s">
        <v>5958</v>
      </c>
      <c r="E461" s="465" t="s">
        <v>5959</v>
      </c>
      <c r="F461" s="99" t="s">
        <v>5886</v>
      </c>
      <c r="G461" s="819">
        <v>7</v>
      </c>
      <c r="H461" s="920">
        <v>7</v>
      </c>
      <c r="I461" s="99">
        <v>7</v>
      </c>
      <c r="J461" s="99">
        <v>10</v>
      </c>
      <c r="K461" s="186">
        <f>J461/I461</f>
        <v>1.4285714285714286</v>
      </c>
      <c r="L461" s="338" t="s">
        <v>132</v>
      </c>
      <c r="M461" s="216"/>
      <c r="N461" s="216"/>
      <c r="O461" s="216"/>
      <c r="P461" s="216"/>
      <c r="Q461" s="216"/>
      <c r="R461" s="216"/>
      <c r="S461" s="216"/>
      <c r="T461" s="216"/>
      <c r="U461" s="216"/>
      <c r="V461" s="216"/>
      <c r="W461" s="216"/>
      <c r="X461" s="216"/>
      <c r="Y461" s="216"/>
      <c r="Z461" s="216"/>
    </row>
    <row r="462" spans="1:26" ht="15" customHeight="1">
      <c r="A462" s="134" t="s">
        <v>3591</v>
      </c>
      <c r="B462" s="134" t="s">
        <v>3592</v>
      </c>
      <c r="C462" s="133" t="s">
        <v>105</v>
      </c>
      <c r="D462" s="131" t="s">
        <v>5957</v>
      </c>
      <c r="E462" s="465" t="s">
        <v>5415</v>
      </c>
      <c r="F462" s="92" t="s">
        <v>5886</v>
      </c>
      <c r="G462" s="99">
        <v>6</v>
      </c>
      <c r="H462" s="99">
        <v>6</v>
      </c>
      <c r="I462" s="99">
        <v>6</v>
      </c>
      <c r="J462" s="385">
        <v>10</v>
      </c>
      <c r="K462" s="114">
        <f t="shared" ref="K462:K463" si="34">J462/H462</f>
        <v>1.6666666666666667</v>
      </c>
      <c r="L462" s="338" t="s">
        <v>132</v>
      </c>
      <c r="M462" s="216"/>
      <c r="N462" s="216"/>
      <c r="O462" s="216"/>
      <c r="P462" s="216"/>
      <c r="Q462" s="216"/>
      <c r="R462" s="216"/>
      <c r="S462" s="216"/>
      <c r="T462" s="216"/>
      <c r="U462" s="216"/>
      <c r="V462" s="216"/>
      <c r="W462" s="216"/>
      <c r="X462" s="216"/>
      <c r="Y462" s="216"/>
      <c r="Z462" s="216"/>
    </row>
    <row r="463" spans="1:26" ht="15" customHeight="1">
      <c r="A463" s="134" t="s">
        <v>3721</v>
      </c>
      <c r="B463" s="134" t="s">
        <v>3722</v>
      </c>
      <c r="C463" s="99" t="s">
        <v>105</v>
      </c>
      <c r="D463" s="131" t="s">
        <v>5957</v>
      </c>
      <c r="E463" s="236" t="s">
        <v>5415</v>
      </c>
      <c r="F463" s="92" t="s">
        <v>5886</v>
      </c>
      <c r="G463" s="99">
        <v>6</v>
      </c>
      <c r="H463" s="99">
        <v>6</v>
      </c>
      <c r="I463" s="99">
        <v>6</v>
      </c>
      <c r="J463" s="385">
        <v>10</v>
      </c>
      <c r="K463" s="114">
        <f t="shared" si="34"/>
        <v>1.6666666666666667</v>
      </c>
      <c r="L463" s="338" t="s">
        <v>132</v>
      </c>
      <c r="M463" s="216"/>
      <c r="N463" s="216"/>
      <c r="O463" s="216"/>
      <c r="P463" s="216"/>
      <c r="Q463" s="216"/>
      <c r="R463" s="216"/>
      <c r="S463" s="216"/>
      <c r="T463" s="216"/>
      <c r="U463" s="216"/>
      <c r="V463" s="216"/>
      <c r="W463" s="216"/>
      <c r="X463" s="216"/>
      <c r="Y463" s="216"/>
      <c r="Z463" s="216"/>
    </row>
    <row r="464" spans="1:26" ht="15" customHeight="1">
      <c r="A464" s="588" t="s">
        <v>5940</v>
      </c>
      <c r="B464" s="589" t="s">
        <v>5941</v>
      </c>
      <c r="C464" s="515" t="s">
        <v>105</v>
      </c>
      <c r="D464" s="590" t="s">
        <v>5942</v>
      </c>
      <c r="E464" s="592" t="s">
        <v>4768</v>
      </c>
      <c r="F464" s="574" t="s">
        <v>4585</v>
      </c>
      <c r="G464" s="921">
        <v>4</v>
      </c>
      <c r="H464" s="922">
        <v>3</v>
      </c>
      <c r="I464" s="892">
        <v>4</v>
      </c>
      <c r="J464" s="892">
        <v>20</v>
      </c>
      <c r="K464" s="892">
        <f>J464/I464</f>
        <v>5</v>
      </c>
      <c r="L464" s="338" t="s">
        <v>971</v>
      </c>
      <c r="M464" s="216"/>
      <c r="N464" s="216"/>
      <c r="O464" s="216"/>
      <c r="P464" s="216"/>
      <c r="Q464" s="216"/>
      <c r="R464" s="216"/>
      <c r="S464" s="216"/>
      <c r="T464" s="216"/>
      <c r="U464" s="216"/>
      <c r="V464" s="216"/>
      <c r="W464" s="216"/>
      <c r="X464" s="216"/>
      <c r="Y464" s="216"/>
      <c r="Z464" s="216"/>
    </row>
    <row r="465" spans="1:26" ht="15" customHeight="1">
      <c r="A465" s="438" t="s">
        <v>6031</v>
      </c>
      <c r="B465" s="228" t="s">
        <v>6032</v>
      </c>
      <c r="C465" s="138" t="s">
        <v>105</v>
      </c>
      <c r="D465" s="131" t="s">
        <v>6033</v>
      </c>
      <c r="E465" s="142" t="s">
        <v>6034</v>
      </c>
      <c r="F465" s="131" t="s">
        <v>5927</v>
      </c>
      <c r="G465" s="921">
        <v>4</v>
      </c>
      <c r="H465" s="921">
        <v>4</v>
      </c>
      <c r="I465" s="921">
        <v>4</v>
      </c>
      <c r="J465" s="921">
        <v>10</v>
      </c>
      <c r="K465" s="923">
        <v>2.5</v>
      </c>
      <c r="L465" s="338" t="s">
        <v>971</v>
      </c>
      <c r="M465" s="216"/>
      <c r="N465" s="216"/>
      <c r="O465" s="216"/>
      <c r="P465" s="216"/>
      <c r="Q465" s="216"/>
      <c r="R465" s="216"/>
      <c r="S465" s="216"/>
      <c r="T465" s="216"/>
      <c r="U465" s="216"/>
      <c r="V465" s="216"/>
      <c r="W465" s="216"/>
      <c r="X465" s="216"/>
      <c r="Y465" s="216"/>
      <c r="Z465" s="216"/>
    </row>
    <row r="466" spans="1:26" ht="15" customHeight="1">
      <c r="A466" s="91" t="s">
        <v>3747</v>
      </c>
      <c r="B466" s="134" t="s">
        <v>3748</v>
      </c>
      <c r="C466" s="133" t="s">
        <v>105</v>
      </c>
      <c r="D466" s="133" t="s">
        <v>6035</v>
      </c>
      <c r="E466" s="130" t="s">
        <v>6036</v>
      </c>
      <c r="F466" s="574" t="s">
        <v>4585</v>
      </c>
      <c r="G466" s="379">
        <v>6</v>
      </c>
      <c r="H466" s="379">
        <v>2</v>
      </c>
      <c r="I466" s="379">
        <v>6</v>
      </c>
      <c r="J466" s="892">
        <v>20</v>
      </c>
      <c r="K466" s="564">
        <f t="shared" ref="K466:K470" si="35">J466/I466</f>
        <v>3.3333333333333335</v>
      </c>
      <c r="L466" s="338" t="s">
        <v>971</v>
      </c>
      <c r="M466" s="216"/>
      <c r="N466" s="216"/>
      <c r="O466" s="216"/>
      <c r="P466" s="216"/>
      <c r="Q466" s="216"/>
      <c r="R466" s="216"/>
      <c r="S466" s="216"/>
      <c r="T466" s="216"/>
      <c r="U466" s="216"/>
      <c r="V466" s="216"/>
      <c r="W466" s="216"/>
      <c r="X466" s="216"/>
      <c r="Y466" s="216"/>
      <c r="Z466" s="216"/>
    </row>
    <row r="467" spans="1:26" ht="15" customHeight="1">
      <c r="A467" s="91" t="s">
        <v>3747</v>
      </c>
      <c r="B467" s="134" t="s">
        <v>3748</v>
      </c>
      <c r="C467" s="133" t="s">
        <v>105</v>
      </c>
      <c r="D467" s="133" t="s">
        <v>6037</v>
      </c>
      <c r="E467" s="130" t="s">
        <v>6038</v>
      </c>
      <c r="F467" s="574" t="s">
        <v>4585</v>
      </c>
      <c r="G467" s="379">
        <v>6</v>
      </c>
      <c r="H467" s="379">
        <v>2</v>
      </c>
      <c r="I467" s="379">
        <v>6</v>
      </c>
      <c r="J467" s="892">
        <v>20</v>
      </c>
      <c r="K467" s="564">
        <f t="shared" si="35"/>
        <v>3.3333333333333335</v>
      </c>
      <c r="L467" s="338" t="s">
        <v>971</v>
      </c>
      <c r="M467" s="216"/>
      <c r="N467" s="216"/>
      <c r="O467" s="216"/>
      <c r="P467" s="216"/>
      <c r="Q467" s="216"/>
      <c r="R467" s="216"/>
      <c r="S467" s="216"/>
      <c r="T467" s="216"/>
      <c r="U467" s="216"/>
      <c r="V467" s="216"/>
      <c r="W467" s="216"/>
      <c r="X467" s="216"/>
      <c r="Y467" s="216"/>
      <c r="Z467" s="216"/>
    </row>
    <row r="468" spans="1:26" ht="15" customHeight="1">
      <c r="A468" s="91" t="s">
        <v>3747</v>
      </c>
      <c r="B468" s="134" t="s">
        <v>3748</v>
      </c>
      <c r="C468" s="133" t="s">
        <v>105</v>
      </c>
      <c r="D468" s="133" t="s">
        <v>6039</v>
      </c>
      <c r="E468" s="130" t="s">
        <v>6040</v>
      </c>
      <c r="F468" s="574" t="s">
        <v>4585</v>
      </c>
      <c r="G468" s="379">
        <v>6</v>
      </c>
      <c r="H468" s="379">
        <v>2</v>
      </c>
      <c r="I468" s="379">
        <v>6</v>
      </c>
      <c r="J468" s="892">
        <v>20</v>
      </c>
      <c r="K468" s="564">
        <f t="shared" si="35"/>
        <v>3.3333333333333335</v>
      </c>
      <c r="L468" s="338" t="s">
        <v>971</v>
      </c>
      <c r="M468" s="216"/>
      <c r="N468" s="216"/>
      <c r="O468" s="216"/>
      <c r="P468" s="216"/>
      <c r="Q468" s="216"/>
      <c r="R468" s="216"/>
      <c r="S468" s="216"/>
      <c r="T468" s="216"/>
      <c r="U468" s="216"/>
      <c r="V468" s="216"/>
      <c r="W468" s="216"/>
      <c r="X468" s="216"/>
      <c r="Y468" s="216"/>
      <c r="Z468" s="216"/>
    </row>
    <row r="469" spans="1:26" ht="15" customHeight="1">
      <c r="A469" s="91" t="s">
        <v>3747</v>
      </c>
      <c r="B469" s="134" t="s">
        <v>3748</v>
      </c>
      <c r="C469" s="133" t="s">
        <v>105</v>
      </c>
      <c r="D469" s="133" t="s">
        <v>6041</v>
      </c>
      <c r="E469" s="130" t="s">
        <v>6042</v>
      </c>
      <c r="F469" s="574" t="s">
        <v>4585</v>
      </c>
      <c r="G469" s="379">
        <v>6</v>
      </c>
      <c r="H469" s="379">
        <v>2</v>
      </c>
      <c r="I469" s="379">
        <v>6</v>
      </c>
      <c r="J469" s="892">
        <v>20</v>
      </c>
      <c r="K469" s="564">
        <f t="shared" si="35"/>
        <v>3.3333333333333335</v>
      </c>
      <c r="L469" s="338" t="s">
        <v>971</v>
      </c>
      <c r="M469" s="216"/>
      <c r="N469" s="216"/>
      <c r="O469" s="216"/>
      <c r="P469" s="216"/>
      <c r="Q469" s="216"/>
      <c r="R469" s="216"/>
      <c r="S469" s="216"/>
      <c r="T469" s="216"/>
      <c r="U469" s="216"/>
      <c r="V469" s="216"/>
      <c r="W469" s="216"/>
      <c r="X469" s="216"/>
      <c r="Y469" s="216"/>
      <c r="Z469" s="216"/>
    </row>
    <row r="470" spans="1:26" ht="15" customHeight="1">
      <c r="A470" s="134" t="s">
        <v>3600</v>
      </c>
      <c r="B470" s="91" t="s">
        <v>3601</v>
      </c>
      <c r="C470" s="133" t="s">
        <v>105</v>
      </c>
      <c r="D470" s="301" t="s">
        <v>5925</v>
      </c>
      <c r="E470" s="576" t="s">
        <v>5926</v>
      </c>
      <c r="F470" s="301" t="s">
        <v>5927</v>
      </c>
      <c r="G470" s="888">
        <v>7</v>
      </c>
      <c r="H470" s="886">
        <v>7</v>
      </c>
      <c r="I470" s="887">
        <v>7</v>
      </c>
      <c r="J470" s="887">
        <v>10</v>
      </c>
      <c r="K470" s="924">
        <f t="shared" si="35"/>
        <v>1.4285714285714286</v>
      </c>
      <c r="L470" s="338" t="s">
        <v>971</v>
      </c>
      <c r="M470" s="216"/>
      <c r="N470" s="216"/>
      <c r="O470" s="216"/>
      <c r="P470" s="216"/>
      <c r="Q470" s="216"/>
      <c r="R470" s="216"/>
      <c r="S470" s="216"/>
      <c r="T470" s="216"/>
      <c r="U470" s="216"/>
      <c r="V470" s="216"/>
      <c r="W470" s="216"/>
      <c r="X470" s="216"/>
      <c r="Y470" s="216"/>
      <c r="Z470" s="216"/>
    </row>
    <row r="471" spans="1:26" ht="15" customHeight="1">
      <c r="A471" s="134" t="s">
        <v>3600</v>
      </c>
      <c r="B471" s="91" t="s">
        <v>3601</v>
      </c>
      <c r="C471" s="138" t="s">
        <v>105</v>
      </c>
      <c r="D471" s="131" t="s">
        <v>6033</v>
      </c>
      <c r="E471" s="142" t="s">
        <v>6034</v>
      </c>
      <c r="F471" s="131" t="s">
        <v>5927</v>
      </c>
      <c r="G471" s="921">
        <v>7</v>
      </c>
      <c r="H471" s="921">
        <v>7</v>
      </c>
      <c r="I471" s="921">
        <v>7</v>
      </c>
      <c r="J471" s="921">
        <v>10</v>
      </c>
      <c r="K471" s="923">
        <v>2.5</v>
      </c>
      <c r="L471" s="338" t="s">
        <v>971</v>
      </c>
      <c r="M471" s="216"/>
      <c r="N471" s="216"/>
      <c r="O471" s="216"/>
      <c r="P471" s="216"/>
      <c r="Q471" s="216"/>
      <c r="R471" s="216"/>
      <c r="S471" s="216"/>
      <c r="T471" s="216"/>
      <c r="U471" s="216"/>
      <c r="V471" s="216"/>
      <c r="W471" s="216"/>
      <c r="X471" s="216"/>
      <c r="Y471" s="216"/>
      <c r="Z471" s="216"/>
    </row>
    <row r="472" spans="1:26" ht="15" customHeight="1">
      <c r="A472" s="134" t="s">
        <v>3600</v>
      </c>
      <c r="B472" s="91" t="s">
        <v>3601</v>
      </c>
      <c r="C472" s="138" t="s">
        <v>105</v>
      </c>
      <c r="D472" s="301" t="s">
        <v>6043</v>
      </c>
      <c r="E472" s="576" t="s">
        <v>6044</v>
      </c>
      <c r="F472" s="301" t="s">
        <v>4585</v>
      </c>
      <c r="G472" s="921">
        <v>7</v>
      </c>
      <c r="H472" s="921">
        <v>7</v>
      </c>
      <c r="I472" s="921">
        <v>7</v>
      </c>
      <c r="J472" s="892">
        <v>20</v>
      </c>
      <c r="K472" s="564">
        <f t="shared" ref="K472:K479" si="36">J472/I472</f>
        <v>2.8571428571428572</v>
      </c>
      <c r="L472" s="338" t="s">
        <v>971</v>
      </c>
      <c r="M472" s="216"/>
      <c r="N472" s="216"/>
      <c r="O472" s="216"/>
      <c r="P472" s="216"/>
      <c r="Q472" s="216"/>
      <c r="R472" s="216"/>
      <c r="S472" s="216"/>
      <c r="T472" s="216"/>
      <c r="U472" s="216"/>
      <c r="V472" s="216"/>
      <c r="W472" s="216"/>
      <c r="X472" s="216"/>
      <c r="Y472" s="216"/>
      <c r="Z472" s="216"/>
    </row>
    <row r="473" spans="1:26" ht="15" customHeight="1">
      <c r="A473" s="134" t="s">
        <v>3600</v>
      </c>
      <c r="B473" s="91" t="s">
        <v>3601</v>
      </c>
      <c r="C473" s="138" t="s">
        <v>105</v>
      </c>
      <c r="D473" s="301" t="s">
        <v>6045</v>
      </c>
      <c r="E473" s="576" t="s">
        <v>6046</v>
      </c>
      <c r="F473" s="301" t="s">
        <v>4585</v>
      </c>
      <c r="G473" s="921">
        <v>7</v>
      </c>
      <c r="H473" s="921">
        <v>7</v>
      </c>
      <c r="I473" s="921">
        <v>7</v>
      </c>
      <c r="J473" s="921">
        <v>20</v>
      </c>
      <c r="K473" s="925">
        <f t="shared" si="36"/>
        <v>2.8571428571428572</v>
      </c>
      <c r="L473" s="338" t="s">
        <v>971</v>
      </c>
      <c r="M473" s="216"/>
      <c r="N473" s="216"/>
      <c r="O473" s="216"/>
      <c r="P473" s="216"/>
      <c r="Q473" s="216"/>
      <c r="R473" s="216"/>
      <c r="S473" s="216"/>
      <c r="T473" s="216"/>
      <c r="U473" s="216"/>
      <c r="V473" s="216"/>
      <c r="W473" s="216"/>
      <c r="X473" s="216"/>
      <c r="Y473" s="216"/>
      <c r="Z473" s="216"/>
    </row>
    <row r="474" spans="1:26" ht="15" customHeight="1">
      <c r="A474" s="91" t="s">
        <v>3741</v>
      </c>
      <c r="B474" s="256" t="s">
        <v>3742</v>
      </c>
      <c r="C474" s="133" t="s">
        <v>105</v>
      </c>
      <c r="D474" s="301" t="s">
        <v>6047</v>
      </c>
      <c r="E474" s="576" t="s">
        <v>6048</v>
      </c>
      <c r="F474" s="301" t="s">
        <v>4585</v>
      </c>
      <c r="G474" s="379">
        <v>6</v>
      </c>
      <c r="H474" s="379">
        <v>4</v>
      </c>
      <c r="I474" s="379">
        <v>6</v>
      </c>
      <c r="J474" s="921">
        <v>20</v>
      </c>
      <c r="K474" s="564">
        <f t="shared" si="36"/>
        <v>3.3333333333333335</v>
      </c>
      <c r="L474" s="338" t="s">
        <v>971</v>
      </c>
      <c r="M474" s="216"/>
      <c r="N474" s="216"/>
      <c r="O474" s="216"/>
      <c r="P474" s="216"/>
      <c r="Q474" s="216"/>
      <c r="R474" s="216"/>
      <c r="S474" s="216"/>
      <c r="T474" s="216"/>
      <c r="U474" s="216"/>
      <c r="V474" s="216"/>
      <c r="W474" s="216"/>
      <c r="X474" s="216"/>
      <c r="Y474" s="216"/>
      <c r="Z474" s="216"/>
    </row>
    <row r="475" spans="1:26" ht="15" customHeight="1">
      <c r="A475" s="91" t="s">
        <v>3741</v>
      </c>
      <c r="B475" s="256" t="s">
        <v>3742</v>
      </c>
      <c r="C475" s="133" t="s">
        <v>105</v>
      </c>
      <c r="D475" s="301" t="s">
        <v>6049</v>
      </c>
      <c r="E475" s="576" t="s">
        <v>6050</v>
      </c>
      <c r="F475" s="301" t="s">
        <v>4585</v>
      </c>
      <c r="G475" s="379">
        <v>6</v>
      </c>
      <c r="H475" s="379">
        <v>4</v>
      </c>
      <c r="I475" s="379">
        <v>6</v>
      </c>
      <c r="J475" s="921">
        <v>20</v>
      </c>
      <c r="K475" s="564">
        <f t="shared" si="36"/>
        <v>3.3333333333333335</v>
      </c>
      <c r="L475" s="338" t="s">
        <v>971</v>
      </c>
      <c r="M475" s="216"/>
      <c r="N475" s="216"/>
      <c r="O475" s="216"/>
      <c r="P475" s="216"/>
      <c r="Q475" s="216"/>
      <c r="R475" s="216"/>
      <c r="S475" s="216"/>
      <c r="T475" s="216"/>
      <c r="U475" s="216"/>
      <c r="V475" s="216"/>
      <c r="W475" s="216"/>
      <c r="X475" s="216"/>
      <c r="Y475" s="216"/>
      <c r="Z475" s="216"/>
    </row>
    <row r="476" spans="1:26" ht="15" customHeight="1">
      <c r="A476" s="91" t="s">
        <v>3741</v>
      </c>
      <c r="B476" s="256" t="s">
        <v>3742</v>
      </c>
      <c r="C476" s="133" t="s">
        <v>105</v>
      </c>
      <c r="D476" s="301" t="s">
        <v>6051</v>
      </c>
      <c r="E476" s="576" t="s">
        <v>6052</v>
      </c>
      <c r="F476" s="301" t="s">
        <v>4585</v>
      </c>
      <c r="G476" s="379">
        <v>6</v>
      </c>
      <c r="H476" s="379">
        <v>4</v>
      </c>
      <c r="I476" s="379">
        <v>6</v>
      </c>
      <c r="J476" s="921">
        <v>20</v>
      </c>
      <c r="K476" s="564">
        <f t="shared" si="36"/>
        <v>3.3333333333333335</v>
      </c>
      <c r="L476" s="338" t="s">
        <v>971</v>
      </c>
      <c r="M476" s="216"/>
      <c r="N476" s="216"/>
      <c r="O476" s="216"/>
      <c r="P476" s="216"/>
      <c r="Q476" s="216"/>
      <c r="R476" s="216"/>
      <c r="S476" s="216"/>
      <c r="T476" s="216"/>
      <c r="U476" s="216"/>
      <c r="V476" s="216"/>
      <c r="W476" s="216"/>
      <c r="X476" s="216"/>
      <c r="Y476" s="216"/>
      <c r="Z476" s="216"/>
    </row>
    <row r="477" spans="1:26" ht="15" customHeight="1">
      <c r="A477" s="91" t="s">
        <v>3741</v>
      </c>
      <c r="B477" s="256" t="s">
        <v>3742</v>
      </c>
      <c r="C477" s="133" t="s">
        <v>105</v>
      </c>
      <c r="D477" s="301" t="s">
        <v>6053</v>
      </c>
      <c r="E477" s="576" t="s">
        <v>6054</v>
      </c>
      <c r="F477" s="131" t="s">
        <v>5927</v>
      </c>
      <c r="G477" s="379">
        <v>6</v>
      </c>
      <c r="H477" s="379">
        <v>4</v>
      </c>
      <c r="I477" s="379">
        <v>6</v>
      </c>
      <c r="J477" s="921">
        <v>10</v>
      </c>
      <c r="K477" s="564">
        <f t="shared" si="36"/>
        <v>1.6666666666666667</v>
      </c>
      <c r="L477" s="338" t="s">
        <v>971</v>
      </c>
      <c r="M477" s="216"/>
      <c r="N477" s="216"/>
      <c r="O477" s="216"/>
      <c r="P477" s="216"/>
      <c r="Q477" s="216"/>
      <c r="R477" s="216"/>
      <c r="S477" s="216"/>
      <c r="T477" s="216"/>
      <c r="U477" s="216"/>
      <c r="V477" s="216"/>
      <c r="W477" s="216"/>
      <c r="X477" s="216"/>
      <c r="Y477" s="216"/>
      <c r="Z477" s="216"/>
    </row>
    <row r="478" spans="1:26" ht="15" customHeight="1">
      <c r="A478" s="91" t="s">
        <v>3741</v>
      </c>
      <c r="B478" s="256" t="s">
        <v>3742</v>
      </c>
      <c r="C478" s="133" t="s">
        <v>105</v>
      </c>
      <c r="D478" s="301" t="s">
        <v>6055</v>
      </c>
      <c r="E478" s="576" t="s">
        <v>6056</v>
      </c>
      <c r="F478" s="131" t="s">
        <v>5927</v>
      </c>
      <c r="G478" s="379">
        <v>6</v>
      </c>
      <c r="H478" s="379">
        <v>4</v>
      </c>
      <c r="I478" s="379">
        <v>6</v>
      </c>
      <c r="J478" s="921">
        <v>10</v>
      </c>
      <c r="K478" s="564">
        <f t="shared" si="36"/>
        <v>1.6666666666666667</v>
      </c>
      <c r="L478" s="338" t="s">
        <v>971</v>
      </c>
      <c r="M478" s="216"/>
      <c r="N478" s="216"/>
      <c r="O478" s="216"/>
      <c r="P478" s="216"/>
      <c r="Q478" s="216"/>
      <c r="R478" s="216"/>
      <c r="S478" s="216"/>
      <c r="T478" s="216"/>
      <c r="U478" s="216"/>
      <c r="V478" s="216"/>
      <c r="W478" s="216"/>
      <c r="X478" s="216"/>
      <c r="Y478" s="216"/>
      <c r="Z478" s="216"/>
    </row>
    <row r="479" spans="1:26" ht="15" customHeight="1">
      <c r="A479" s="134" t="s">
        <v>6057</v>
      </c>
      <c r="B479" s="91" t="s">
        <v>6058</v>
      </c>
      <c r="C479" s="133" t="s">
        <v>105</v>
      </c>
      <c r="D479" s="301" t="s">
        <v>6059</v>
      </c>
      <c r="E479" s="576" t="s">
        <v>6060</v>
      </c>
      <c r="F479" s="301" t="s">
        <v>4585</v>
      </c>
      <c r="G479" s="888">
        <v>6</v>
      </c>
      <c r="H479" s="886">
        <v>1</v>
      </c>
      <c r="I479" s="887">
        <v>6</v>
      </c>
      <c r="J479" s="921">
        <v>20</v>
      </c>
      <c r="K479" s="564">
        <f t="shared" si="36"/>
        <v>3.3333333333333335</v>
      </c>
      <c r="L479" s="338" t="s">
        <v>971</v>
      </c>
      <c r="M479" s="216"/>
      <c r="N479" s="216"/>
      <c r="O479" s="216"/>
      <c r="P479" s="216"/>
      <c r="Q479" s="216"/>
      <c r="R479" s="216"/>
      <c r="S479" s="216"/>
      <c r="T479" s="216"/>
      <c r="U479" s="216"/>
      <c r="V479" s="216"/>
      <c r="W479" s="216"/>
      <c r="X479" s="216"/>
      <c r="Y479" s="216"/>
      <c r="Z479" s="216"/>
    </row>
    <row r="480" spans="1:26" ht="15" customHeight="1">
      <c r="A480" s="134" t="s">
        <v>6061</v>
      </c>
      <c r="B480" s="99" t="s">
        <v>6062</v>
      </c>
      <c r="C480" s="133" t="s">
        <v>3753</v>
      </c>
      <c r="D480" s="133" t="s">
        <v>6063</v>
      </c>
      <c r="E480" s="133" t="s">
        <v>5319</v>
      </c>
      <c r="F480" s="133" t="s">
        <v>6064</v>
      </c>
      <c r="G480" s="133">
        <v>2</v>
      </c>
      <c r="H480" s="495">
        <v>2</v>
      </c>
      <c r="I480" s="789">
        <v>3</v>
      </c>
      <c r="J480" s="789">
        <v>20</v>
      </c>
      <c r="K480" s="789">
        <f>J480/2</f>
        <v>10</v>
      </c>
      <c r="L480" s="338" t="s">
        <v>124</v>
      </c>
      <c r="M480" s="216"/>
      <c r="N480" s="216"/>
      <c r="O480" s="216"/>
      <c r="P480" s="216"/>
      <c r="Q480" s="216"/>
      <c r="R480" s="216"/>
      <c r="S480" s="216"/>
      <c r="T480" s="216"/>
      <c r="U480" s="216"/>
      <c r="V480" s="216"/>
      <c r="W480" s="216"/>
      <c r="X480" s="216"/>
      <c r="Y480" s="216"/>
      <c r="Z480" s="216"/>
    </row>
    <row r="481" spans="1:26" ht="15" customHeight="1">
      <c r="A481" s="438" t="s">
        <v>3756</v>
      </c>
      <c r="B481" s="138" t="s">
        <v>6065</v>
      </c>
      <c r="C481" s="138" t="s">
        <v>105</v>
      </c>
      <c r="D481" s="133" t="s">
        <v>6066</v>
      </c>
      <c r="E481" s="130" t="s">
        <v>6067</v>
      </c>
      <c r="F481" s="133" t="s">
        <v>6068</v>
      </c>
      <c r="G481" s="99">
        <v>0</v>
      </c>
      <c r="H481" s="500">
        <v>2</v>
      </c>
      <c r="I481" s="242">
        <v>2</v>
      </c>
      <c r="J481" s="242">
        <v>10</v>
      </c>
      <c r="K481" s="242">
        <v>5</v>
      </c>
      <c r="L481" s="338" t="s">
        <v>125</v>
      </c>
      <c r="M481" s="216"/>
      <c r="N481" s="216"/>
      <c r="O481" s="216"/>
      <c r="P481" s="216"/>
      <c r="Q481" s="216"/>
      <c r="R481" s="216"/>
      <c r="S481" s="216"/>
      <c r="T481" s="216"/>
      <c r="U481" s="216"/>
      <c r="V481" s="216"/>
      <c r="W481" s="216"/>
      <c r="X481" s="216"/>
      <c r="Y481" s="216"/>
      <c r="Z481" s="216"/>
    </row>
    <row r="482" spans="1:26" ht="15" customHeight="1">
      <c r="A482" s="438" t="s">
        <v>6069</v>
      </c>
      <c r="B482" s="138" t="s">
        <v>6070</v>
      </c>
      <c r="C482" s="138" t="s">
        <v>105</v>
      </c>
      <c r="D482" s="138" t="s">
        <v>6071</v>
      </c>
      <c r="E482" s="130" t="s">
        <v>6072</v>
      </c>
      <c r="F482" s="133" t="s">
        <v>6068</v>
      </c>
      <c r="G482" s="99">
        <v>1</v>
      </c>
      <c r="H482" s="500">
        <v>2</v>
      </c>
      <c r="I482" s="242">
        <v>2</v>
      </c>
      <c r="J482" s="242">
        <v>10</v>
      </c>
      <c r="K482" s="242">
        <v>5</v>
      </c>
      <c r="L482" s="338" t="s">
        <v>125</v>
      </c>
      <c r="M482" s="216"/>
      <c r="N482" s="216"/>
      <c r="O482" s="216"/>
      <c r="P482" s="216"/>
      <c r="Q482" s="216"/>
      <c r="R482" s="216"/>
      <c r="S482" s="216"/>
      <c r="T482" s="216"/>
      <c r="U482" s="216"/>
      <c r="V482" s="216"/>
      <c r="W482" s="216"/>
      <c r="X482" s="216"/>
      <c r="Y482" s="216"/>
      <c r="Z482" s="216"/>
    </row>
    <row r="483" spans="1:26" ht="15" customHeight="1">
      <c r="A483" s="134" t="s">
        <v>3756</v>
      </c>
      <c r="B483" s="399" t="s">
        <v>6073</v>
      </c>
      <c r="C483" s="99" t="s">
        <v>105</v>
      </c>
      <c r="D483" s="133" t="s">
        <v>6074</v>
      </c>
      <c r="E483" s="133" t="s">
        <v>6075</v>
      </c>
      <c r="F483" s="133" t="s">
        <v>5522</v>
      </c>
      <c r="G483" s="99">
        <v>0</v>
      </c>
      <c r="H483" s="500">
        <v>2</v>
      </c>
      <c r="I483" s="272">
        <v>2</v>
      </c>
      <c r="J483" s="272">
        <v>10</v>
      </c>
      <c r="K483" s="272">
        <v>5</v>
      </c>
      <c r="L483" s="338" t="s">
        <v>125</v>
      </c>
      <c r="M483" s="216"/>
      <c r="N483" s="216"/>
      <c r="O483" s="216"/>
      <c r="P483" s="216"/>
      <c r="Q483" s="216"/>
      <c r="R483" s="216"/>
      <c r="S483" s="216"/>
      <c r="T483" s="216"/>
      <c r="U483" s="216"/>
      <c r="V483" s="216"/>
      <c r="W483" s="216"/>
      <c r="X483" s="216"/>
      <c r="Y483" s="216"/>
      <c r="Z483" s="216"/>
    </row>
    <row r="484" spans="1:26" ht="15" customHeight="1">
      <c r="A484" s="134" t="s">
        <v>3761</v>
      </c>
      <c r="B484" s="91" t="s">
        <v>3762</v>
      </c>
      <c r="C484" s="99" t="s">
        <v>105</v>
      </c>
      <c r="D484" s="91" t="s">
        <v>6076</v>
      </c>
      <c r="E484" s="130" t="s">
        <v>6077</v>
      </c>
      <c r="F484" s="99" t="s">
        <v>4963</v>
      </c>
      <c r="G484" s="785">
        <v>3</v>
      </c>
      <c r="H484" s="820">
        <v>3</v>
      </c>
      <c r="I484" s="798">
        <v>3</v>
      </c>
      <c r="J484" s="926">
        <v>10</v>
      </c>
      <c r="K484" s="806">
        <v>3.33</v>
      </c>
      <c r="L484" s="338" t="s">
        <v>118</v>
      </c>
      <c r="M484" s="216"/>
      <c r="N484" s="216"/>
      <c r="O484" s="216"/>
      <c r="P484" s="216"/>
      <c r="Q484" s="216"/>
      <c r="R484" s="216"/>
      <c r="S484" s="216"/>
      <c r="T484" s="216"/>
      <c r="U484" s="216"/>
      <c r="V484" s="216"/>
      <c r="W484" s="216"/>
      <c r="X484" s="216"/>
      <c r="Y484" s="216"/>
      <c r="Z484" s="216"/>
    </row>
    <row r="485" spans="1:26" ht="15" customHeight="1">
      <c r="A485" s="438" t="s">
        <v>3777</v>
      </c>
      <c r="B485" s="228" t="s">
        <v>3778</v>
      </c>
      <c r="C485" s="181" t="s">
        <v>105</v>
      </c>
      <c r="D485" s="138" t="s">
        <v>6078</v>
      </c>
      <c r="E485" s="130" t="s">
        <v>6079</v>
      </c>
      <c r="F485" s="99" t="s">
        <v>4963</v>
      </c>
      <c r="G485" s="785">
        <v>3</v>
      </c>
      <c r="H485" s="820">
        <v>3</v>
      </c>
      <c r="I485" s="798">
        <v>3</v>
      </c>
      <c r="J485" s="926">
        <v>10</v>
      </c>
      <c r="K485" s="806">
        <v>3.33</v>
      </c>
      <c r="L485" s="338" t="s">
        <v>118</v>
      </c>
      <c r="M485" s="216"/>
      <c r="N485" s="216"/>
      <c r="O485" s="216"/>
      <c r="P485" s="216"/>
      <c r="Q485" s="216"/>
      <c r="R485" s="216"/>
      <c r="S485" s="216"/>
      <c r="T485" s="216"/>
      <c r="U485" s="216"/>
      <c r="V485" s="216"/>
      <c r="W485" s="216"/>
      <c r="X485" s="216"/>
      <c r="Y485" s="216"/>
      <c r="Z485" s="216"/>
    </row>
    <row r="486" spans="1:26" ht="15" customHeight="1">
      <c r="A486" s="438" t="s">
        <v>3777</v>
      </c>
      <c r="B486" s="66" t="s">
        <v>3778</v>
      </c>
      <c r="C486" s="228" t="s">
        <v>105</v>
      </c>
      <c r="D486" s="138" t="s">
        <v>6080</v>
      </c>
      <c r="E486" s="130" t="s">
        <v>6081</v>
      </c>
      <c r="F486" s="99" t="s">
        <v>4963</v>
      </c>
      <c r="G486" s="785">
        <v>3</v>
      </c>
      <c r="H486" s="820">
        <v>3</v>
      </c>
      <c r="I486" s="798">
        <v>3</v>
      </c>
      <c r="J486" s="926">
        <v>10</v>
      </c>
      <c r="K486" s="806">
        <v>3.33</v>
      </c>
      <c r="L486" s="338" t="s">
        <v>118</v>
      </c>
      <c r="M486" s="216"/>
      <c r="N486" s="216"/>
      <c r="O486" s="216"/>
      <c r="P486" s="216"/>
      <c r="Q486" s="216"/>
      <c r="R486" s="216"/>
      <c r="S486" s="216"/>
      <c r="T486" s="216"/>
      <c r="U486" s="216"/>
      <c r="V486" s="216"/>
      <c r="W486" s="216"/>
      <c r="X486" s="216"/>
      <c r="Y486" s="216"/>
      <c r="Z486" s="216"/>
    </row>
    <row r="487" spans="1:26" ht="15" customHeight="1">
      <c r="A487" s="438" t="s">
        <v>3777</v>
      </c>
      <c r="B487" s="228" t="s">
        <v>3778</v>
      </c>
      <c r="C487" s="228" t="s">
        <v>105</v>
      </c>
      <c r="D487" s="138" t="s">
        <v>6082</v>
      </c>
      <c r="E487" s="130" t="s">
        <v>6083</v>
      </c>
      <c r="F487" s="99" t="s">
        <v>4963</v>
      </c>
      <c r="G487" s="785">
        <v>3</v>
      </c>
      <c r="H487" s="820">
        <v>3</v>
      </c>
      <c r="I487" s="798">
        <v>3</v>
      </c>
      <c r="J487" s="926">
        <v>10</v>
      </c>
      <c r="K487" s="806">
        <v>3.33</v>
      </c>
      <c r="L487" s="338" t="s">
        <v>118</v>
      </c>
      <c r="M487" s="216"/>
      <c r="N487" s="216"/>
      <c r="O487" s="216"/>
      <c r="P487" s="216"/>
      <c r="Q487" s="216"/>
      <c r="R487" s="216"/>
      <c r="S487" s="216"/>
      <c r="T487" s="216"/>
      <c r="U487" s="216"/>
      <c r="V487" s="216"/>
      <c r="W487" s="216"/>
      <c r="X487" s="216"/>
      <c r="Y487" s="216"/>
      <c r="Z487" s="216"/>
    </row>
    <row r="488" spans="1:26" ht="15" customHeight="1">
      <c r="A488" s="438" t="s">
        <v>3777</v>
      </c>
      <c r="B488" s="228" t="s">
        <v>3778</v>
      </c>
      <c r="C488" s="228" t="s">
        <v>105</v>
      </c>
      <c r="D488" s="138" t="s">
        <v>6084</v>
      </c>
      <c r="E488" s="130" t="s">
        <v>6085</v>
      </c>
      <c r="F488" s="99" t="s">
        <v>6086</v>
      </c>
      <c r="G488" s="398">
        <v>3</v>
      </c>
      <c r="H488" s="768">
        <v>3</v>
      </c>
      <c r="I488" s="927">
        <v>3</v>
      </c>
      <c r="J488" s="928">
        <v>20</v>
      </c>
      <c r="K488" s="929">
        <v>6.67</v>
      </c>
      <c r="L488" s="338" t="s">
        <v>118</v>
      </c>
      <c r="M488" s="216"/>
      <c r="N488" s="216"/>
      <c r="O488" s="216"/>
      <c r="P488" s="216"/>
      <c r="Q488" s="216"/>
      <c r="R488" s="216"/>
      <c r="S488" s="216"/>
      <c r="T488" s="216"/>
      <c r="U488" s="216"/>
      <c r="V488" s="216"/>
      <c r="W488" s="216"/>
      <c r="X488" s="216"/>
      <c r="Y488" s="216"/>
      <c r="Z488" s="216"/>
    </row>
    <row r="489" spans="1:26" ht="15" customHeight="1">
      <c r="A489" s="134" t="s">
        <v>6087</v>
      </c>
      <c r="B489" s="133" t="s">
        <v>6088</v>
      </c>
      <c r="C489" s="99" t="s">
        <v>105</v>
      </c>
      <c r="D489" s="133" t="s">
        <v>6089</v>
      </c>
      <c r="E489" s="130" t="s">
        <v>6090</v>
      </c>
      <c r="F489" s="99" t="s">
        <v>4963</v>
      </c>
      <c r="G489" s="785">
        <v>4</v>
      </c>
      <c r="H489" s="820">
        <v>4</v>
      </c>
      <c r="I489" s="798">
        <v>4</v>
      </c>
      <c r="J489" s="926">
        <v>20</v>
      </c>
      <c r="K489" s="806">
        <v>5</v>
      </c>
      <c r="L489" s="338" t="s">
        <v>118</v>
      </c>
      <c r="M489" s="216"/>
      <c r="N489" s="216"/>
      <c r="O489" s="216"/>
      <c r="P489" s="216"/>
      <c r="Q489" s="216"/>
      <c r="R489" s="216"/>
      <c r="S489" s="216"/>
      <c r="T489" s="216"/>
      <c r="U489" s="216"/>
      <c r="V489" s="216"/>
      <c r="W489" s="216"/>
      <c r="X489" s="216"/>
      <c r="Y489" s="216"/>
      <c r="Z489" s="216"/>
    </row>
    <row r="490" spans="1:26" ht="15" customHeight="1">
      <c r="A490" s="134" t="s">
        <v>3771</v>
      </c>
      <c r="B490" s="133" t="s">
        <v>3772</v>
      </c>
      <c r="C490" s="99" t="s">
        <v>105</v>
      </c>
      <c r="D490" s="133" t="s">
        <v>6091</v>
      </c>
      <c r="E490" s="130" t="s">
        <v>6092</v>
      </c>
      <c r="F490" s="99" t="s">
        <v>6093</v>
      </c>
      <c r="G490" s="785">
        <v>4</v>
      </c>
      <c r="H490" s="820">
        <v>4</v>
      </c>
      <c r="I490" s="798">
        <v>4</v>
      </c>
      <c r="J490" s="926">
        <v>20</v>
      </c>
      <c r="K490" s="806">
        <v>5</v>
      </c>
      <c r="L490" s="338" t="s">
        <v>118</v>
      </c>
      <c r="M490" s="216"/>
      <c r="N490" s="216"/>
      <c r="O490" s="216"/>
      <c r="P490" s="216"/>
      <c r="Q490" s="216"/>
      <c r="R490" s="216"/>
      <c r="S490" s="216"/>
      <c r="T490" s="216"/>
      <c r="U490" s="216"/>
      <c r="V490" s="216"/>
      <c r="W490" s="216"/>
      <c r="X490" s="216"/>
      <c r="Y490" s="216"/>
      <c r="Z490" s="216"/>
    </row>
    <row r="491" spans="1:26" ht="15" customHeight="1">
      <c r="A491" s="134" t="s">
        <v>6094</v>
      </c>
      <c r="B491" s="133" t="s">
        <v>6095</v>
      </c>
      <c r="C491" s="99" t="s">
        <v>105</v>
      </c>
      <c r="D491" s="133" t="s">
        <v>6096</v>
      </c>
      <c r="E491" s="130" t="s">
        <v>6097</v>
      </c>
      <c r="F491" s="99" t="s">
        <v>4963</v>
      </c>
      <c r="G491" s="785">
        <v>4</v>
      </c>
      <c r="H491" s="820">
        <v>4</v>
      </c>
      <c r="I491" s="798">
        <v>4</v>
      </c>
      <c r="J491" s="926">
        <v>10</v>
      </c>
      <c r="K491" s="806">
        <v>2.5</v>
      </c>
      <c r="L491" s="338" t="s">
        <v>118</v>
      </c>
      <c r="M491" s="216"/>
      <c r="N491" s="216"/>
      <c r="O491" s="216"/>
      <c r="P491" s="216"/>
      <c r="Q491" s="216"/>
      <c r="R491" s="216"/>
      <c r="S491" s="216"/>
      <c r="T491" s="216"/>
      <c r="U491" s="216"/>
      <c r="V491" s="216"/>
      <c r="W491" s="216"/>
      <c r="X491" s="216"/>
      <c r="Y491" s="216"/>
      <c r="Z491" s="216"/>
    </row>
    <row r="492" spans="1:26" ht="15" customHeight="1">
      <c r="A492" s="930" t="s">
        <v>5969</v>
      </c>
      <c r="B492" s="134" t="s">
        <v>5929</v>
      </c>
      <c r="C492" s="99" t="s">
        <v>105</v>
      </c>
      <c r="D492" s="399" t="s">
        <v>5970</v>
      </c>
      <c r="E492" s="931" t="s">
        <v>5971</v>
      </c>
      <c r="F492" s="433" t="s">
        <v>4585</v>
      </c>
      <c r="G492" s="187">
        <v>4</v>
      </c>
      <c r="H492" s="932">
        <v>4</v>
      </c>
      <c r="I492" s="187">
        <v>4</v>
      </c>
      <c r="J492" s="933">
        <v>20</v>
      </c>
      <c r="K492" s="528">
        <f t="shared" ref="K492:K503" si="37">J492/I492</f>
        <v>5</v>
      </c>
      <c r="L492" s="338" t="s">
        <v>126</v>
      </c>
      <c r="M492" s="216"/>
      <c r="N492" s="216"/>
      <c r="O492" s="216"/>
      <c r="P492" s="216"/>
      <c r="Q492" s="216"/>
      <c r="R492" s="216"/>
      <c r="S492" s="216"/>
      <c r="T492" s="216"/>
      <c r="U492" s="216"/>
      <c r="V492" s="216"/>
      <c r="W492" s="216"/>
      <c r="X492" s="216"/>
      <c r="Y492" s="216"/>
      <c r="Z492" s="216"/>
    </row>
    <row r="493" spans="1:26" ht="15" customHeight="1">
      <c r="A493" s="134" t="s">
        <v>3621</v>
      </c>
      <c r="B493" s="134" t="s">
        <v>3622</v>
      </c>
      <c r="C493" s="99" t="s">
        <v>105</v>
      </c>
      <c r="D493" s="131" t="s">
        <v>6098</v>
      </c>
      <c r="E493" s="934" t="s">
        <v>5973</v>
      </c>
      <c r="F493" s="238" t="s">
        <v>5698</v>
      </c>
      <c r="G493" s="99">
        <v>4</v>
      </c>
      <c r="H493" s="99">
        <v>4</v>
      </c>
      <c r="I493" s="99">
        <v>4</v>
      </c>
      <c r="J493" s="383">
        <v>20</v>
      </c>
      <c r="K493" s="528">
        <f t="shared" si="37"/>
        <v>5</v>
      </c>
      <c r="L493" s="338" t="s">
        <v>126</v>
      </c>
      <c r="M493" s="216"/>
      <c r="N493" s="216"/>
      <c r="O493" s="216"/>
      <c r="P493" s="216"/>
      <c r="Q493" s="216"/>
      <c r="R493" s="216"/>
      <c r="S493" s="216"/>
      <c r="T493" s="216"/>
      <c r="U493" s="216"/>
      <c r="V493" s="216"/>
      <c r="W493" s="216"/>
      <c r="X493" s="216"/>
      <c r="Y493" s="216"/>
      <c r="Z493" s="216"/>
    </row>
    <row r="494" spans="1:26" ht="15" customHeight="1">
      <c r="A494" s="134" t="s">
        <v>3621</v>
      </c>
      <c r="B494" s="134" t="s">
        <v>3622</v>
      </c>
      <c r="C494" s="99" t="s">
        <v>105</v>
      </c>
      <c r="D494" s="131" t="s">
        <v>5974</v>
      </c>
      <c r="E494" s="934" t="s">
        <v>5975</v>
      </c>
      <c r="F494" s="238" t="s">
        <v>5976</v>
      </c>
      <c r="G494" s="99">
        <v>4</v>
      </c>
      <c r="H494" s="99">
        <v>4</v>
      </c>
      <c r="I494" s="99">
        <v>4</v>
      </c>
      <c r="J494" s="383">
        <v>20</v>
      </c>
      <c r="K494" s="528">
        <f t="shared" si="37"/>
        <v>5</v>
      </c>
      <c r="L494" s="338" t="s">
        <v>126</v>
      </c>
      <c r="M494" s="216"/>
      <c r="N494" s="216"/>
      <c r="O494" s="216"/>
      <c r="P494" s="216"/>
      <c r="Q494" s="216"/>
      <c r="R494" s="216"/>
      <c r="S494" s="216"/>
      <c r="T494" s="216"/>
      <c r="U494" s="216"/>
      <c r="V494" s="216"/>
      <c r="W494" s="216"/>
      <c r="X494" s="216"/>
      <c r="Y494" s="216"/>
      <c r="Z494" s="216"/>
    </row>
    <row r="495" spans="1:26" ht="15" customHeight="1">
      <c r="A495" s="134" t="s">
        <v>3621</v>
      </c>
      <c r="B495" s="134" t="s">
        <v>3622</v>
      </c>
      <c r="C495" s="99" t="s">
        <v>105</v>
      </c>
      <c r="D495" s="131" t="s">
        <v>5977</v>
      </c>
      <c r="E495" s="934" t="s">
        <v>5978</v>
      </c>
      <c r="F495" s="238" t="s">
        <v>4585</v>
      </c>
      <c r="G495" s="99">
        <v>4</v>
      </c>
      <c r="H495" s="99">
        <v>4</v>
      </c>
      <c r="I495" s="99">
        <v>4</v>
      </c>
      <c r="J495" s="383">
        <v>20</v>
      </c>
      <c r="K495" s="528">
        <f t="shared" si="37"/>
        <v>5</v>
      </c>
      <c r="L495" s="338" t="s">
        <v>126</v>
      </c>
      <c r="M495" s="216"/>
      <c r="N495" s="216"/>
      <c r="O495" s="216"/>
      <c r="P495" s="216"/>
      <c r="Q495" s="216"/>
      <c r="R495" s="216"/>
      <c r="S495" s="216"/>
      <c r="T495" s="216"/>
      <c r="U495" s="216"/>
      <c r="V495" s="216"/>
      <c r="W495" s="216"/>
      <c r="X495" s="216"/>
      <c r="Y495" s="216"/>
      <c r="Z495" s="216"/>
    </row>
    <row r="496" spans="1:26" ht="15" customHeight="1">
      <c r="A496" s="134" t="s">
        <v>3621</v>
      </c>
      <c r="B496" s="134" t="s">
        <v>3622</v>
      </c>
      <c r="C496" s="99" t="s">
        <v>105</v>
      </c>
      <c r="D496" s="131" t="s">
        <v>5979</v>
      </c>
      <c r="E496" s="934" t="s">
        <v>5980</v>
      </c>
      <c r="F496" s="238" t="s">
        <v>4585</v>
      </c>
      <c r="G496" s="99">
        <v>4</v>
      </c>
      <c r="H496" s="99">
        <v>4</v>
      </c>
      <c r="I496" s="99">
        <v>4</v>
      </c>
      <c r="J496" s="383">
        <v>20</v>
      </c>
      <c r="K496" s="528">
        <f t="shared" si="37"/>
        <v>5</v>
      </c>
      <c r="L496" s="338" t="s">
        <v>126</v>
      </c>
      <c r="M496" s="216"/>
      <c r="N496" s="216"/>
      <c r="O496" s="216"/>
      <c r="P496" s="216"/>
      <c r="Q496" s="216"/>
      <c r="R496" s="216"/>
      <c r="S496" s="216"/>
      <c r="T496" s="216"/>
      <c r="U496" s="216"/>
      <c r="V496" s="216"/>
      <c r="W496" s="216"/>
      <c r="X496" s="216"/>
      <c r="Y496" s="216"/>
      <c r="Z496" s="216"/>
    </row>
    <row r="497" spans="1:26" ht="15" customHeight="1">
      <c r="A497" s="134" t="s">
        <v>3621</v>
      </c>
      <c r="B497" s="134" t="s">
        <v>3622</v>
      </c>
      <c r="C497" s="99" t="s">
        <v>105</v>
      </c>
      <c r="D497" s="131" t="s">
        <v>5981</v>
      </c>
      <c r="E497" s="934" t="s">
        <v>5982</v>
      </c>
      <c r="F497" s="238" t="s">
        <v>5886</v>
      </c>
      <c r="G497" s="99">
        <v>4</v>
      </c>
      <c r="H497" s="99">
        <v>4</v>
      </c>
      <c r="I497" s="99">
        <v>4</v>
      </c>
      <c r="J497" s="383">
        <v>10</v>
      </c>
      <c r="K497" s="528">
        <f t="shared" si="37"/>
        <v>2.5</v>
      </c>
      <c r="L497" s="338" t="s">
        <v>126</v>
      </c>
      <c r="M497" s="216"/>
      <c r="N497" s="216"/>
      <c r="O497" s="216"/>
      <c r="P497" s="216"/>
      <c r="Q497" s="216"/>
      <c r="R497" s="216"/>
      <c r="S497" s="216"/>
      <c r="T497" s="216"/>
      <c r="U497" s="216"/>
      <c r="V497" s="216"/>
      <c r="W497" s="216"/>
      <c r="X497" s="216"/>
      <c r="Y497" s="216"/>
      <c r="Z497" s="216"/>
    </row>
    <row r="498" spans="1:26" ht="15" customHeight="1">
      <c r="A498" s="256" t="s">
        <v>3677</v>
      </c>
      <c r="B498" s="256" t="s">
        <v>3681</v>
      </c>
      <c r="C498" s="177" t="s">
        <v>105</v>
      </c>
      <c r="D498" s="131" t="s">
        <v>3684</v>
      </c>
      <c r="E498" s="934" t="s">
        <v>3685</v>
      </c>
      <c r="F498" s="238" t="s">
        <v>2072</v>
      </c>
      <c r="G498" s="99">
        <v>4</v>
      </c>
      <c r="H498" s="99">
        <v>4</v>
      </c>
      <c r="I498" s="99">
        <v>4</v>
      </c>
      <c r="J498" s="383">
        <v>20</v>
      </c>
      <c r="K498" s="528">
        <f t="shared" si="37"/>
        <v>5</v>
      </c>
      <c r="L498" s="338" t="s">
        <v>126</v>
      </c>
      <c r="M498" s="216"/>
      <c r="N498" s="216"/>
      <c r="O498" s="216"/>
      <c r="P498" s="216"/>
      <c r="Q498" s="216"/>
      <c r="R498" s="216"/>
      <c r="S498" s="216"/>
      <c r="T498" s="216"/>
      <c r="U498" s="216"/>
      <c r="V498" s="216"/>
      <c r="W498" s="216"/>
      <c r="X498" s="216"/>
      <c r="Y498" s="216"/>
      <c r="Z498" s="216"/>
    </row>
    <row r="499" spans="1:26" ht="15" customHeight="1">
      <c r="A499" s="256" t="s">
        <v>3608</v>
      </c>
      <c r="B499" s="469" t="s">
        <v>3609</v>
      </c>
      <c r="C499" s="469" t="s">
        <v>105</v>
      </c>
      <c r="D499" s="256" t="s">
        <v>6099</v>
      </c>
      <c r="E499" s="935" t="s">
        <v>3883</v>
      </c>
      <c r="F499" s="583"/>
      <c r="G499" s="936">
        <v>3</v>
      </c>
      <c r="H499" s="937">
        <v>3</v>
      </c>
      <c r="I499" s="938">
        <v>3</v>
      </c>
      <c r="J499" s="938">
        <v>20</v>
      </c>
      <c r="K499" s="939">
        <f t="shared" si="37"/>
        <v>6.666666666666667</v>
      </c>
      <c r="L499" s="338" t="s">
        <v>126</v>
      </c>
      <c r="M499" s="216"/>
      <c r="N499" s="216"/>
      <c r="O499" s="216"/>
      <c r="P499" s="216"/>
      <c r="Q499" s="216"/>
      <c r="R499" s="216"/>
      <c r="S499" s="216"/>
      <c r="T499" s="216"/>
      <c r="U499" s="216"/>
      <c r="V499" s="216"/>
      <c r="W499" s="216"/>
      <c r="X499" s="216"/>
      <c r="Y499" s="216"/>
      <c r="Z499" s="216"/>
    </row>
    <row r="500" spans="1:26" ht="15" customHeight="1">
      <c r="A500" s="134" t="s">
        <v>6100</v>
      </c>
      <c r="B500" s="134" t="s">
        <v>6101</v>
      </c>
      <c r="C500" s="99" t="s">
        <v>105</v>
      </c>
      <c r="D500" s="131" t="s">
        <v>6001</v>
      </c>
      <c r="E500" s="934" t="s">
        <v>6002</v>
      </c>
      <c r="F500" s="131" t="s">
        <v>4585</v>
      </c>
      <c r="G500" s="99">
        <v>4</v>
      </c>
      <c r="H500" s="99">
        <v>4</v>
      </c>
      <c r="I500" s="99">
        <v>4</v>
      </c>
      <c r="J500" s="383">
        <v>20</v>
      </c>
      <c r="K500" s="528">
        <f t="shared" si="37"/>
        <v>5</v>
      </c>
      <c r="L500" s="338" t="s">
        <v>126</v>
      </c>
      <c r="M500" s="216"/>
      <c r="N500" s="216"/>
      <c r="O500" s="216"/>
      <c r="P500" s="216"/>
      <c r="Q500" s="216"/>
      <c r="R500" s="216"/>
      <c r="S500" s="216"/>
      <c r="T500" s="216"/>
      <c r="U500" s="216"/>
      <c r="V500" s="216"/>
      <c r="W500" s="216"/>
      <c r="X500" s="216"/>
      <c r="Y500" s="216"/>
      <c r="Z500" s="216"/>
    </row>
    <row r="501" spans="1:26" ht="15" customHeight="1">
      <c r="A501" s="940" t="s">
        <v>5997</v>
      </c>
      <c r="B501" s="940" t="s">
        <v>5998</v>
      </c>
      <c r="C501" s="99" t="s">
        <v>105</v>
      </c>
      <c r="D501" s="910" t="s">
        <v>5957</v>
      </c>
      <c r="E501" s="941" t="s">
        <v>5415</v>
      </c>
      <c r="F501" s="910" t="s">
        <v>5886</v>
      </c>
      <c r="G501" s="187">
        <v>5</v>
      </c>
      <c r="H501" s="187">
        <v>5</v>
      </c>
      <c r="I501" s="187">
        <v>5</v>
      </c>
      <c r="J501" s="933">
        <v>10</v>
      </c>
      <c r="K501" s="942">
        <f t="shared" si="37"/>
        <v>2</v>
      </c>
      <c r="L501" s="338" t="s">
        <v>126</v>
      </c>
      <c r="M501" s="216"/>
      <c r="N501" s="216"/>
      <c r="O501" s="216"/>
      <c r="P501" s="216"/>
      <c r="Q501" s="216"/>
      <c r="R501" s="216"/>
      <c r="S501" s="216"/>
      <c r="T501" s="216"/>
      <c r="U501" s="216"/>
      <c r="V501" s="216"/>
      <c r="W501" s="216"/>
      <c r="X501" s="216"/>
      <c r="Y501" s="216"/>
      <c r="Z501" s="216"/>
    </row>
    <row r="502" spans="1:26" ht="15" customHeight="1">
      <c r="A502" s="134" t="s">
        <v>3839</v>
      </c>
      <c r="B502" s="735" t="s">
        <v>3840</v>
      </c>
      <c r="C502" s="99" t="s">
        <v>105</v>
      </c>
      <c r="D502" s="131" t="s">
        <v>5957</v>
      </c>
      <c r="E502" s="934" t="s">
        <v>5415</v>
      </c>
      <c r="F502" s="131" t="s">
        <v>5886</v>
      </c>
      <c r="G502" s="99">
        <v>4</v>
      </c>
      <c r="H502" s="99">
        <v>3</v>
      </c>
      <c r="I502" s="99">
        <v>4</v>
      </c>
      <c r="J502" s="383">
        <v>10</v>
      </c>
      <c r="K502" s="528">
        <f t="shared" si="37"/>
        <v>2.5</v>
      </c>
      <c r="L502" s="338" t="s">
        <v>126</v>
      </c>
      <c r="M502" s="216"/>
      <c r="N502" s="216"/>
      <c r="O502" s="216"/>
      <c r="P502" s="216"/>
      <c r="Q502" s="216"/>
      <c r="R502" s="216"/>
      <c r="S502" s="216"/>
      <c r="T502" s="216"/>
      <c r="U502" s="216"/>
      <c r="V502" s="216"/>
      <c r="W502" s="216"/>
      <c r="X502" s="216"/>
      <c r="Y502" s="216"/>
      <c r="Z502" s="216"/>
    </row>
    <row r="503" spans="1:26" ht="15" customHeight="1">
      <c r="A503" s="943" t="s">
        <v>6003</v>
      </c>
      <c r="B503" s="944" t="s">
        <v>6004</v>
      </c>
      <c r="C503" s="99" t="s">
        <v>105</v>
      </c>
      <c r="D503" s="134" t="s">
        <v>6005</v>
      </c>
      <c r="E503" s="435" t="s">
        <v>6006</v>
      </c>
      <c r="F503" s="135" t="s">
        <v>5886</v>
      </c>
      <c r="G503" s="99">
        <v>4</v>
      </c>
      <c r="H503" s="99">
        <v>4</v>
      </c>
      <c r="I503" s="99">
        <v>4</v>
      </c>
      <c r="J503" s="383">
        <v>10</v>
      </c>
      <c r="K503" s="528">
        <f t="shared" si="37"/>
        <v>2.5</v>
      </c>
      <c r="L503" s="338" t="s">
        <v>126</v>
      </c>
      <c r="M503" s="216"/>
      <c r="N503" s="216"/>
      <c r="O503" s="216"/>
      <c r="P503" s="216"/>
      <c r="Q503" s="216"/>
      <c r="R503" s="216"/>
      <c r="S503" s="216"/>
      <c r="T503" s="216"/>
      <c r="U503" s="216"/>
      <c r="V503" s="216"/>
      <c r="W503" s="216"/>
      <c r="X503" s="216"/>
      <c r="Y503" s="216"/>
      <c r="Z503" s="216"/>
    </row>
    <row r="504" spans="1:26" ht="15" customHeight="1">
      <c r="A504" s="99" t="s">
        <v>3864</v>
      </c>
      <c r="B504" s="465" t="s">
        <v>3865</v>
      </c>
      <c r="C504" s="99" t="s">
        <v>105</v>
      </c>
      <c r="D504" s="99" t="s">
        <v>6102</v>
      </c>
      <c r="E504" s="465" t="s">
        <v>6103</v>
      </c>
      <c r="F504" s="99"/>
      <c r="G504" s="99">
        <v>2</v>
      </c>
      <c r="H504" s="99">
        <v>2</v>
      </c>
      <c r="I504" s="99">
        <v>2</v>
      </c>
      <c r="J504" s="99">
        <v>10</v>
      </c>
      <c r="K504" s="99">
        <v>5</v>
      </c>
      <c r="L504" s="338" t="s">
        <v>127</v>
      </c>
      <c r="M504" s="216"/>
      <c r="N504" s="216"/>
      <c r="O504" s="216"/>
      <c r="P504" s="216"/>
      <c r="Q504" s="216"/>
      <c r="R504" s="216"/>
      <c r="S504" s="216"/>
      <c r="T504" s="216"/>
      <c r="U504" s="216"/>
      <c r="V504" s="216"/>
      <c r="W504" s="216"/>
      <c r="X504" s="216"/>
      <c r="Y504" s="216"/>
      <c r="Z504" s="216"/>
    </row>
    <row r="505" spans="1:26" ht="15" customHeight="1">
      <c r="A505" s="99" t="s">
        <v>3870</v>
      </c>
      <c r="B505" s="99" t="s">
        <v>3871</v>
      </c>
      <c r="C505" s="99" t="s">
        <v>105</v>
      </c>
      <c r="D505" s="99" t="s">
        <v>6104</v>
      </c>
      <c r="E505" s="99" t="s">
        <v>6105</v>
      </c>
      <c r="F505" s="99"/>
      <c r="G505" s="99">
        <v>3</v>
      </c>
      <c r="H505" s="99">
        <v>3</v>
      </c>
      <c r="I505" s="99">
        <v>3</v>
      </c>
      <c r="J505" s="99">
        <v>10</v>
      </c>
      <c r="K505" s="99">
        <v>3.33</v>
      </c>
      <c r="L505" s="338" t="s">
        <v>127</v>
      </c>
      <c r="M505" s="216"/>
      <c r="N505" s="216"/>
      <c r="O505" s="216"/>
      <c r="P505" s="216"/>
      <c r="Q505" s="216"/>
      <c r="R505" s="216"/>
      <c r="S505" s="216"/>
      <c r="T505" s="216"/>
      <c r="U505" s="216"/>
      <c r="V505" s="216"/>
      <c r="W505" s="216"/>
      <c r="X505" s="216"/>
      <c r="Y505" s="216"/>
      <c r="Z505" s="216"/>
    </row>
    <row r="506" spans="1:26" ht="15" customHeight="1">
      <c r="A506" s="566" t="s">
        <v>5948</v>
      </c>
      <c r="B506" s="945" t="s">
        <v>5949</v>
      </c>
      <c r="C506" s="301" t="s">
        <v>105</v>
      </c>
      <c r="D506" s="302" t="s">
        <v>5950</v>
      </c>
      <c r="E506" s="302" t="s">
        <v>5951</v>
      </c>
      <c r="F506" s="301" t="s">
        <v>5952</v>
      </c>
      <c r="G506" s="304">
        <v>3</v>
      </c>
      <c r="H506" s="513">
        <v>3</v>
      </c>
      <c r="I506" s="493">
        <v>3</v>
      </c>
      <c r="J506" s="493">
        <v>20</v>
      </c>
      <c r="K506" s="643">
        <f t="shared" ref="K506:K510" si="38">J506/H506</f>
        <v>6.666666666666667</v>
      </c>
      <c r="L506" s="338" t="s">
        <v>119</v>
      </c>
      <c r="M506" s="216"/>
      <c r="N506" s="216"/>
      <c r="O506" s="216"/>
      <c r="P506" s="216"/>
      <c r="Q506" s="216"/>
      <c r="R506" s="216"/>
      <c r="S506" s="216"/>
      <c r="T506" s="216"/>
      <c r="U506" s="216"/>
      <c r="V506" s="216"/>
      <c r="W506" s="216"/>
      <c r="X506" s="216"/>
      <c r="Y506" s="216"/>
      <c r="Z506" s="216"/>
    </row>
    <row r="507" spans="1:26" ht="15" customHeight="1">
      <c r="A507" s="302" t="s">
        <v>3591</v>
      </c>
      <c r="B507" s="302" t="s">
        <v>3592</v>
      </c>
      <c r="C507" s="301" t="s">
        <v>105</v>
      </c>
      <c r="D507" s="301" t="s">
        <v>5957</v>
      </c>
      <c r="E507" s="598" t="s">
        <v>5415</v>
      </c>
      <c r="F507" s="301" t="s">
        <v>6106</v>
      </c>
      <c r="G507" s="304">
        <v>7</v>
      </c>
      <c r="H507" s="946">
        <v>7</v>
      </c>
      <c r="I507" s="493">
        <v>7</v>
      </c>
      <c r="J507" s="493">
        <v>10</v>
      </c>
      <c r="K507" s="643">
        <f t="shared" si="38"/>
        <v>1.4285714285714286</v>
      </c>
      <c r="L507" s="338" t="s">
        <v>119</v>
      </c>
      <c r="M507" s="216"/>
      <c r="N507" s="216"/>
      <c r="O507" s="216"/>
      <c r="P507" s="216"/>
      <c r="Q507" s="216"/>
      <c r="R507" s="216"/>
      <c r="S507" s="216"/>
      <c r="T507" s="216"/>
      <c r="U507" s="216"/>
      <c r="V507" s="216"/>
      <c r="W507" s="216"/>
      <c r="X507" s="216"/>
      <c r="Y507" s="216"/>
      <c r="Z507" s="216"/>
    </row>
    <row r="508" spans="1:26" ht="15" customHeight="1">
      <c r="A508" s="302" t="s">
        <v>3591</v>
      </c>
      <c r="B508" s="302" t="s">
        <v>3592</v>
      </c>
      <c r="C508" s="301" t="s">
        <v>105</v>
      </c>
      <c r="D508" s="301" t="s">
        <v>5958</v>
      </c>
      <c r="E508" s="598" t="s">
        <v>5959</v>
      </c>
      <c r="F508" s="301" t="s">
        <v>6106</v>
      </c>
      <c r="G508" s="304">
        <v>7</v>
      </c>
      <c r="H508" s="946">
        <v>7</v>
      </c>
      <c r="I508" s="493">
        <v>7</v>
      </c>
      <c r="J508" s="493">
        <v>10</v>
      </c>
      <c r="K508" s="643">
        <f t="shared" si="38"/>
        <v>1.4285714285714286</v>
      </c>
      <c r="L508" s="338" t="s">
        <v>119</v>
      </c>
      <c r="M508" s="216"/>
      <c r="N508" s="216"/>
      <c r="O508" s="216"/>
      <c r="P508" s="216"/>
      <c r="Q508" s="216"/>
      <c r="R508" s="216"/>
      <c r="S508" s="216"/>
      <c r="T508" s="216"/>
      <c r="U508" s="216"/>
      <c r="V508" s="216"/>
      <c r="W508" s="216"/>
      <c r="X508" s="216"/>
      <c r="Y508" s="216"/>
      <c r="Z508" s="216"/>
    </row>
    <row r="509" spans="1:26" ht="15" customHeight="1">
      <c r="A509" s="302" t="s">
        <v>3591</v>
      </c>
      <c r="B509" s="302" t="s">
        <v>3592</v>
      </c>
      <c r="C509" s="301" t="s">
        <v>105</v>
      </c>
      <c r="D509" s="301" t="s">
        <v>5960</v>
      </c>
      <c r="E509" s="598" t="s">
        <v>5961</v>
      </c>
      <c r="F509" s="301" t="s">
        <v>5962</v>
      </c>
      <c r="G509" s="304">
        <v>7</v>
      </c>
      <c r="H509" s="946">
        <v>7</v>
      </c>
      <c r="I509" s="493">
        <v>7</v>
      </c>
      <c r="J509" s="493">
        <v>20</v>
      </c>
      <c r="K509" s="643">
        <f t="shared" si="38"/>
        <v>2.8571428571428572</v>
      </c>
      <c r="L509" s="338" t="s">
        <v>119</v>
      </c>
      <c r="M509" s="216"/>
      <c r="N509" s="216"/>
      <c r="O509" s="216"/>
      <c r="P509" s="216"/>
      <c r="Q509" s="216"/>
      <c r="R509" s="216"/>
      <c r="S509" s="216"/>
      <c r="T509" s="216"/>
      <c r="U509" s="216"/>
      <c r="V509" s="216"/>
      <c r="W509" s="216"/>
      <c r="X509" s="216"/>
      <c r="Y509" s="216"/>
      <c r="Z509" s="216"/>
    </row>
    <row r="510" spans="1:26" ht="15" customHeight="1">
      <c r="A510" s="302" t="s">
        <v>5985</v>
      </c>
      <c r="B510" s="302" t="s">
        <v>5986</v>
      </c>
      <c r="C510" s="301" t="s">
        <v>105</v>
      </c>
      <c r="D510" s="302" t="s">
        <v>5987</v>
      </c>
      <c r="E510" s="596" t="s">
        <v>5988</v>
      </c>
      <c r="F510" s="597"/>
      <c r="G510" s="290">
        <v>5</v>
      </c>
      <c r="H510" s="290">
        <v>5</v>
      </c>
      <c r="I510" s="290">
        <v>5</v>
      </c>
      <c r="J510" s="569">
        <v>20</v>
      </c>
      <c r="K510" s="643">
        <f t="shared" si="38"/>
        <v>4</v>
      </c>
      <c r="L510" s="338" t="s">
        <v>119</v>
      </c>
      <c r="M510" s="216"/>
      <c r="N510" s="216"/>
      <c r="O510" s="216"/>
      <c r="P510" s="216"/>
      <c r="Q510" s="216"/>
      <c r="R510" s="216"/>
      <c r="S510" s="216"/>
      <c r="T510" s="216"/>
      <c r="U510" s="216"/>
      <c r="V510" s="216"/>
      <c r="W510" s="216"/>
      <c r="X510" s="216"/>
      <c r="Y510" s="216"/>
      <c r="Z510" s="216"/>
    </row>
    <row r="511" spans="1:26" ht="15" customHeight="1">
      <c r="A511" s="134" t="s">
        <v>6107</v>
      </c>
      <c r="B511" s="399" t="s">
        <v>6108</v>
      </c>
      <c r="C511" s="290" t="s">
        <v>105</v>
      </c>
      <c r="D511" s="134" t="s">
        <v>6109</v>
      </c>
      <c r="E511" s="378" t="s">
        <v>6110</v>
      </c>
      <c r="F511" s="131"/>
      <c r="G511" s="796">
        <v>2</v>
      </c>
      <c r="H511" s="947">
        <v>1</v>
      </c>
      <c r="I511" s="798">
        <v>2</v>
      </c>
      <c r="J511" s="798">
        <v>10</v>
      </c>
      <c r="K511" s="881">
        <f t="shared" ref="K511:K514" si="39">J511/I511</f>
        <v>5</v>
      </c>
      <c r="L511" s="338" t="s">
        <v>1005</v>
      </c>
      <c r="M511" s="216"/>
      <c r="N511" s="216"/>
      <c r="O511" s="216"/>
      <c r="P511" s="216"/>
      <c r="Q511" s="216"/>
      <c r="R511" s="216"/>
      <c r="S511" s="216"/>
      <c r="T511" s="216"/>
      <c r="U511" s="216"/>
      <c r="V511" s="216"/>
      <c r="W511" s="216"/>
      <c r="X511" s="216"/>
      <c r="Y511" s="216"/>
      <c r="Z511" s="216"/>
    </row>
    <row r="512" spans="1:26" ht="15" customHeight="1">
      <c r="A512" s="302" t="s">
        <v>5924</v>
      </c>
      <c r="B512" s="290" t="s">
        <v>3536</v>
      </c>
      <c r="C512" s="290" t="s">
        <v>105</v>
      </c>
      <c r="D512" s="301" t="s">
        <v>5925</v>
      </c>
      <c r="E512" s="576" t="s">
        <v>5926</v>
      </c>
      <c r="F512" s="301" t="s">
        <v>5927</v>
      </c>
      <c r="G512" s="301">
        <v>4</v>
      </c>
      <c r="H512" s="886">
        <v>4</v>
      </c>
      <c r="I512" s="887">
        <v>4</v>
      </c>
      <c r="J512" s="887">
        <v>10</v>
      </c>
      <c r="K512" s="887">
        <f t="shared" si="39"/>
        <v>2.5</v>
      </c>
      <c r="L512" s="338" t="s">
        <v>1005</v>
      </c>
      <c r="M512" s="216"/>
      <c r="N512" s="216"/>
      <c r="O512" s="216"/>
      <c r="P512" s="216"/>
      <c r="Q512" s="216"/>
      <c r="R512" s="216"/>
      <c r="S512" s="216"/>
      <c r="T512" s="216"/>
      <c r="U512" s="216"/>
      <c r="V512" s="216"/>
      <c r="W512" s="216"/>
      <c r="X512" s="216"/>
      <c r="Y512" s="216"/>
      <c r="Z512" s="216"/>
    </row>
    <row r="513" spans="1:26" ht="15" customHeight="1">
      <c r="A513" s="302" t="s">
        <v>5924</v>
      </c>
      <c r="B513" s="290" t="s">
        <v>3536</v>
      </c>
      <c r="C513" s="515" t="s">
        <v>105</v>
      </c>
      <c r="D513" s="301" t="s">
        <v>5923</v>
      </c>
      <c r="E513" s="576" t="s">
        <v>5487</v>
      </c>
      <c r="F513" s="301" t="s">
        <v>4585</v>
      </c>
      <c r="G513" s="301">
        <v>4</v>
      </c>
      <c r="H513" s="886">
        <v>4</v>
      </c>
      <c r="I513" s="887">
        <v>4</v>
      </c>
      <c r="J513" s="887">
        <v>20</v>
      </c>
      <c r="K513" s="887">
        <f t="shared" si="39"/>
        <v>5</v>
      </c>
      <c r="L513" s="338" t="s">
        <v>1005</v>
      </c>
      <c r="M513" s="216"/>
      <c r="N513" s="216"/>
      <c r="O513" s="216"/>
      <c r="P513" s="216"/>
      <c r="Q513" s="216"/>
      <c r="R513" s="216"/>
      <c r="S513" s="216"/>
      <c r="T513" s="216"/>
      <c r="U513" s="216"/>
      <c r="V513" s="216"/>
      <c r="W513" s="216"/>
      <c r="X513" s="216"/>
      <c r="Y513" s="216"/>
      <c r="Z513" s="216"/>
    </row>
    <row r="514" spans="1:26" ht="15" customHeight="1">
      <c r="A514" s="134" t="s">
        <v>3538</v>
      </c>
      <c r="B514" s="134" t="s">
        <v>3539</v>
      </c>
      <c r="C514" s="133" t="s">
        <v>105</v>
      </c>
      <c r="D514" s="133" t="s">
        <v>6033</v>
      </c>
      <c r="E514" s="130" t="s">
        <v>5415</v>
      </c>
      <c r="F514" s="133" t="s">
        <v>5927</v>
      </c>
      <c r="G514" s="821">
        <v>4</v>
      </c>
      <c r="H514" s="797">
        <v>4</v>
      </c>
      <c r="I514" s="798">
        <v>4</v>
      </c>
      <c r="J514" s="798">
        <v>10</v>
      </c>
      <c r="K514" s="881">
        <f t="shared" si="39"/>
        <v>2.5</v>
      </c>
      <c r="L514" s="338" t="s">
        <v>1005</v>
      </c>
      <c r="M514" s="216"/>
      <c r="N514" s="216"/>
      <c r="O514" s="216"/>
      <c r="P514" s="216"/>
      <c r="Q514" s="216"/>
      <c r="R514" s="216"/>
      <c r="S514" s="216"/>
      <c r="T514" s="216"/>
      <c r="U514" s="216"/>
      <c r="V514" s="216"/>
      <c r="W514" s="216"/>
      <c r="X514" s="216"/>
      <c r="Y514" s="216"/>
      <c r="Z514" s="216"/>
    </row>
    <row r="515" spans="1:26" ht="15" customHeight="1">
      <c r="A515" s="134" t="s">
        <v>5940</v>
      </c>
      <c r="B515" s="134" t="s">
        <v>5941</v>
      </c>
      <c r="C515" s="133" t="s">
        <v>105</v>
      </c>
      <c r="D515" s="133" t="s">
        <v>5942</v>
      </c>
      <c r="E515" s="130" t="s">
        <v>4768</v>
      </c>
      <c r="F515" s="133" t="s">
        <v>4585</v>
      </c>
      <c r="G515" s="821">
        <v>4</v>
      </c>
      <c r="H515" s="797">
        <v>3</v>
      </c>
      <c r="I515" s="798">
        <v>4</v>
      </c>
      <c r="J515" s="798">
        <v>20</v>
      </c>
      <c r="K515" s="881">
        <v>5</v>
      </c>
      <c r="L515" s="338" t="s">
        <v>1005</v>
      </c>
      <c r="M515" s="216"/>
      <c r="N515" s="216"/>
      <c r="O515" s="216"/>
      <c r="P515" s="216"/>
      <c r="Q515" s="216"/>
      <c r="R515" s="216"/>
      <c r="S515" s="216"/>
      <c r="T515" s="216"/>
      <c r="U515" s="216"/>
      <c r="V515" s="216"/>
      <c r="W515" s="216"/>
      <c r="X515" s="216"/>
      <c r="Y515" s="216"/>
      <c r="Z515" s="216"/>
    </row>
    <row r="516" spans="1:26" ht="15" customHeight="1">
      <c r="A516" s="134" t="s">
        <v>6031</v>
      </c>
      <c r="B516" s="134" t="s">
        <v>6032</v>
      </c>
      <c r="C516" s="133" t="s">
        <v>105</v>
      </c>
      <c r="D516" s="133" t="s">
        <v>6033</v>
      </c>
      <c r="E516" s="130" t="s">
        <v>5415</v>
      </c>
      <c r="F516" s="133" t="s">
        <v>5927</v>
      </c>
      <c r="G516" s="821">
        <v>4</v>
      </c>
      <c r="H516" s="797">
        <v>4</v>
      </c>
      <c r="I516" s="798">
        <v>4</v>
      </c>
      <c r="J516" s="798">
        <v>10</v>
      </c>
      <c r="K516" s="881">
        <f t="shared" ref="K516:K517" si="40">J516/I516</f>
        <v>2.5</v>
      </c>
      <c r="L516" s="338" t="s">
        <v>1005</v>
      </c>
      <c r="M516" s="216"/>
      <c r="N516" s="216"/>
      <c r="O516" s="216"/>
      <c r="P516" s="216"/>
      <c r="Q516" s="216"/>
      <c r="R516" s="216"/>
      <c r="S516" s="216"/>
      <c r="T516" s="216"/>
      <c r="U516" s="216"/>
      <c r="V516" s="216"/>
      <c r="W516" s="216"/>
      <c r="X516" s="216"/>
      <c r="Y516" s="216"/>
      <c r="Z516" s="216"/>
    </row>
    <row r="517" spans="1:26" ht="15" customHeight="1">
      <c r="A517" s="134" t="s">
        <v>6111</v>
      </c>
      <c r="B517" s="134" t="s">
        <v>6112</v>
      </c>
      <c r="C517" s="133" t="s">
        <v>105</v>
      </c>
      <c r="D517" s="133" t="s">
        <v>6033</v>
      </c>
      <c r="E517" s="130" t="s">
        <v>5415</v>
      </c>
      <c r="F517" s="133" t="s">
        <v>5927</v>
      </c>
      <c r="G517" s="821">
        <v>4</v>
      </c>
      <c r="H517" s="797">
        <v>4</v>
      </c>
      <c r="I517" s="798">
        <v>4</v>
      </c>
      <c r="J517" s="798">
        <v>10</v>
      </c>
      <c r="K517" s="881">
        <f t="shared" si="40"/>
        <v>2.5</v>
      </c>
      <c r="L517" s="338" t="s">
        <v>1005</v>
      </c>
      <c r="M517" s="216"/>
      <c r="N517" s="216"/>
      <c r="O517" s="216"/>
      <c r="P517" s="216"/>
      <c r="Q517" s="216"/>
      <c r="R517" s="216"/>
      <c r="S517" s="216"/>
      <c r="T517" s="216"/>
      <c r="U517" s="216"/>
      <c r="V517" s="216"/>
      <c r="W517" s="216"/>
      <c r="X517" s="216"/>
      <c r="Y517" s="216"/>
      <c r="Z517" s="216"/>
    </row>
    <row r="518" spans="1:26" ht="15" customHeight="1">
      <c r="A518" s="134" t="s">
        <v>3892</v>
      </c>
      <c r="B518" s="586" t="s">
        <v>3893</v>
      </c>
      <c r="C518" s="133" t="s">
        <v>105</v>
      </c>
      <c r="D518" s="134" t="s">
        <v>6113</v>
      </c>
      <c r="E518" s="182" t="s">
        <v>6114</v>
      </c>
      <c r="F518" s="133" t="s">
        <v>6115</v>
      </c>
      <c r="G518" s="379">
        <v>1</v>
      </c>
      <c r="H518" s="379">
        <v>1</v>
      </c>
      <c r="I518" s="379">
        <v>4</v>
      </c>
      <c r="J518" s="272">
        <v>10</v>
      </c>
      <c r="K518" s="134">
        <f t="shared" ref="K518:K556" si="41">J518/G518</f>
        <v>10</v>
      </c>
      <c r="L518" s="338" t="s">
        <v>111</v>
      </c>
      <c r="M518" s="216"/>
      <c r="N518" s="216"/>
      <c r="O518" s="216"/>
      <c r="P518" s="216"/>
      <c r="Q518" s="216"/>
      <c r="R518" s="216"/>
      <c r="S518" s="216"/>
      <c r="T518" s="216"/>
      <c r="U518" s="216"/>
      <c r="V518" s="216"/>
      <c r="W518" s="216"/>
      <c r="X518" s="216"/>
      <c r="Y518" s="216"/>
      <c r="Z518" s="216"/>
    </row>
    <row r="519" spans="1:26" ht="15" customHeight="1">
      <c r="A519" s="302" t="s">
        <v>3892</v>
      </c>
      <c r="B519" s="648" t="s">
        <v>3893</v>
      </c>
      <c r="C519" s="301" t="s">
        <v>105</v>
      </c>
      <c r="D519" s="302" t="s">
        <v>6116</v>
      </c>
      <c r="E519" s="662" t="s">
        <v>6117</v>
      </c>
      <c r="F519" s="301" t="s">
        <v>6118</v>
      </c>
      <c r="G519" s="566">
        <v>1</v>
      </c>
      <c r="H519" s="566">
        <v>1</v>
      </c>
      <c r="I519" s="566">
        <v>4</v>
      </c>
      <c r="J519" s="581">
        <v>20</v>
      </c>
      <c r="K519" s="302">
        <f t="shared" si="41"/>
        <v>20</v>
      </c>
      <c r="L519" s="338" t="s">
        <v>111</v>
      </c>
      <c r="M519" s="216"/>
      <c r="N519" s="216"/>
      <c r="O519" s="216"/>
      <c r="P519" s="216"/>
      <c r="Q519" s="216"/>
      <c r="R519" s="216"/>
      <c r="S519" s="216"/>
      <c r="T519" s="216"/>
      <c r="U519" s="216"/>
      <c r="V519" s="216"/>
      <c r="W519" s="216"/>
      <c r="X519" s="216"/>
      <c r="Y519" s="216"/>
      <c r="Z519" s="216"/>
    </row>
    <row r="520" spans="1:26" ht="15" customHeight="1">
      <c r="A520" s="301" t="s">
        <v>4046</v>
      </c>
      <c r="B520" s="302" t="s">
        <v>4047</v>
      </c>
      <c r="C520" s="648" t="s">
        <v>105</v>
      </c>
      <c r="D520" s="302" t="s">
        <v>6116</v>
      </c>
      <c r="E520" s="662" t="s">
        <v>6119</v>
      </c>
      <c r="F520" s="948" t="s">
        <v>6120</v>
      </c>
      <c r="G520" s="302">
        <v>1</v>
      </c>
      <c r="H520" s="302">
        <v>1</v>
      </c>
      <c r="I520" s="302">
        <v>6</v>
      </c>
      <c r="J520" s="949">
        <v>20</v>
      </c>
      <c r="K520" s="950">
        <f t="shared" si="41"/>
        <v>20</v>
      </c>
      <c r="L520" s="338" t="s">
        <v>111</v>
      </c>
      <c r="M520" s="216"/>
      <c r="N520" s="216"/>
      <c r="O520" s="216"/>
      <c r="P520" s="216"/>
      <c r="Q520" s="216"/>
      <c r="R520" s="216"/>
      <c r="S520" s="216"/>
      <c r="T520" s="216"/>
      <c r="U520" s="216"/>
      <c r="V520" s="216"/>
      <c r="W520" s="216"/>
      <c r="X520" s="216"/>
      <c r="Y520" s="216"/>
      <c r="Z520" s="216"/>
    </row>
    <row r="521" spans="1:26" ht="15" customHeight="1">
      <c r="A521" s="134" t="s">
        <v>3892</v>
      </c>
      <c r="B521" s="586" t="s">
        <v>3893</v>
      </c>
      <c r="C521" s="133" t="s">
        <v>105</v>
      </c>
      <c r="D521" s="134" t="s">
        <v>6121</v>
      </c>
      <c r="E521" s="182" t="s">
        <v>6122</v>
      </c>
      <c r="F521" s="133" t="s">
        <v>6115</v>
      </c>
      <c r="G521" s="379">
        <v>1</v>
      </c>
      <c r="H521" s="379">
        <v>1</v>
      </c>
      <c r="I521" s="379">
        <v>4</v>
      </c>
      <c r="J521" s="272">
        <v>10</v>
      </c>
      <c r="K521" s="134">
        <f t="shared" si="41"/>
        <v>10</v>
      </c>
      <c r="L521" s="338" t="s">
        <v>111</v>
      </c>
      <c r="M521" s="216"/>
      <c r="N521" s="216"/>
      <c r="O521" s="216"/>
      <c r="P521" s="216"/>
      <c r="Q521" s="216"/>
      <c r="R521" s="216"/>
      <c r="S521" s="216"/>
      <c r="T521" s="216"/>
      <c r="U521" s="216"/>
      <c r="V521" s="216"/>
      <c r="W521" s="216"/>
      <c r="X521" s="216"/>
      <c r="Y521" s="216"/>
      <c r="Z521" s="216"/>
    </row>
    <row r="522" spans="1:26" ht="15" customHeight="1">
      <c r="A522" s="302" t="s">
        <v>3892</v>
      </c>
      <c r="B522" s="648" t="s">
        <v>3893</v>
      </c>
      <c r="C522" s="301" t="s">
        <v>105</v>
      </c>
      <c r="D522" s="302" t="s">
        <v>6123</v>
      </c>
      <c r="E522" s="662" t="s">
        <v>5959</v>
      </c>
      <c r="F522" s="301" t="s">
        <v>6124</v>
      </c>
      <c r="G522" s="566">
        <v>1</v>
      </c>
      <c r="H522" s="566">
        <v>1</v>
      </c>
      <c r="I522" s="566">
        <v>4</v>
      </c>
      <c r="J522" s="581">
        <v>10</v>
      </c>
      <c r="K522" s="302">
        <f t="shared" si="41"/>
        <v>10</v>
      </c>
      <c r="L522" s="338" t="s">
        <v>111</v>
      </c>
      <c r="M522" s="216"/>
      <c r="N522" s="216"/>
      <c r="O522" s="216"/>
      <c r="P522" s="216"/>
      <c r="Q522" s="216"/>
      <c r="R522" s="216"/>
      <c r="S522" s="216"/>
      <c r="T522" s="216"/>
      <c r="U522" s="216"/>
      <c r="V522" s="216"/>
      <c r="W522" s="216"/>
      <c r="X522" s="216"/>
      <c r="Y522" s="216"/>
      <c r="Z522" s="216"/>
    </row>
    <row r="523" spans="1:26" ht="15" customHeight="1">
      <c r="A523" s="134" t="s">
        <v>3892</v>
      </c>
      <c r="B523" s="586" t="s">
        <v>3893</v>
      </c>
      <c r="C523" s="133" t="s">
        <v>105</v>
      </c>
      <c r="D523" s="134" t="s">
        <v>6125</v>
      </c>
      <c r="E523" s="182" t="s">
        <v>5487</v>
      </c>
      <c r="F523" s="133" t="s">
        <v>6126</v>
      </c>
      <c r="G523" s="379">
        <v>1</v>
      </c>
      <c r="H523" s="379">
        <v>1</v>
      </c>
      <c r="I523" s="379">
        <v>4</v>
      </c>
      <c r="J523" s="272">
        <v>20</v>
      </c>
      <c r="K523" s="134">
        <f t="shared" si="41"/>
        <v>20</v>
      </c>
      <c r="L523" s="338" t="s">
        <v>111</v>
      </c>
      <c r="M523" s="216"/>
      <c r="N523" s="216"/>
      <c r="O523" s="216"/>
      <c r="P523" s="216"/>
      <c r="Q523" s="216"/>
      <c r="R523" s="216"/>
      <c r="S523" s="216"/>
      <c r="T523" s="216"/>
      <c r="U523" s="216"/>
      <c r="V523" s="216"/>
      <c r="W523" s="216"/>
      <c r="X523" s="216"/>
      <c r="Y523" s="216"/>
      <c r="Z523" s="216"/>
    </row>
    <row r="524" spans="1:26" ht="15" customHeight="1">
      <c r="A524" s="134" t="s">
        <v>3892</v>
      </c>
      <c r="B524" s="586" t="s">
        <v>3893</v>
      </c>
      <c r="C524" s="133" t="s">
        <v>105</v>
      </c>
      <c r="D524" s="134" t="s">
        <v>6127</v>
      </c>
      <c r="E524" s="182" t="s">
        <v>6128</v>
      </c>
      <c r="F524" s="133" t="s">
        <v>6115</v>
      </c>
      <c r="G524" s="379">
        <v>1</v>
      </c>
      <c r="H524" s="379">
        <v>1</v>
      </c>
      <c r="I524" s="379">
        <v>4</v>
      </c>
      <c r="J524" s="272">
        <v>10</v>
      </c>
      <c r="K524" s="134">
        <f t="shared" si="41"/>
        <v>10</v>
      </c>
      <c r="L524" s="338" t="s">
        <v>111</v>
      </c>
      <c r="M524" s="216"/>
      <c r="N524" s="216"/>
      <c r="O524" s="216"/>
      <c r="P524" s="216"/>
      <c r="Q524" s="216"/>
      <c r="R524" s="216"/>
      <c r="S524" s="216"/>
      <c r="T524" s="216"/>
      <c r="U524" s="216"/>
      <c r="V524" s="216"/>
      <c r="W524" s="216"/>
      <c r="X524" s="216"/>
      <c r="Y524" s="216"/>
      <c r="Z524" s="216"/>
    </row>
    <row r="525" spans="1:26" ht="15" customHeight="1">
      <c r="A525" s="302" t="s">
        <v>3892</v>
      </c>
      <c r="B525" s="648" t="s">
        <v>3893</v>
      </c>
      <c r="C525" s="301" t="s">
        <v>105</v>
      </c>
      <c r="D525" s="302" t="s">
        <v>6129</v>
      </c>
      <c r="E525" s="662" t="s">
        <v>5415</v>
      </c>
      <c r="F525" s="301" t="s">
        <v>6124</v>
      </c>
      <c r="G525" s="566">
        <v>1</v>
      </c>
      <c r="H525" s="566">
        <v>1</v>
      </c>
      <c r="I525" s="566">
        <v>4</v>
      </c>
      <c r="J525" s="581">
        <v>10</v>
      </c>
      <c r="K525" s="302">
        <f t="shared" si="41"/>
        <v>10</v>
      </c>
      <c r="L525" s="338" t="s">
        <v>111</v>
      </c>
      <c r="M525" s="216"/>
      <c r="N525" s="216"/>
      <c r="O525" s="216"/>
      <c r="P525" s="216"/>
      <c r="Q525" s="216"/>
      <c r="R525" s="216"/>
      <c r="S525" s="216"/>
      <c r="T525" s="216"/>
      <c r="U525" s="216"/>
      <c r="V525" s="216"/>
      <c r="W525" s="216"/>
      <c r="X525" s="216"/>
      <c r="Y525" s="216"/>
      <c r="Z525" s="216"/>
    </row>
    <row r="526" spans="1:26" ht="15" customHeight="1">
      <c r="A526" s="302" t="s">
        <v>3892</v>
      </c>
      <c r="B526" s="648" t="s">
        <v>3893</v>
      </c>
      <c r="C526" s="301" t="s">
        <v>105</v>
      </c>
      <c r="D526" s="302" t="s">
        <v>6130</v>
      </c>
      <c r="E526" s="662" t="s">
        <v>5420</v>
      </c>
      <c r="F526" s="301" t="s">
        <v>6124</v>
      </c>
      <c r="G526" s="566">
        <v>1</v>
      </c>
      <c r="H526" s="566">
        <v>1</v>
      </c>
      <c r="I526" s="566">
        <v>4</v>
      </c>
      <c r="J526" s="581">
        <v>10</v>
      </c>
      <c r="K526" s="302">
        <f t="shared" si="41"/>
        <v>10</v>
      </c>
      <c r="L526" s="338" t="s">
        <v>111</v>
      </c>
      <c r="M526" s="216"/>
      <c r="N526" s="216"/>
      <c r="O526" s="216"/>
      <c r="P526" s="216"/>
      <c r="Q526" s="216"/>
      <c r="R526" s="216"/>
      <c r="S526" s="216"/>
      <c r="T526" s="216"/>
      <c r="U526" s="216"/>
      <c r="V526" s="216"/>
      <c r="W526" s="216"/>
      <c r="X526" s="216"/>
      <c r="Y526" s="216"/>
      <c r="Z526" s="216"/>
    </row>
    <row r="527" spans="1:26" ht="15" customHeight="1">
      <c r="A527" s="302" t="s">
        <v>3966</v>
      </c>
      <c r="B527" s="648" t="s">
        <v>6131</v>
      </c>
      <c r="C527" s="301" t="s">
        <v>105</v>
      </c>
      <c r="D527" s="134" t="s">
        <v>6132</v>
      </c>
      <c r="E527" s="182" t="s">
        <v>6133</v>
      </c>
      <c r="F527" s="133" t="s">
        <v>6134</v>
      </c>
      <c r="G527" s="649">
        <v>6</v>
      </c>
      <c r="H527" s="649">
        <v>6</v>
      </c>
      <c r="I527" s="649">
        <v>6</v>
      </c>
      <c r="J527" s="272">
        <v>20</v>
      </c>
      <c r="K527" s="134">
        <f t="shared" si="41"/>
        <v>3.3333333333333335</v>
      </c>
      <c r="L527" s="338" t="s">
        <v>111</v>
      </c>
      <c r="M527" s="216"/>
      <c r="N527" s="216"/>
      <c r="O527" s="216"/>
      <c r="P527" s="216"/>
      <c r="Q527" s="216"/>
      <c r="R527" s="216"/>
      <c r="S527" s="216"/>
      <c r="T527" s="216"/>
      <c r="U527" s="216"/>
      <c r="V527" s="216"/>
      <c r="W527" s="216"/>
      <c r="X527" s="216"/>
      <c r="Y527" s="216"/>
      <c r="Z527" s="216"/>
    </row>
    <row r="528" spans="1:26" ht="15" customHeight="1">
      <c r="A528" s="134" t="s">
        <v>3991</v>
      </c>
      <c r="B528" s="133" t="s">
        <v>3992</v>
      </c>
      <c r="C528" s="133" t="s">
        <v>105</v>
      </c>
      <c r="D528" s="134" t="s">
        <v>6135</v>
      </c>
      <c r="E528" s="647" t="s">
        <v>6136</v>
      </c>
      <c r="F528" s="134" t="s">
        <v>6137</v>
      </c>
      <c r="G528" s="649">
        <v>1</v>
      </c>
      <c r="H528" s="649">
        <v>1</v>
      </c>
      <c r="I528" s="649">
        <v>6</v>
      </c>
      <c r="J528" s="272">
        <v>20</v>
      </c>
      <c r="K528" s="134">
        <f t="shared" si="41"/>
        <v>20</v>
      </c>
      <c r="L528" s="338" t="s">
        <v>111</v>
      </c>
      <c r="M528" s="216"/>
      <c r="N528" s="216"/>
      <c r="O528" s="216"/>
      <c r="P528" s="216"/>
      <c r="Q528" s="216"/>
      <c r="R528" s="216"/>
      <c r="S528" s="216"/>
      <c r="T528" s="216"/>
      <c r="U528" s="216"/>
      <c r="V528" s="216"/>
      <c r="W528" s="216"/>
      <c r="X528" s="216"/>
      <c r="Y528" s="216"/>
      <c r="Z528" s="216"/>
    </row>
    <row r="529" spans="1:26" ht="15" customHeight="1">
      <c r="A529" s="302" t="s">
        <v>3991</v>
      </c>
      <c r="B529" s="301" t="s">
        <v>3992</v>
      </c>
      <c r="C529" s="301" t="s">
        <v>105</v>
      </c>
      <c r="D529" s="302" t="s">
        <v>6138</v>
      </c>
      <c r="E529" s="662" t="s">
        <v>5415</v>
      </c>
      <c r="F529" s="302" t="s">
        <v>6124</v>
      </c>
      <c r="G529" s="674">
        <v>1</v>
      </c>
      <c r="H529" s="674">
        <v>1</v>
      </c>
      <c r="I529" s="674">
        <v>6</v>
      </c>
      <c r="J529" s="581">
        <v>10</v>
      </c>
      <c r="K529" s="302">
        <f t="shared" si="41"/>
        <v>10</v>
      </c>
      <c r="L529" s="338" t="s">
        <v>111</v>
      </c>
      <c r="M529" s="216"/>
      <c r="N529" s="216"/>
      <c r="O529" s="216"/>
      <c r="P529" s="216"/>
      <c r="Q529" s="216"/>
      <c r="R529" s="216"/>
      <c r="S529" s="216"/>
      <c r="T529" s="216"/>
      <c r="U529" s="216"/>
      <c r="V529" s="216"/>
      <c r="W529" s="216"/>
      <c r="X529" s="216"/>
      <c r="Y529" s="216"/>
      <c r="Z529" s="216"/>
    </row>
    <row r="530" spans="1:26" ht="15" customHeight="1">
      <c r="A530" s="302" t="s">
        <v>3991</v>
      </c>
      <c r="B530" s="301" t="s">
        <v>3992</v>
      </c>
      <c r="C530" s="301" t="s">
        <v>105</v>
      </c>
      <c r="D530" s="302" t="s">
        <v>6123</v>
      </c>
      <c r="E530" s="662" t="s">
        <v>5959</v>
      </c>
      <c r="F530" s="302" t="s">
        <v>6124</v>
      </c>
      <c r="G530" s="674">
        <v>1</v>
      </c>
      <c r="H530" s="674">
        <v>1</v>
      </c>
      <c r="I530" s="674">
        <v>6</v>
      </c>
      <c r="J530" s="581">
        <v>10</v>
      </c>
      <c r="K530" s="302">
        <f t="shared" si="41"/>
        <v>10</v>
      </c>
      <c r="L530" s="338" t="s">
        <v>111</v>
      </c>
      <c r="M530" s="216"/>
      <c r="N530" s="216"/>
      <c r="O530" s="216"/>
      <c r="P530" s="216"/>
      <c r="Q530" s="216"/>
      <c r="R530" s="216"/>
      <c r="S530" s="216"/>
      <c r="T530" s="216"/>
      <c r="U530" s="216"/>
      <c r="V530" s="216"/>
      <c r="W530" s="216"/>
      <c r="X530" s="216"/>
      <c r="Y530" s="216"/>
      <c r="Z530" s="216"/>
    </row>
    <row r="531" spans="1:26" ht="15" customHeight="1">
      <c r="A531" s="134" t="s">
        <v>4016</v>
      </c>
      <c r="B531" s="586" t="s">
        <v>6139</v>
      </c>
      <c r="C531" s="133" t="s">
        <v>105</v>
      </c>
      <c r="D531" s="134" t="s">
        <v>6140</v>
      </c>
      <c r="E531" s="647" t="s">
        <v>6141</v>
      </c>
      <c r="F531" s="134" t="s">
        <v>6142</v>
      </c>
      <c r="G531" s="649">
        <v>1</v>
      </c>
      <c r="H531" s="649">
        <v>1</v>
      </c>
      <c r="I531" s="649">
        <v>1</v>
      </c>
      <c r="J531" s="272">
        <v>20</v>
      </c>
      <c r="K531" s="134">
        <f t="shared" si="41"/>
        <v>20</v>
      </c>
      <c r="L531" s="338" t="s">
        <v>111</v>
      </c>
      <c r="M531" s="216"/>
      <c r="N531" s="216"/>
      <c r="O531" s="216"/>
      <c r="P531" s="216"/>
      <c r="Q531" s="216"/>
      <c r="R531" s="216"/>
      <c r="S531" s="216"/>
      <c r="T531" s="216"/>
      <c r="U531" s="216"/>
      <c r="V531" s="216"/>
      <c r="W531" s="216"/>
      <c r="X531" s="216"/>
      <c r="Y531" s="216"/>
      <c r="Z531" s="216"/>
    </row>
    <row r="532" spans="1:26" ht="15" customHeight="1">
      <c r="A532" s="302" t="s">
        <v>4016</v>
      </c>
      <c r="B532" s="648" t="s">
        <v>6139</v>
      </c>
      <c r="C532" s="301" t="s">
        <v>105</v>
      </c>
      <c r="D532" s="302" t="s">
        <v>6143</v>
      </c>
      <c r="E532" s="662" t="s">
        <v>5415</v>
      </c>
      <c r="F532" s="302" t="s">
        <v>6124</v>
      </c>
      <c r="G532" s="674">
        <v>1</v>
      </c>
      <c r="H532" s="674">
        <v>1</v>
      </c>
      <c r="I532" s="674">
        <v>1</v>
      </c>
      <c r="J532" s="581">
        <v>10</v>
      </c>
      <c r="K532" s="302">
        <f t="shared" si="41"/>
        <v>10</v>
      </c>
      <c r="L532" s="338" t="s">
        <v>111</v>
      </c>
      <c r="M532" s="216"/>
      <c r="N532" s="216"/>
      <c r="O532" s="216"/>
      <c r="P532" s="216"/>
      <c r="Q532" s="216"/>
      <c r="R532" s="216"/>
      <c r="S532" s="216"/>
      <c r="T532" s="216"/>
      <c r="U532" s="216"/>
      <c r="V532" s="216"/>
      <c r="W532" s="216"/>
      <c r="X532" s="216"/>
      <c r="Y532" s="216"/>
      <c r="Z532" s="216"/>
    </row>
    <row r="533" spans="1:26" ht="15" customHeight="1">
      <c r="A533" s="134" t="s">
        <v>4038</v>
      </c>
      <c r="B533" s="586" t="s">
        <v>4104</v>
      </c>
      <c r="C533" s="133" t="s">
        <v>105</v>
      </c>
      <c r="D533" s="951" t="s">
        <v>6144</v>
      </c>
      <c r="E533" s="647" t="s">
        <v>6141</v>
      </c>
      <c r="F533" s="134" t="s">
        <v>6142</v>
      </c>
      <c r="G533" s="649">
        <v>2</v>
      </c>
      <c r="H533" s="649">
        <v>2</v>
      </c>
      <c r="I533" s="649">
        <v>2</v>
      </c>
      <c r="J533" s="272">
        <v>20</v>
      </c>
      <c r="K533" s="134">
        <f t="shared" si="41"/>
        <v>10</v>
      </c>
      <c r="L533" s="338" t="s">
        <v>111</v>
      </c>
      <c r="M533" s="216"/>
      <c r="N533" s="216"/>
      <c r="O533" s="216"/>
      <c r="P533" s="216"/>
      <c r="Q533" s="216"/>
      <c r="R533" s="216"/>
      <c r="S533" s="216"/>
      <c r="T533" s="216"/>
      <c r="U533" s="216"/>
      <c r="V533" s="216"/>
      <c r="W533" s="216"/>
      <c r="X533" s="216"/>
      <c r="Y533" s="216"/>
      <c r="Z533" s="216"/>
    </row>
    <row r="534" spans="1:26" ht="15" customHeight="1">
      <c r="A534" s="302" t="s">
        <v>4038</v>
      </c>
      <c r="B534" s="648" t="s">
        <v>4104</v>
      </c>
      <c r="C534" s="301" t="s">
        <v>105</v>
      </c>
      <c r="D534" s="302" t="s">
        <v>6145</v>
      </c>
      <c r="E534" s="662" t="s">
        <v>5415</v>
      </c>
      <c r="F534" s="302" t="s">
        <v>6124</v>
      </c>
      <c r="G534" s="674">
        <v>2</v>
      </c>
      <c r="H534" s="674">
        <v>2</v>
      </c>
      <c r="I534" s="674">
        <v>2</v>
      </c>
      <c r="J534" s="581">
        <v>10</v>
      </c>
      <c r="K534" s="302">
        <f t="shared" si="41"/>
        <v>5</v>
      </c>
      <c r="L534" s="338" t="s">
        <v>111</v>
      </c>
      <c r="M534" s="216"/>
      <c r="N534" s="216"/>
      <c r="O534" s="216"/>
      <c r="P534" s="216"/>
      <c r="Q534" s="216"/>
      <c r="R534" s="216"/>
      <c r="S534" s="216"/>
      <c r="T534" s="216"/>
      <c r="U534" s="216"/>
      <c r="V534" s="216"/>
      <c r="W534" s="216"/>
      <c r="X534" s="216"/>
      <c r="Y534" s="216"/>
      <c r="Z534" s="216"/>
    </row>
    <row r="535" spans="1:26" ht="15" customHeight="1">
      <c r="A535" s="134" t="s">
        <v>4088</v>
      </c>
      <c r="B535" s="586" t="s">
        <v>4089</v>
      </c>
      <c r="C535" s="133" t="s">
        <v>105</v>
      </c>
      <c r="D535" s="134" t="s">
        <v>6146</v>
      </c>
      <c r="E535" s="182" t="s">
        <v>6147</v>
      </c>
      <c r="F535" s="133" t="s">
        <v>6115</v>
      </c>
      <c r="G535" s="141">
        <v>4</v>
      </c>
      <c r="H535" s="768">
        <v>4</v>
      </c>
      <c r="I535" s="658">
        <v>4</v>
      </c>
      <c r="J535" s="952">
        <v>10</v>
      </c>
      <c r="K535" s="134">
        <f t="shared" si="41"/>
        <v>2.5</v>
      </c>
      <c r="L535" s="338" t="s">
        <v>111</v>
      </c>
      <c r="M535" s="216"/>
      <c r="N535" s="216"/>
      <c r="O535" s="216"/>
      <c r="P535" s="216"/>
      <c r="Q535" s="216"/>
      <c r="R535" s="216"/>
      <c r="S535" s="216"/>
      <c r="T535" s="216"/>
      <c r="U535" s="216"/>
      <c r="V535" s="216"/>
      <c r="W535" s="216"/>
      <c r="X535" s="216"/>
      <c r="Y535" s="216"/>
      <c r="Z535" s="216"/>
    </row>
    <row r="536" spans="1:26" ht="15" customHeight="1">
      <c r="A536" s="302" t="s">
        <v>4088</v>
      </c>
      <c r="B536" s="648" t="s">
        <v>4089</v>
      </c>
      <c r="C536" s="301" t="s">
        <v>105</v>
      </c>
      <c r="D536" s="302" t="s">
        <v>6148</v>
      </c>
      <c r="E536" s="662" t="s">
        <v>5415</v>
      </c>
      <c r="F536" s="301" t="s">
        <v>6124</v>
      </c>
      <c r="G536" s="663">
        <v>4</v>
      </c>
      <c r="H536" s="946">
        <v>4</v>
      </c>
      <c r="I536" s="953">
        <v>4</v>
      </c>
      <c r="J536" s="954">
        <v>10</v>
      </c>
      <c r="K536" s="302">
        <f t="shared" si="41"/>
        <v>2.5</v>
      </c>
      <c r="L536" s="338" t="s">
        <v>111</v>
      </c>
      <c r="M536" s="216"/>
      <c r="N536" s="216"/>
      <c r="O536" s="216"/>
      <c r="P536" s="216"/>
      <c r="Q536" s="216"/>
      <c r="R536" s="216"/>
      <c r="S536" s="216"/>
      <c r="T536" s="216"/>
      <c r="U536" s="216"/>
      <c r="V536" s="216"/>
      <c r="W536" s="216"/>
      <c r="X536" s="216"/>
      <c r="Y536" s="216"/>
      <c r="Z536" s="216"/>
    </row>
    <row r="537" spans="1:26" ht="15" customHeight="1">
      <c r="A537" s="134" t="s">
        <v>6149</v>
      </c>
      <c r="B537" s="138" t="s">
        <v>6150</v>
      </c>
      <c r="C537" s="133" t="s">
        <v>105</v>
      </c>
      <c r="D537" s="134" t="s">
        <v>6151</v>
      </c>
      <c r="E537" s="182" t="s">
        <v>6152</v>
      </c>
      <c r="F537" s="133" t="s">
        <v>6115</v>
      </c>
      <c r="G537" s="141">
        <v>4</v>
      </c>
      <c r="H537" s="768">
        <v>4</v>
      </c>
      <c r="I537" s="658">
        <v>4</v>
      </c>
      <c r="J537" s="952">
        <v>10</v>
      </c>
      <c r="K537" s="134">
        <f t="shared" si="41"/>
        <v>2.5</v>
      </c>
      <c r="L537" s="338" t="s">
        <v>111</v>
      </c>
      <c r="M537" s="216"/>
      <c r="N537" s="216"/>
      <c r="O537" s="216"/>
      <c r="P537" s="216"/>
      <c r="Q537" s="216"/>
      <c r="R537" s="216"/>
      <c r="S537" s="216"/>
      <c r="T537" s="216"/>
      <c r="U537" s="216"/>
      <c r="V537" s="216"/>
      <c r="W537" s="216"/>
      <c r="X537" s="216"/>
      <c r="Y537" s="216"/>
      <c r="Z537" s="216"/>
    </row>
    <row r="538" spans="1:26" ht="15" customHeight="1">
      <c r="A538" s="302" t="s">
        <v>5412</v>
      </c>
      <c r="B538" s="648" t="s">
        <v>5413</v>
      </c>
      <c r="C538" s="301" t="s">
        <v>105</v>
      </c>
      <c r="D538" s="302" t="s">
        <v>6153</v>
      </c>
      <c r="E538" s="662" t="s">
        <v>5415</v>
      </c>
      <c r="F538" s="301" t="s">
        <v>6124</v>
      </c>
      <c r="G538" s="663">
        <v>3</v>
      </c>
      <c r="H538" s="946">
        <v>3</v>
      </c>
      <c r="I538" s="953">
        <v>4</v>
      </c>
      <c r="J538" s="954">
        <v>10</v>
      </c>
      <c r="K538" s="302">
        <f t="shared" si="41"/>
        <v>3.3333333333333335</v>
      </c>
      <c r="L538" s="338" t="s">
        <v>111</v>
      </c>
      <c r="M538" s="216"/>
      <c r="N538" s="216"/>
      <c r="O538" s="216"/>
      <c r="P538" s="216"/>
      <c r="Q538" s="216"/>
      <c r="R538" s="216"/>
      <c r="S538" s="216"/>
      <c r="T538" s="216"/>
      <c r="U538" s="216"/>
      <c r="V538" s="216"/>
      <c r="W538" s="216"/>
      <c r="X538" s="216"/>
      <c r="Y538" s="216"/>
      <c r="Z538" s="216"/>
    </row>
    <row r="539" spans="1:26" ht="15" customHeight="1">
      <c r="A539" s="438" t="s">
        <v>6154</v>
      </c>
      <c r="B539" s="138" t="s">
        <v>6155</v>
      </c>
      <c r="C539" s="955" t="s">
        <v>105</v>
      </c>
      <c r="D539" s="134" t="s">
        <v>6156</v>
      </c>
      <c r="E539" s="182" t="s">
        <v>6157</v>
      </c>
      <c r="F539" s="133" t="s">
        <v>6158</v>
      </c>
      <c r="G539" s="141">
        <v>5</v>
      </c>
      <c r="H539" s="768">
        <v>5</v>
      </c>
      <c r="I539" s="658">
        <v>5</v>
      </c>
      <c r="J539" s="952">
        <v>20</v>
      </c>
      <c r="K539" s="658">
        <f t="shared" si="41"/>
        <v>4</v>
      </c>
      <c r="L539" s="338" t="s">
        <v>111</v>
      </c>
      <c r="M539" s="216"/>
      <c r="N539" s="216"/>
      <c r="O539" s="216"/>
      <c r="P539" s="216"/>
      <c r="Q539" s="216"/>
      <c r="R539" s="216"/>
      <c r="S539" s="216"/>
      <c r="T539" s="216"/>
      <c r="U539" s="216"/>
      <c r="V539" s="216"/>
      <c r="W539" s="216"/>
      <c r="X539" s="216"/>
      <c r="Y539" s="216"/>
      <c r="Z539" s="216"/>
    </row>
    <row r="540" spans="1:26" ht="15" customHeight="1">
      <c r="A540" s="301" t="s">
        <v>4046</v>
      </c>
      <c r="B540" s="302" t="s">
        <v>4047</v>
      </c>
      <c r="C540" s="648" t="s">
        <v>105</v>
      </c>
      <c r="D540" s="302" t="s">
        <v>6123</v>
      </c>
      <c r="E540" s="662" t="s">
        <v>5959</v>
      </c>
      <c r="F540" s="301" t="s">
        <v>6124</v>
      </c>
      <c r="G540" s="663">
        <v>1</v>
      </c>
      <c r="H540" s="946">
        <v>1</v>
      </c>
      <c r="I540" s="953">
        <v>6</v>
      </c>
      <c r="J540" s="954">
        <v>10</v>
      </c>
      <c r="K540" s="953">
        <f t="shared" si="41"/>
        <v>10</v>
      </c>
      <c r="L540" s="338" t="s">
        <v>111</v>
      </c>
      <c r="M540" s="216"/>
      <c r="N540" s="216"/>
      <c r="O540" s="216"/>
      <c r="P540" s="216"/>
      <c r="Q540" s="216"/>
      <c r="R540" s="216"/>
      <c r="S540" s="216"/>
      <c r="T540" s="216"/>
      <c r="U540" s="216"/>
      <c r="V540" s="216"/>
      <c r="W540" s="216"/>
      <c r="X540" s="216"/>
      <c r="Y540" s="216"/>
      <c r="Z540" s="216"/>
    </row>
    <row r="541" spans="1:26" ht="15" customHeight="1">
      <c r="A541" s="302" t="s">
        <v>4108</v>
      </c>
      <c r="B541" s="648" t="s">
        <v>4109</v>
      </c>
      <c r="C541" s="301" t="s">
        <v>105</v>
      </c>
      <c r="D541" s="302" t="s">
        <v>6159</v>
      </c>
      <c r="E541" s="662" t="s">
        <v>5415</v>
      </c>
      <c r="F541" s="301" t="s">
        <v>6124</v>
      </c>
      <c r="G541" s="663">
        <v>5</v>
      </c>
      <c r="H541" s="946">
        <v>5</v>
      </c>
      <c r="I541" s="953">
        <v>5</v>
      </c>
      <c r="J541" s="954">
        <v>10</v>
      </c>
      <c r="K541" s="953">
        <f t="shared" si="41"/>
        <v>2</v>
      </c>
      <c r="L541" s="338" t="s">
        <v>111</v>
      </c>
      <c r="M541" s="216"/>
      <c r="N541" s="216"/>
      <c r="O541" s="216"/>
      <c r="P541" s="216"/>
      <c r="Q541" s="216"/>
      <c r="R541" s="216"/>
      <c r="S541" s="216"/>
      <c r="T541" s="216"/>
      <c r="U541" s="216"/>
      <c r="V541" s="216"/>
      <c r="W541" s="216"/>
      <c r="X541" s="216"/>
      <c r="Y541" s="216"/>
      <c r="Z541" s="216"/>
    </row>
    <row r="542" spans="1:26" ht="15" customHeight="1">
      <c r="A542" s="514" t="s">
        <v>5417</v>
      </c>
      <c r="B542" s="515" t="s">
        <v>6160</v>
      </c>
      <c r="C542" s="515" t="s">
        <v>105</v>
      </c>
      <c r="D542" s="956" t="s">
        <v>6161</v>
      </c>
      <c r="E542" s="576" t="s">
        <v>5420</v>
      </c>
      <c r="F542" s="301" t="s">
        <v>6124</v>
      </c>
      <c r="G542" s="663">
        <v>5</v>
      </c>
      <c r="H542" s="946">
        <v>5</v>
      </c>
      <c r="I542" s="953">
        <v>5</v>
      </c>
      <c r="J542" s="954">
        <v>10</v>
      </c>
      <c r="K542" s="953">
        <f t="shared" si="41"/>
        <v>2</v>
      </c>
      <c r="L542" s="338" t="s">
        <v>111</v>
      </c>
      <c r="M542" s="216"/>
      <c r="N542" s="216"/>
      <c r="O542" s="216"/>
      <c r="P542" s="216"/>
      <c r="Q542" s="216"/>
      <c r="R542" s="216"/>
      <c r="S542" s="216"/>
      <c r="T542" s="216"/>
      <c r="U542" s="216"/>
      <c r="V542" s="216"/>
      <c r="W542" s="216"/>
      <c r="X542" s="216"/>
      <c r="Y542" s="216"/>
      <c r="Z542" s="216"/>
    </row>
    <row r="543" spans="1:26" ht="15" customHeight="1">
      <c r="A543" s="514" t="s">
        <v>4016</v>
      </c>
      <c r="B543" s="515" t="s">
        <v>6162</v>
      </c>
      <c r="C543" s="664" t="s">
        <v>105</v>
      </c>
      <c r="D543" s="302" t="s">
        <v>6163</v>
      </c>
      <c r="E543" s="662" t="s">
        <v>5922</v>
      </c>
      <c r="F543" s="301" t="s">
        <v>6124</v>
      </c>
      <c r="G543" s="663">
        <v>1</v>
      </c>
      <c r="H543" s="946">
        <v>1</v>
      </c>
      <c r="I543" s="953">
        <v>1</v>
      </c>
      <c r="J543" s="954">
        <v>10</v>
      </c>
      <c r="K543" s="953">
        <f t="shared" si="41"/>
        <v>10</v>
      </c>
      <c r="L543" s="338" t="s">
        <v>111</v>
      </c>
      <c r="M543" s="216"/>
      <c r="N543" s="216"/>
      <c r="O543" s="216"/>
      <c r="P543" s="216"/>
      <c r="Q543" s="216"/>
      <c r="R543" s="216"/>
      <c r="S543" s="216"/>
      <c r="T543" s="216"/>
      <c r="U543" s="216"/>
      <c r="V543" s="216"/>
      <c r="W543" s="216"/>
      <c r="X543" s="216"/>
      <c r="Y543" s="216"/>
      <c r="Z543" s="216"/>
    </row>
    <row r="544" spans="1:26" ht="15" customHeight="1">
      <c r="A544" s="302" t="s">
        <v>6164</v>
      </c>
      <c r="B544" s="301" t="s">
        <v>6165</v>
      </c>
      <c r="C544" s="301" t="s">
        <v>105</v>
      </c>
      <c r="D544" s="956" t="s">
        <v>6161</v>
      </c>
      <c r="E544" s="576" t="s">
        <v>5420</v>
      </c>
      <c r="F544" s="301" t="s">
        <v>6124</v>
      </c>
      <c r="G544" s="663">
        <v>2</v>
      </c>
      <c r="H544" s="946">
        <v>2</v>
      </c>
      <c r="I544" s="953">
        <v>2</v>
      </c>
      <c r="J544" s="954">
        <v>10</v>
      </c>
      <c r="K544" s="953">
        <f t="shared" si="41"/>
        <v>5</v>
      </c>
      <c r="L544" s="338" t="s">
        <v>111</v>
      </c>
      <c r="M544" s="216"/>
      <c r="N544" s="216"/>
      <c r="O544" s="216"/>
      <c r="P544" s="216"/>
      <c r="Q544" s="216"/>
      <c r="R544" s="216"/>
      <c r="S544" s="216"/>
      <c r="T544" s="216"/>
      <c r="U544" s="216"/>
      <c r="V544" s="216"/>
      <c r="W544" s="216"/>
      <c r="X544" s="216"/>
      <c r="Y544" s="216"/>
      <c r="Z544" s="216"/>
    </row>
    <row r="545" spans="1:26" ht="15" customHeight="1">
      <c r="A545" s="514" t="s">
        <v>5423</v>
      </c>
      <c r="B545" s="515" t="s">
        <v>6166</v>
      </c>
      <c r="C545" s="515" t="s">
        <v>105</v>
      </c>
      <c r="D545" s="956" t="s">
        <v>6161</v>
      </c>
      <c r="E545" s="576" t="s">
        <v>5420</v>
      </c>
      <c r="F545" s="301" t="s">
        <v>6124</v>
      </c>
      <c r="G545" s="663">
        <v>5</v>
      </c>
      <c r="H545" s="946">
        <v>5</v>
      </c>
      <c r="I545" s="953">
        <v>5</v>
      </c>
      <c r="J545" s="954">
        <v>10</v>
      </c>
      <c r="K545" s="953">
        <f t="shared" si="41"/>
        <v>2</v>
      </c>
      <c r="L545" s="338" t="s">
        <v>111</v>
      </c>
      <c r="M545" s="216"/>
      <c r="N545" s="216"/>
      <c r="O545" s="216"/>
      <c r="P545" s="216"/>
      <c r="Q545" s="216"/>
      <c r="R545" s="216"/>
      <c r="S545" s="216"/>
      <c r="T545" s="216"/>
      <c r="U545" s="216"/>
      <c r="V545" s="216"/>
      <c r="W545" s="216"/>
      <c r="X545" s="216"/>
      <c r="Y545" s="216"/>
      <c r="Z545" s="216"/>
    </row>
    <row r="546" spans="1:26" ht="15" customHeight="1">
      <c r="A546" s="514" t="s">
        <v>6167</v>
      </c>
      <c r="B546" s="515" t="s">
        <v>6168</v>
      </c>
      <c r="C546" s="664" t="s">
        <v>105</v>
      </c>
      <c r="D546" s="302" t="s">
        <v>6169</v>
      </c>
      <c r="E546" s="662" t="s">
        <v>5922</v>
      </c>
      <c r="F546" s="301" t="s">
        <v>6124</v>
      </c>
      <c r="G546" s="663">
        <v>5</v>
      </c>
      <c r="H546" s="946">
        <v>5</v>
      </c>
      <c r="I546" s="953">
        <v>5</v>
      </c>
      <c r="J546" s="954">
        <v>10</v>
      </c>
      <c r="K546" s="953">
        <f t="shared" si="41"/>
        <v>2</v>
      </c>
      <c r="L546" s="338" t="s">
        <v>111</v>
      </c>
      <c r="M546" s="216"/>
      <c r="N546" s="216"/>
      <c r="O546" s="216"/>
      <c r="P546" s="216"/>
      <c r="Q546" s="216"/>
      <c r="R546" s="216"/>
      <c r="S546" s="216"/>
      <c r="T546" s="216"/>
      <c r="U546" s="216"/>
      <c r="V546" s="216"/>
      <c r="W546" s="216"/>
      <c r="X546" s="216"/>
      <c r="Y546" s="216"/>
      <c r="Z546" s="216"/>
    </row>
    <row r="547" spans="1:26" ht="15" customHeight="1">
      <c r="A547" s="514" t="s">
        <v>6167</v>
      </c>
      <c r="B547" s="515" t="s">
        <v>6168</v>
      </c>
      <c r="C547" s="664" t="s">
        <v>105</v>
      </c>
      <c r="D547" s="302" t="s">
        <v>6170</v>
      </c>
      <c r="E547" s="662" t="s">
        <v>5487</v>
      </c>
      <c r="F547" s="301" t="s">
        <v>6171</v>
      </c>
      <c r="G547" s="663">
        <v>5</v>
      </c>
      <c r="H547" s="946">
        <v>5</v>
      </c>
      <c r="I547" s="953">
        <v>5</v>
      </c>
      <c r="J547" s="954">
        <v>20</v>
      </c>
      <c r="K547" s="953">
        <f t="shared" si="41"/>
        <v>4</v>
      </c>
      <c r="L547" s="338" t="s">
        <v>111</v>
      </c>
      <c r="M547" s="216"/>
      <c r="N547" s="216"/>
      <c r="O547" s="216"/>
      <c r="P547" s="216"/>
      <c r="Q547" s="216"/>
      <c r="R547" s="216"/>
      <c r="S547" s="216"/>
      <c r="T547" s="216"/>
      <c r="U547" s="216"/>
      <c r="V547" s="216"/>
      <c r="W547" s="216"/>
      <c r="X547" s="216"/>
      <c r="Y547" s="216"/>
      <c r="Z547" s="216"/>
    </row>
    <row r="548" spans="1:26" ht="15" customHeight="1">
      <c r="A548" s="514" t="s">
        <v>6172</v>
      </c>
      <c r="B548" s="515" t="s">
        <v>6173</v>
      </c>
      <c r="C548" s="664" t="s">
        <v>105</v>
      </c>
      <c r="D548" s="302" t="s">
        <v>6174</v>
      </c>
      <c r="E548" s="662" t="s">
        <v>6175</v>
      </c>
      <c r="F548" s="301" t="s">
        <v>6176</v>
      </c>
      <c r="G548" s="663">
        <v>1</v>
      </c>
      <c r="H548" s="946">
        <v>5</v>
      </c>
      <c r="I548" s="953">
        <v>5</v>
      </c>
      <c r="J548" s="954">
        <v>10</v>
      </c>
      <c r="K548" s="953">
        <f t="shared" si="41"/>
        <v>10</v>
      </c>
      <c r="L548" s="338" t="s">
        <v>111</v>
      </c>
      <c r="M548" s="216"/>
      <c r="N548" s="216"/>
      <c r="O548" s="216"/>
      <c r="P548" s="216"/>
      <c r="Q548" s="216"/>
      <c r="R548" s="216"/>
      <c r="S548" s="216"/>
      <c r="T548" s="216"/>
      <c r="U548" s="216"/>
      <c r="V548" s="216"/>
      <c r="W548" s="216"/>
      <c r="X548" s="216"/>
      <c r="Y548" s="216"/>
      <c r="Z548" s="216"/>
    </row>
    <row r="549" spans="1:26" ht="15" customHeight="1">
      <c r="A549" s="514" t="s">
        <v>5432</v>
      </c>
      <c r="B549" s="515" t="s">
        <v>5433</v>
      </c>
      <c r="C549" s="515" t="s">
        <v>105</v>
      </c>
      <c r="D549" s="571" t="s">
        <v>5419</v>
      </c>
      <c r="E549" s="576" t="s">
        <v>5420</v>
      </c>
      <c r="F549" s="301" t="s">
        <v>6124</v>
      </c>
      <c r="G549" s="663">
        <v>3</v>
      </c>
      <c r="H549" s="946">
        <v>3</v>
      </c>
      <c r="I549" s="953">
        <v>3</v>
      </c>
      <c r="J549" s="954">
        <v>10</v>
      </c>
      <c r="K549" s="953">
        <f t="shared" si="41"/>
        <v>3.3333333333333335</v>
      </c>
      <c r="L549" s="338" t="s">
        <v>111</v>
      </c>
      <c r="M549" s="216"/>
      <c r="N549" s="216"/>
      <c r="O549" s="216"/>
      <c r="P549" s="216"/>
      <c r="Q549" s="216"/>
      <c r="R549" s="216"/>
      <c r="S549" s="216"/>
      <c r="T549" s="216"/>
      <c r="U549" s="216"/>
      <c r="V549" s="216"/>
      <c r="W549" s="216"/>
      <c r="X549" s="216"/>
      <c r="Y549" s="216"/>
      <c r="Z549" s="216"/>
    </row>
    <row r="550" spans="1:26" ht="15" customHeight="1">
      <c r="A550" s="514" t="s">
        <v>6177</v>
      </c>
      <c r="B550" s="515" t="s">
        <v>6178</v>
      </c>
      <c r="C550" s="664" t="s">
        <v>105</v>
      </c>
      <c r="D550" s="302" t="s">
        <v>6179</v>
      </c>
      <c r="E550" s="662" t="s">
        <v>6180</v>
      </c>
      <c r="F550" s="301" t="s">
        <v>6124</v>
      </c>
      <c r="G550" s="663">
        <v>5</v>
      </c>
      <c r="H550" s="946">
        <v>5</v>
      </c>
      <c r="I550" s="953">
        <v>5</v>
      </c>
      <c r="J550" s="954">
        <v>10</v>
      </c>
      <c r="K550" s="953">
        <f t="shared" si="41"/>
        <v>2</v>
      </c>
      <c r="L550" s="338" t="s">
        <v>111</v>
      </c>
      <c r="M550" s="216"/>
      <c r="N550" s="216"/>
      <c r="O550" s="216"/>
      <c r="P550" s="216"/>
      <c r="Q550" s="216"/>
      <c r="R550" s="216"/>
      <c r="S550" s="216"/>
      <c r="T550" s="216"/>
      <c r="U550" s="216"/>
      <c r="V550" s="216"/>
      <c r="W550" s="216"/>
      <c r="X550" s="216"/>
      <c r="Y550" s="216"/>
      <c r="Z550" s="216"/>
    </row>
    <row r="551" spans="1:26" ht="15" customHeight="1">
      <c r="A551" s="134" t="s">
        <v>3966</v>
      </c>
      <c r="B551" s="586" t="s">
        <v>6131</v>
      </c>
      <c r="C551" s="99" t="s">
        <v>105</v>
      </c>
      <c r="D551" s="134" t="s">
        <v>6181</v>
      </c>
      <c r="E551" s="182" t="s">
        <v>6133</v>
      </c>
      <c r="F551" s="99" t="s">
        <v>6134</v>
      </c>
      <c r="G551" s="394">
        <v>6</v>
      </c>
      <c r="H551" s="394">
        <v>6</v>
      </c>
      <c r="I551" s="394">
        <v>6</v>
      </c>
      <c r="J551" s="119">
        <v>20</v>
      </c>
      <c r="K551" s="666">
        <f t="shared" si="41"/>
        <v>3.3333333333333335</v>
      </c>
      <c r="L551" s="338" t="s">
        <v>112</v>
      </c>
      <c r="M551" s="216"/>
      <c r="N551" s="216"/>
      <c r="O551" s="216"/>
      <c r="P551" s="216"/>
      <c r="Q551" s="216"/>
      <c r="R551" s="216"/>
      <c r="S551" s="216"/>
      <c r="T551" s="216"/>
      <c r="U551" s="216"/>
      <c r="V551" s="216"/>
      <c r="W551" s="216"/>
      <c r="X551" s="216"/>
      <c r="Y551" s="216"/>
      <c r="Z551" s="216"/>
    </row>
    <row r="552" spans="1:26" ht="15" customHeight="1">
      <c r="A552" s="134" t="s">
        <v>5412</v>
      </c>
      <c r="B552" s="586" t="s">
        <v>5413</v>
      </c>
      <c r="C552" s="99" t="s">
        <v>105</v>
      </c>
      <c r="D552" s="134" t="s">
        <v>6182</v>
      </c>
      <c r="E552" s="182" t="s">
        <v>5415</v>
      </c>
      <c r="F552" s="99" t="s">
        <v>6124</v>
      </c>
      <c r="G552" s="116">
        <v>3</v>
      </c>
      <c r="H552" s="768">
        <v>3</v>
      </c>
      <c r="I552" s="798">
        <v>4</v>
      </c>
      <c r="J552" s="798">
        <v>10</v>
      </c>
      <c r="K552" s="666">
        <f t="shared" si="41"/>
        <v>3.3333333333333335</v>
      </c>
      <c r="L552" s="338" t="s">
        <v>112</v>
      </c>
      <c r="M552" s="216"/>
      <c r="N552" s="216"/>
      <c r="O552" s="216"/>
      <c r="P552" s="216"/>
      <c r="Q552" s="216"/>
      <c r="R552" s="216"/>
      <c r="S552" s="216"/>
      <c r="T552" s="216"/>
      <c r="U552" s="216"/>
      <c r="V552" s="216"/>
      <c r="W552" s="216"/>
      <c r="X552" s="216"/>
      <c r="Y552" s="216"/>
      <c r="Z552" s="216"/>
    </row>
    <row r="553" spans="1:26" ht="15" customHeight="1">
      <c r="A553" s="438" t="s">
        <v>6154</v>
      </c>
      <c r="B553" s="138" t="s">
        <v>6155</v>
      </c>
      <c r="C553" s="957" t="s">
        <v>105</v>
      </c>
      <c r="D553" s="134" t="s">
        <v>6183</v>
      </c>
      <c r="E553" s="182" t="s">
        <v>6157</v>
      </c>
      <c r="F553" s="99" t="s">
        <v>6158</v>
      </c>
      <c r="G553" s="116">
        <v>5</v>
      </c>
      <c r="H553" s="768">
        <v>5</v>
      </c>
      <c r="I553" s="798">
        <v>5</v>
      </c>
      <c r="J553" s="798">
        <v>20</v>
      </c>
      <c r="K553" s="666">
        <f t="shared" si="41"/>
        <v>4</v>
      </c>
      <c r="L553" s="338" t="s">
        <v>112</v>
      </c>
      <c r="M553" s="216"/>
      <c r="N553" s="216"/>
      <c r="O553" s="216"/>
      <c r="P553" s="216"/>
      <c r="Q553" s="216"/>
      <c r="R553" s="216"/>
      <c r="S553" s="216"/>
      <c r="T553" s="216"/>
      <c r="U553" s="216"/>
      <c r="V553" s="216"/>
      <c r="W553" s="216"/>
      <c r="X553" s="216"/>
      <c r="Y553" s="216"/>
      <c r="Z553" s="216"/>
    </row>
    <row r="554" spans="1:26" ht="15" customHeight="1">
      <c r="A554" s="438" t="s">
        <v>5423</v>
      </c>
      <c r="B554" s="138" t="s">
        <v>6166</v>
      </c>
      <c r="C554" s="228" t="s">
        <v>105</v>
      </c>
      <c r="D554" s="958" t="s">
        <v>6161</v>
      </c>
      <c r="E554" s="130" t="s">
        <v>5420</v>
      </c>
      <c r="F554" s="99" t="s">
        <v>6124</v>
      </c>
      <c r="G554" s="116">
        <v>5</v>
      </c>
      <c r="H554" s="768">
        <v>5</v>
      </c>
      <c r="I554" s="798">
        <v>5</v>
      </c>
      <c r="J554" s="798">
        <v>10</v>
      </c>
      <c r="K554" s="666">
        <f t="shared" si="41"/>
        <v>2</v>
      </c>
      <c r="L554" s="338" t="s">
        <v>112</v>
      </c>
      <c r="M554" s="216"/>
      <c r="N554" s="216"/>
      <c r="O554" s="216"/>
      <c r="P554" s="216"/>
      <c r="Q554" s="216"/>
      <c r="R554" s="216"/>
      <c r="S554" s="216"/>
      <c r="T554" s="216"/>
      <c r="U554" s="216"/>
      <c r="V554" s="216"/>
      <c r="W554" s="216"/>
      <c r="X554" s="216"/>
      <c r="Y554" s="216"/>
      <c r="Z554" s="216"/>
    </row>
    <row r="555" spans="1:26" ht="15" customHeight="1">
      <c r="A555" s="438" t="s">
        <v>6167</v>
      </c>
      <c r="B555" s="138" t="s">
        <v>6168</v>
      </c>
      <c r="C555" s="957" t="s">
        <v>105</v>
      </c>
      <c r="D555" s="134" t="s">
        <v>6184</v>
      </c>
      <c r="E555" s="182" t="s">
        <v>5922</v>
      </c>
      <c r="F555" s="99" t="s">
        <v>6124</v>
      </c>
      <c r="G555" s="116">
        <v>5</v>
      </c>
      <c r="H555" s="768">
        <v>5</v>
      </c>
      <c r="I555" s="798">
        <v>5</v>
      </c>
      <c r="J555" s="798">
        <v>10</v>
      </c>
      <c r="K555" s="666">
        <f t="shared" si="41"/>
        <v>2</v>
      </c>
      <c r="L555" s="338" t="s">
        <v>112</v>
      </c>
      <c r="M555" s="216"/>
      <c r="N555" s="216"/>
      <c r="O555" s="216"/>
      <c r="P555" s="216"/>
      <c r="Q555" s="216"/>
      <c r="R555" s="216"/>
      <c r="S555" s="216"/>
      <c r="T555" s="216"/>
      <c r="U555" s="216"/>
      <c r="V555" s="216"/>
      <c r="W555" s="216"/>
      <c r="X555" s="216"/>
      <c r="Y555" s="216"/>
      <c r="Z555" s="216"/>
    </row>
    <row r="556" spans="1:26" ht="15" customHeight="1">
      <c r="A556" s="438" t="s">
        <v>6167</v>
      </c>
      <c r="B556" s="138" t="s">
        <v>6168</v>
      </c>
      <c r="C556" s="957" t="s">
        <v>105</v>
      </c>
      <c r="D556" s="134" t="s">
        <v>6185</v>
      </c>
      <c r="E556" s="182" t="s">
        <v>5487</v>
      </c>
      <c r="F556" s="99" t="s">
        <v>6186</v>
      </c>
      <c r="G556" s="116">
        <v>5</v>
      </c>
      <c r="H556" s="768">
        <v>5</v>
      </c>
      <c r="I556" s="798">
        <v>5</v>
      </c>
      <c r="J556" s="798">
        <v>20</v>
      </c>
      <c r="K556" s="666">
        <f t="shared" si="41"/>
        <v>4</v>
      </c>
      <c r="L556" s="338" t="s">
        <v>112</v>
      </c>
      <c r="M556" s="216"/>
      <c r="N556" s="216"/>
      <c r="O556" s="216"/>
      <c r="P556" s="216"/>
      <c r="Q556" s="216"/>
      <c r="R556" s="216"/>
      <c r="S556" s="216"/>
      <c r="T556" s="216"/>
      <c r="U556" s="216"/>
      <c r="V556" s="216"/>
      <c r="W556" s="216"/>
      <c r="X556" s="216"/>
      <c r="Y556" s="216"/>
      <c r="Z556" s="216"/>
    </row>
    <row r="557" spans="1:26" ht="15" customHeight="1">
      <c r="A557" s="134" t="s">
        <v>3591</v>
      </c>
      <c r="B557" s="134" t="s">
        <v>3592</v>
      </c>
      <c r="C557" s="133" t="s">
        <v>105</v>
      </c>
      <c r="D557" s="131" t="s">
        <v>5957</v>
      </c>
      <c r="E557" s="142" t="s">
        <v>5415</v>
      </c>
      <c r="F557" s="131" t="s">
        <v>5886</v>
      </c>
      <c r="G557" s="796">
        <v>7</v>
      </c>
      <c r="H557" s="797">
        <v>7</v>
      </c>
      <c r="I557" s="798">
        <v>7</v>
      </c>
      <c r="J557" s="798">
        <v>10</v>
      </c>
      <c r="K557" s="881">
        <f t="shared" ref="K557:K559" si="42">J557/I557</f>
        <v>1.4285714285714286</v>
      </c>
      <c r="L557" s="338" t="s">
        <v>113</v>
      </c>
      <c r="M557" s="216"/>
      <c r="N557" s="216"/>
      <c r="O557" s="216"/>
      <c r="P557" s="216"/>
      <c r="Q557" s="216"/>
      <c r="R557" s="216"/>
      <c r="S557" s="216"/>
      <c r="T557" s="216"/>
      <c r="U557" s="216"/>
      <c r="V557" s="216"/>
      <c r="W557" s="216"/>
      <c r="X557" s="216"/>
      <c r="Y557" s="216"/>
      <c r="Z557" s="216"/>
    </row>
    <row r="558" spans="1:26" ht="15" customHeight="1">
      <c r="A558" s="134" t="s">
        <v>3591</v>
      </c>
      <c r="B558" s="134" t="s">
        <v>3592</v>
      </c>
      <c r="C558" s="133" t="s">
        <v>105</v>
      </c>
      <c r="D558" s="133" t="s">
        <v>5958</v>
      </c>
      <c r="E558" s="130" t="s">
        <v>5959</v>
      </c>
      <c r="F558" s="133" t="s">
        <v>5886</v>
      </c>
      <c r="G558" s="796">
        <v>7</v>
      </c>
      <c r="H558" s="797">
        <v>7</v>
      </c>
      <c r="I558" s="798">
        <v>7</v>
      </c>
      <c r="J558" s="798">
        <v>10</v>
      </c>
      <c r="K558" s="881">
        <f t="shared" si="42"/>
        <v>1.4285714285714286</v>
      </c>
      <c r="L558" s="338" t="s">
        <v>113</v>
      </c>
      <c r="M558" s="216"/>
      <c r="N558" s="216"/>
      <c r="O558" s="216"/>
      <c r="P558" s="216"/>
      <c r="Q558" s="216"/>
      <c r="R558" s="216"/>
      <c r="S558" s="216"/>
      <c r="T558" s="216"/>
      <c r="U558" s="216"/>
      <c r="V558" s="216"/>
      <c r="W558" s="216"/>
      <c r="X558" s="216"/>
      <c r="Y558" s="216"/>
      <c r="Z558" s="216"/>
    </row>
    <row r="559" spans="1:26" ht="15" customHeight="1">
      <c r="A559" s="134" t="s">
        <v>3591</v>
      </c>
      <c r="B559" s="134" t="s">
        <v>3592</v>
      </c>
      <c r="C559" s="133" t="s">
        <v>105</v>
      </c>
      <c r="D559" s="133" t="s">
        <v>5960</v>
      </c>
      <c r="E559" s="130" t="s">
        <v>5961</v>
      </c>
      <c r="F559" s="133" t="s">
        <v>5962</v>
      </c>
      <c r="G559" s="796">
        <v>7</v>
      </c>
      <c r="H559" s="797">
        <v>7</v>
      </c>
      <c r="I559" s="798">
        <v>7</v>
      </c>
      <c r="J559" s="798">
        <v>20</v>
      </c>
      <c r="K559" s="881">
        <f t="shared" si="42"/>
        <v>2.8571428571428572</v>
      </c>
      <c r="L559" s="338" t="s">
        <v>113</v>
      </c>
      <c r="M559" s="216"/>
      <c r="N559" s="216"/>
      <c r="O559" s="216"/>
      <c r="P559" s="216"/>
      <c r="Q559" s="216"/>
      <c r="R559" s="216"/>
      <c r="S559" s="216"/>
      <c r="T559" s="216"/>
      <c r="U559" s="216"/>
      <c r="V559" s="216"/>
      <c r="W559" s="216"/>
      <c r="X559" s="216"/>
      <c r="Y559" s="216"/>
      <c r="Z559" s="216"/>
    </row>
    <row r="560" spans="1:26" ht="15" customHeight="1">
      <c r="A560" s="256" t="s">
        <v>5985</v>
      </c>
      <c r="B560" s="256" t="s">
        <v>5986</v>
      </c>
      <c r="C560" s="469" t="s">
        <v>105</v>
      </c>
      <c r="D560" s="256" t="s">
        <v>5987</v>
      </c>
      <c r="E560" s="371" t="s">
        <v>5988</v>
      </c>
      <c r="F560" s="424" t="s">
        <v>5886</v>
      </c>
      <c r="G560" s="177">
        <v>5</v>
      </c>
      <c r="H560" s="177">
        <v>4</v>
      </c>
      <c r="I560" s="177">
        <v>4</v>
      </c>
      <c r="J560" s="467">
        <v>20</v>
      </c>
      <c r="K560" s="959">
        <f>J560/H560</f>
        <v>5</v>
      </c>
      <c r="L560" s="338" t="s">
        <v>113</v>
      </c>
      <c r="M560" s="216"/>
      <c r="N560" s="216"/>
      <c r="O560" s="216"/>
      <c r="P560" s="216"/>
      <c r="Q560" s="216"/>
      <c r="R560" s="216"/>
      <c r="S560" s="216"/>
      <c r="T560" s="216"/>
      <c r="U560" s="216"/>
      <c r="V560" s="216"/>
      <c r="W560" s="216"/>
      <c r="X560" s="216"/>
      <c r="Y560" s="216"/>
      <c r="Z560" s="216"/>
    </row>
    <row r="561" spans="1:26" ht="15" customHeight="1">
      <c r="A561" s="134" t="s">
        <v>4160</v>
      </c>
      <c r="B561" s="134" t="s">
        <v>1842</v>
      </c>
      <c r="C561" s="469" t="s">
        <v>105</v>
      </c>
      <c r="D561" s="134" t="s">
        <v>6187</v>
      </c>
      <c r="E561" s="382" t="s">
        <v>6188</v>
      </c>
      <c r="F561" s="238" t="s">
        <v>4585</v>
      </c>
      <c r="G561" s="99">
        <v>6</v>
      </c>
      <c r="H561" s="99">
        <v>6</v>
      </c>
      <c r="I561" s="99">
        <v>6</v>
      </c>
      <c r="J561" s="385">
        <v>20</v>
      </c>
      <c r="K561" s="960">
        <f t="shared" ref="K561:K584" si="43">J561/I561</f>
        <v>3.3333333333333335</v>
      </c>
      <c r="L561" s="338" t="s">
        <v>113</v>
      </c>
      <c r="M561" s="216"/>
      <c r="N561" s="216"/>
      <c r="O561" s="216"/>
      <c r="P561" s="216"/>
      <c r="Q561" s="216"/>
      <c r="R561" s="216"/>
      <c r="S561" s="216"/>
      <c r="T561" s="216"/>
      <c r="U561" s="216"/>
      <c r="V561" s="216"/>
      <c r="W561" s="216"/>
      <c r="X561" s="216"/>
      <c r="Y561" s="216"/>
      <c r="Z561" s="216"/>
    </row>
    <row r="562" spans="1:26" ht="15" customHeight="1">
      <c r="A562" s="134" t="s">
        <v>3661</v>
      </c>
      <c r="B562" s="91" t="s">
        <v>3649</v>
      </c>
      <c r="C562" s="133" t="s">
        <v>105</v>
      </c>
      <c r="D562" s="134" t="s">
        <v>5994</v>
      </c>
      <c r="E562" s="382" t="s">
        <v>5995</v>
      </c>
      <c r="F562" s="238" t="s">
        <v>5996</v>
      </c>
      <c r="G562" s="99">
        <v>3</v>
      </c>
      <c r="H562" s="99">
        <v>3</v>
      </c>
      <c r="I562" s="99">
        <v>3</v>
      </c>
      <c r="J562" s="385">
        <v>10</v>
      </c>
      <c r="K562" s="960">
        <f t="shared" si="43"/>
        <v>3.3333333333333335</v>
      </c>
      <c r="L562" s="338" t="s">
        <v>113</v>
      </c>
      <c r="M562" s="216"/>
      <c r="N562" s="216"/>
      <c r="O562" s="216"/>
      <c r="P562" s="216"/>
      <c r="Q562" s="216"/>
      <c r="R562" s="216"/>
      <c r="S562" s="216"/>
      <c r="T562" s="216"/>
      <c r="U562" s="216"/>
      <c r="V562" s="216"/>
      <c r="W562" s="216"/>
      <c r="X562" s="216"/>
      <c r="Y562" s="216"/>
      <c r="Z562" s="216"/>
    </row>
    <row r="563" spans="1:26" ht="15" customHeight="1">
      <c r="A563" s="134" t="s">
        <v>3661</v>
      </c>
      <c r="B563" s="91" t="s">
        <v>3649</v>
      </c>
      <c r="C563" s="133" t="s">
        <v>105</v>
      </c>
      <c r="D563" s="134" t="s">
        <v>5989</v>
      </c>
      <c r="E563" s="382" t="s">
        <v>5990</v>
      </c>
      <c r="F563" s="238"/>
      <c r="G563" s="99">
        <v>3</v>
      </c>
      <c r="H563" s="99">
        <v>3</v>
      </c>
      <c r="I563" s="99">
        <v>3</v>
      </c>
      <c r="J563" s="385">
        <v>10</v>
      </c>
      <c r="K563" s="960">
        <f t="shared" si="43"/>
        <v>3.3333333333333335</v>
      </c>
      <c r="L563" s="338" t="s">
        <v>113</v>
      </c>
      <c r="M563" s="216"/>
      <c r="N563" s="216"/>
      <c r="O563" s="216"/>
      <c r="P563" s="216"/>
      <c r="Q563" s="216"/>
      <c r="R563" s="216"/>
      <c r="S563" s="216"/>
      <c r="T563" s="216"/>
      <c r="U563" s="216"/>
      <c r="V563" s="216"/>
      <c r="W563" s="216"/>
      <c r="X563" s="216"/>
      <c r="Y563" s="216"/>
      <c r="Z563" s="216"/>
    </row>
    <row r="564" spans="1:26" ht="15" customHeight="1">
      <c r="A564" s="256" t="s">
        <v>3661</v>
      </c>
      <c r="B564" s="254" t="s">
        <v>3649</v>
      </c>
      <c r="C564" s="469" t="s">
        <v>105</v>
      </c>
      <c r="D564" s="134" t="s">
        <v>5991</v>
      </c>
      <c r="E564" s="382" t="s">
        <v>5992</v>
      </c>
      <c r="F564" s="238" t="s">
        <v>5993</v>
      </c>
      <c r="G564" s="99">
        <v>3</v>
      </c>
      <c r="H564" s="99">
        <v>3</v>
      </c>
      <c r="I564" s="99">
        <v>3</v>
      </c>
      <c r="J564" s="385">
        <v>20</v>
      </c>
      <c r="K564" s="960">
        <f t="shared" si="43"/>
        <v>6.666666666666667</v>
      </c>
      <c r="L564" s="338" t="s">
        <v>113</v>
      </c>
      <c r="M564" s="216"/>
      <c r="N564" s="216"/>
      <c r="O564" s="216"/>
      <c r="P564" s="216"/>
      <c r="Q564" s="216"/>
      <c r="R564" s="216"/>
      <c r="S564" s="216"/>
      <c r="T564" s="216"/>
      <c r="U564" s="216"/>
      <c r="V564" s="216"/>
      <c r="W564" s="216"/>
      <c r="X564" s="216"/>
      <c r="Y564" s="216"/>
      <c r="Z564" s="216"/>
    </row>
    <row r="565" spans="1:26" ht="15" customHeight="1">
      <c r="A565" s="256" t="s">
        <v>3661</v>
      </c>
      <c r="B565" s="254" t="s">
        <v>3649</v>
      </c>
      <c r="C565" s="469" t="s">
        <v>105</v>
      </c>
      <c r="D565" s="583" t="s">
        <v>5957</v>
      </c>
      <c r="E565" s="961" t="s">
        <v>5415</v>
      </c>
      <c r="F565" s="238" t="s">
        <v>5886</v>
      </c>
      <c r="G565" s="99">
        <v>3</v>
      </c>
      <c r="H565" s="99">
        <v>3</v>
      </c>
      <c r="I565" s="99">
        <v>3</v>
      </c>
      <c r="J565" s="385">
        <v>10</v>
      </c>
      <c r="K565" s="960">
        <f t="shared" si="43"/>
        <v>3.3333333333333335</v>
      </c>
      <c r="L565" s="338" t="s">
        <v>113</v>
      </c>
      <c r="M565" s="216"/>
      <c r="N565" s="216"/>
      <c r="O565" s="216"/>
      <c r="P565" s="216"/>
      <c r="Q565" s="216"/>
      <c r="R565" s="216"/>
      <c r="S565" s="216"/>
      <c r="T565" s="216"/>
      <c r="U565" s="216"/>
      <c r="V565" s="216"/>
      <c r="W565" s="216"/>
      <c r="X565" s="216"/>
      <c r="Y565" s="216"/>
      <c r="Z565" s="216"/>
    </row>
    <row r="566" spans="1:26" ht="15" customHeight="1">
      <c r="A566" s="134" t="s">
        <v>3621</v>
      </c>
      <c r="B566" s="134" t="s">
        <v>3622</v>
      </c>
      <c r="C566" s="99" t="s">
        <v>105</v>
      </c>
      <c r="D566" s="131" t="s">
        <v>5977</v>
      </c>
      <c r="E566" s="142" t="s">
        <v>5978</v>
      </c>
      <c r="F566" s="238" t="s">
        <v>4585</v>
      </c>
      <c r="G566" s="99">
        <v>4</v>
      </c>
      <c r="H566" s="99">
        <v>4</v>
      </c>
      <c r="I566" s="99">
        <v>4</v>
      </c>
      <c r="J566" s="385">
        <v>20</v>
      </c>
      <c r="K566" s="960">
        <f t="shared" si="43"/>
        <v>5</v>
      </c>
      <c r="L566" s="338" t="s">
        <v>113</v>
      </c>
      <c r="M566" s="216"/>
      <c r="N566" s="216"/>
      <c r="O566" s="216"/>
      <c r="P566" s="216"/>
      <c r="Q566" s="216"/>
      <c r="R566" s="216"/>
      <c r="S566" s="216"/>
      <c r="T566" s="216"/>
      <c r="U566" s="216"/>
      <c r="V566" s="216"/>
      <c r="W566" s="216"/>
      <c r="X566" s="216"/>
      <c r="Y566" s="216"/>
      <c r="Z566" s="216"/>
    </row>
    <row r="567" spans="1:26" ht="15" customHeight="1">
      <c r="A567" s="134" t="s">
        <v>3621</v>
      </c>
      <c r="B567" s="134" t="s">
        <v>3622</v>
      </c>
      <c r="C567" s="99" t="s">
        <v>105</v>
      </c>
      <c r="D567" s="131" t="s">
        <v>5979</v>
      </c>
      <c r="E567" s="142" t="s">
        <v>5980</v>
      </c>
      <c r="F567" s="238" t="s">
        <v>4585</v>
      </c>
      <c r="G567" s="99">
        <v>4</v>
      </c>
      <c r="H567" s="99">
        <v>4</v>
      </c>
      <c r="I567" s="99">
        <v>4</v>
      </c>
      <c r="J567" s="385">
        <v>20</v>
      </c>
      <c r="K567" s="960">
        <f t="shared" si="43"/>
        <v>5</v>
      </c>
      <c r="L567" s="338" t="s">
        <v>113</v>
      </c>
      <c r="M567" s="216"/>
      <c r="N567" s="216"/>
      <c r="O567" s="216"/>
      <c r="P567" s="216"/>
      <c r="Q567" s="216"/>
      <c r="R567" s="216"/>
      <c r="S567" s="216"/>
      <c r="T567" s="216"/>
      <c r="U567" s="216"/>
      <c r="V567" s="216"/>
      <c r="W567" s="216"/>
      <c r="X567" s="216"/>
      <c r="Y567" s="216"/>
      <c r="Z567" s="216"/>
    </row>
    <row r="568" spans="1:26" ht="15" customHeight="1">
      <c r="A568" s="134" t="s">
        <v>3621</v>
      </c>
      <c r="B568" s="134" t="s">
        <v>3622</v>
      </c>
      <c r="C568" s="99" t="s">
        <v>105</v>
      </c>
      <c r="D568" s="131" t="s">
        <v>5974</v>
      </c>
      <c r="E568" s="142" t="s">
        <v>5975</v>
      </c>
      <c r="F568" s="238" t="s">
        <v>5976</v>
      </c>
      <c r="G568" s="99">
        <v>4</v>
      </c>
      <c r="H568" s="99">
        <v>4</v>
      </c>
      <c r="I568" s="99">
        <v>4</v>
      </c>
      <c r="J568" s="385">
        <v>20</v>
      </c>
      <c r="K568" s="960">
        <f t="shared" si="43"/>
        <v>5</v>
      </c>
      <c r="L568" s="338" t="s">
        <v>113</v>
      </c>
      <c r="M568" s="216"/>
      <c r="N568" s="216"/>
      <c r="O568" s="216"/>
      <c r="P568" s="216"/>
      <c r="Q568" s="216"/>
      <c r="R568" s="216"/>
      <c r="S568" s="216"/>
      <c r="T568" s="216"/>
      <c r="U568" s="216"/>
      <c r="V568" s="216"/>
      <c r="W568" s="216"/>
      <c r="X568" s="216"/>
      <c r="Y568" s="216"/>
      <c r="Z568" s="216"/>
    </row>
    <row r="569" spans="1:26" ht="15" customHeight="1">
      <c r="A569" s="134" t="s">
        <v>3621</v>
      </c>
      <c r="B569" s="134" t="s">
        <v>3622</v>
      </c>
      <c r="C569" s="99" t="s">
        <v>105</v>
      </c>
      <c r="D569" s="131" t="s">
        <v>6098</v>
      </c>
      <c r="E569" s="142" t="s">
        <v>5973</v>
      </c>
      <c r="F569" s="238" t="s">
        <v>5698</v>
      </c>
      <c r="G569" s="99">
        <v>4</v>
      </c>
      <c r="H569" s="99">
        <v>4</v>
      </c>
      <c r="I569" s="99">
        <v>4</v>
      </c>
      <c r="J569" s="385">
        <v>20</v>
      </c>
      <c r="K569" s="960">
        <f t="shared" si="43"/>
        <v>5</v>
      </c>
      <c r="L569" s="338" t="s">
        <v>113</v>
      </c>
      <c r="M569" s="216"/>
      <c r="N569" s="216"/>
      <c r="O569" s="216"/>
      <c r="P569" s="216"/>
      <c r="Q569" s="216"/>
      <c r="R569" s="216"/>
      <c r="S569" s="216"/>
      <c r="T569" s="216"/>
      <c r="U569" s="216"/>
      <c r="V569" s="216"/>
      <c r="W569" s="216"/>
      <c r="X569" s="216"/>
      <c r="Y569" s="216"/>
      <c r="Z569" s="216"/>
    </row>
    <row r="570" spans="1:26" ht="15" customHeight="1">
      <c r="A570" s="134" t="s">
        <v>3621</v>
      </c>
      <c r="B570" s="134" t="s">
        <v>3622</v>
      </c>
      <c r="C570" s="99" t="s">
        <v>105</v>
      </c>
      <c r="D570" s="131" t="s">
        <v>5981</v>
      </c>
      <c r="E570" s="142" t="s">
        <v>5982</v>
      </c>
      <c r="F570" s="238" t="s">
        <v>5886</v>
      </c>
      <c r="G570" s="99">
        <v>4</v>
      </c>
      <c r="H570" s="99">
        <v>4</v>
      </c>
      <c r="I570" s="99">
        <v>4</v>
      </c>
      <c r="J570" s="385">
        <v>10</v>
      </c>
      <c r="K570" s="960">
        <f t="shared" si="43"/>
        <v>2.5</v>
      </c>
      <c r="L570" s="338" t="s">
        <v>113</v>
      </c>
      <c r="M570" s="216"/>
      <c r="N570" s="216"/>
      <c r="O570" s="216"/>
      <c r="P570" s="216"/>
      <c r="Q570" s="216"/>
      <c r="R570" s="216"/>
      <c r="S570" s="216"/>
      <c r="T570" s="216"/>
      <c r="U570" s="216"/>
      <c r="V570" s="216"/>
      <c r="W570" s="216"/>
      <c r="X570" s="216"/>
      <c r="Y570" s="216"/>
      <c r="Z570" s="216"/>
    </row>
    <row r="571" spans="1:26" ht="15" customHeight="1">
      <c r="A571" s="134" t="s">
        <v>3629</v>
      </c>
      <c r="B571" s="134" t="s">
        <v>3630</v>
      </c>
      <c r="C571" s="216"/>
      <c r="D571" s="131" t="s">
        <v>5983</v>
      </c>
      <c r="E571" s="142" t="s">
        <v>5984</v>
      </c>
      <c r="F571" s="238" t="s">
        <v>4585</v>
      </c>
      <c r="G571" s="99">
        <v>3</v>
      </c>
      <c r="H571" s="99">
        <v>3</v>
      </c>
      <c r="I571" s="99">
        <v>3</v>
      </c>
      <c r="J571" s="385">
        <v>20</v>
      </c>
      <c r="K571" s="960">
        <f t="shared" si="43"/>
        <v>6.666666666666667</v>
      </c>
      <c r="L571" s="338" t="s">
        <v>113</v>
      </c>
      <c r="M571" s="216"/>
      <c r="N571" s="216"/>
      <c r="O571" s="216"/>
      <c r="P571" s="216"/>
      <c r="Q571" s="216"/>
      <c r="R571" s="216"/>
      <c r="S571" s="216"/>
      <c r="T571" s="216"/>
      <c r="U571" s="216"/>
      <c r="V571" s="216"/>
      <c r="W571" s="216"/>
      <c r="X571" s="216"/>
      <c r="Y571" s="216"/>
      <c r="Z571" s="216"/>
    </row>
    <row r="572" spans="1:26" ht="15" customHeight="1">
      <c r="A572" s="134" t="s">
        <v>6189</v>
      </c>
      <c r="B572" s="134" t="s">
        <v>6008</v>
      </c>
      <c r="C572" s="99" t="s">
        <v>105</v>
      </c>
      <c r="D572" s="131" t="s">
        <v>6009</v>
      </c>
      <c r="E572" s="142" t="s">
        <v>6010</v>
      </c>
      <c r="F572" s="238" t="s">
        <v>4585</v>
      </c>
      <c r="G572" s="99">
        <v>4</v>
      </c>
      <c r="H572" s="99">
        <v>4</v>
      </c>
      <c r="I572" s="99">
        <v>4</v>
      </c>
      <c r="J572" s="385">
        <v>20</v>
      </c>
      <c r="K572" s="960">
        <f t="shared" si="43"/>
        <v>5</v>
      </c>
      <c r="L572" s="338" t="s">
        <v>113</v>
      </c>
      <c r="M572" s="216"/>
      <c r="N572" s="216"/>
      <c r="O572" s="216"/>
      <c r="P572" s="216"/>
      <c r="Q572" s="216"/>
      <c r="R572" s="216"/>
      <c r="S572" s="216"/>
      <c r="T572" s="216"/>
      <c r="U572" s="216"/>
      <c r="V572" s="216"/>
      <c r="W572" s="216"/>
      <c r="X572" s="216"/>
      <c r="Y572" s="216"/>
      <c r="Z572" s="216"/>
    </row>
    <row r="573" spans="1:26" ht="15" customHeight="1">
      <c r="A573" s="134" t="s">
        <v>6012</v>
      </c>
      <c r="B573" s="134" t="s">
        <v>3639</v>
      </c>
      <c r="C573" s="99" t="s">
        <v>105</v>
      </c>
      <c r="D573" s="134" t="s">
        <v>6013</v>
      </c>
      <c r="E573" s="142" t="s">
        <v>6014</v>
      </c>
      <c r="F573" s="238" t="s">
        <v>4585</v>
      </c>
      <c r="G573" s="99">
        <v>3</v>
      </c>
      <c r="H573" s="99">
        <v>3</v>
      </c>
      <c r="I573" s="99">
        <v>3</v>
      </c>
      <c r="J573" s="385">
        <v>20</v>
      </c>
      <c r="K573" s="960">
        <f t="shared" si="43"/>
        <v>6.666666666666667</v>
      </c>
      <c r="L573" s="338" t="s">
        <v>113</v>
      </c>
      <c r="M573" s="216"/>
      <c r="N573" s="216"/>
      <c r="O573" s="216"/>
      <c r="P573" s="216"/>
      <c r="Q573" s="216"/>
      <c r="R573" s="216"/>
      <c r="S573" s="216"/>
      <c r="T573" s="216"/>
      <c r="U573" s="216"/>
      <c r="V573" s="216"/>
      <c r="W573" s="216"/>
      <c r="X573" s="216"/>
      <c r="Y573" s="216"/>
      <c r="Z573" s="216"/>
    </row>
    <row r="574" spans="1:26" ht="15" customHeight="1">
      <c r="A574" s="256" t="s">
        <v>3839</v>
      </c>
      <c r="B574" s="256" t="s">
        <v>3840</v>
      </c>
      <c r="C574" s="177" t="s">
        <v>105</v>
      </c>
      <c r="D574" s="583" t="s">
        <v>5957</v>
      </c>
      <c r="E574" s="961" t="s">
        <v>5415</v>
      </c>
      <c r="F574" s="583" t="s">
        <v>5886</v>
      </c>
      <c r="G574" s="177">
        <v>4</v>
      </c>
      <c r="H574" s="177">
        <v>3</v>
      </c>
      <c r="I574" s="177">
        <v>4</v>
      </c>
      <c r="J574" s="467">
        <v>10</v>
      </c>
      <c r="K574" s="959">
        <f t="shared" si="43"/>
        <v>2.5</v>
      </c>
      <c r="L574" s="338" t="s">
        <v>113</v>
      </c>
      <c r="M574" s="216"/>
      <c r="N574" s="216"/>
      <c r="O574" s="216"/>
      <c r="P574" s="216"/>
      <c r="Q574" s="216"/>
      <c r="R574" s="216"/>
      <c r="S574" s="216"/>
      <c r="T574" s="216"/>
      <c r="U574" s="216"/>
      <c r="V574" s="216"/>
      <c r="W574" s="216"/>
      <c r="X574" s="216"/>
      <c r="Y574" s="216"/>
      <c r="Z574" s="216"/>
    </row>
    <row r="575" spans="1:26" ht="15" customHeight="1">
      <c r="A575" s="658" t="s">
        <v>5997</v>
      </c>
      <c r="B575" s="658" t="s">
        <v>5998</v>
      </c>
      <c r="C575" s="99" t="s">
        <v>105</v>
      </c>
      <c r="D575" s="131" t="s">
        <v>5957</v>
      </c>
      <c r="E575" s="142" t="s">
        <v>5415</v>
      </c>
      <c r="F575" s="131" t="s">
        <v>5886</v>
      </c>
      <c r="G575" s="99">
        <v>5</v>
      </c>
      <c r="H575" s="99">
        <v>5</v>
      </c>
      <c r="I575" s="99">
        <v>5</v>
      </c>
      <c r="J575" s="385">
        <v>10</v>
      </c>
      <c r="K575" s="960">
        <f t="shared" si="43"/>
        <v>2</v>
      </c>
      <c r="L575" s="338" t="s">
        <v>113</v>
      </c>
      <c r="M575" s="216"/>
      <c r="N575" s="216"/>
      <c r="O575" s="216"/>
      <c r="P575" s="216"/>
      <c r="Q575" s="216"/>
      <c r="R575" s="216"/>
      <c r="S575" s="216"/>
      <c r="T575" s="216"/>
      <c r="U575" s="216"/>
      <c r="V575" s="216"/>
      <c r="W575" s="216"/>
      <c r="X575" s="216"/>
      <c r="Y575" s="216"/>
      <c r="Z575" s="216"/>
    </row>
    <row r="576" spans="1:26" ht="15" customHeight="1">
      <c r="A576" s="551" t="s">
        <v>6003</v>
      </c>
      <c r="B576" s="962" t="s">
        <v>6004</v>
      </c>
      <c r="C576" s="99" t="s">
        <v>105</v>
      </c>
      <c r="D576" s="284" t="s">
        <v>6005</v>
      </c>
      <c r="E576" s="963" t="s">
        <v>6006</v>
      </c>
      <c r="F576" s="285" t="s">
        <v>5886</v>
      </c>
      <c r="G576" s="187">
        <v>4</v>
      </c>
      <c r="H576" s="187">
        <v>4</v>
      </c>
      <c r="I576" s="187">
        <v>4</v>
      </c>
      <c r="J576" s="434">
        <v>10</v>
      </c>
      <c r="K576" s="964">
        <f t="shared" si="43"/>
        <v>2.5</v>
      </c>
      <c r="L576" s="338" t="s">
        <v>113</v>
      </c>
      <c r="M576" s="216"/>
      <c r="N576" s="216"/>
      <c r="O576" s="216"/>
      <c r="P576" s="216"/>
      <c r="Q576" s="216"/>
      <c r="R576" s="216"/>
      <c r="S576" s="216"/>
      <c r="T576" s="216"/>
      <c r="U576" s="216"/>
      <c r="V576" s="216"/>
      <c r="W576" s="216"/>
      <c r="X576" s="216"/>
      <c r="Y576" s="216"/>
      <c r="Z576" s="216"/>
    </row>
    <row r="577" spans="1:26" ht="15" customHeight="1">
      <c r="A577" s="134" t="s">
        <v>6027</v>
      </c>
      <c r="B577" s="91" t="s">
        <v>6028</v>
      </c>
      <c r="C577" s="99" t="s">
        <v>105</v>
      </c>
      <c r="D577" s="134" t="s">
        <v>6029</v>
      </c>
      <c r="E577" s="382" t="s">
        <v>6030</v>
      </c>
      <c r="F577" s="238" t="s">
        <v>4585</v>
      </c>
      <c r="G577" s="99">
        <v>6</v>
      </c>
      <c r="H577" s="99">
        <v>6</v>
      </c>
      <c r="I577" s="99">
        <v>6</v>
      </c>
      <c r="J577" s="385">
        <v>20</v>
      </c>
      <c r="K577" s="960">
        <f t="shared" si="43"/>
        <v>3.3333333333333335</v>
      </c>
      <c r="L577" s="338" t="s">
        <v>113</v>
      </c>
      <c r="M577" s="216"/>
      <c r="N577" s="216"/>
      <c r="O577" s="216"/>
      <c r="P577" s="216"/>
      <c r="Q577" s="216"/>
      <c r="R577" s="216"/>
      <c r="S577" s="216"/>
      <c r="T577" s="216"/>
      <c r="U577" s="216"/>
      <c r="V577" s="216"/>
      <c r="W577" s="216"/>
      <c r="X577" s="216"/>
      <c r="Y577" s="216"/>
      <c r="Z577" s="216"/>
    </row>
    <row r="578" spans="1:26" ht="15" customHeight="1">
      <c r="A578" s="256" t="s">
        <v>3701</v>
      </c>
      <c r="B578" s="134" t="s">
        <v>3702</v>
      </c>
      <c r="C578" s="99" t="s">
        <v>105</v>
      </c>
      <c r="D578" s="131" t="s">
        <v>5957</v>
      </c>
      <c r="E578" s="142" t="s">
        <v>5415</v>
      </c>
      <c r="F578" s="131" t="s">
        <v>5886</v>
      </c>
      <c r="G578" s="99">
        <v>5</v>
      </c>
      <c r="H578" s="99">
        <v>5</v>
      </c>
      <c r="I578" s="99">
        <v>5</v>
      </c>
      <c r="J578" s="385">
        <v>10</v>
      </c>
      <c r="K578" s="960">
        <f t="shared" si="43"/>
        <v>2</v>
      </c>
      <c r="L578" s="338" t="s">
        <v>113</v>
      </c>
      <c r="M578" s="216"/>
      <c r="N578" s="216"/>
      <c r="O578" s="216"/>
      <c r="P578" s="216"/>
      <c r="Q578" s="216"/>
      <c r="R578" s="216"/>
      <c r="S578" s="216"/>
      <c r="T578" s="216"/>
      <c r="U578" s="216"/>
      <c r="V578" s="216"/>
      <c r="W578" s="216"/>
      <c r="X578" s="216"/>
      <c r="Y578" s="216"/>
      <c r="Z578" s="216"/>
    </row>
    <row r="579" spans="1:26" ht="15" customHeight="1">
      <c r="A579" s="930" t="s">
        <v>6022</v>
      </c>
      <c r="B579" s="548" t="s">
        <v>6023</v>
      </c>
      <c r="C579" s="99" t="s">
        <v>105</v>
      </c>
      <c r="D579" s="134" t="s">
        <v>6024</v>
      </c>
      <c r="E579" s="382" t="s">
        <v>6025</v>
      </c>
      <c r="F579" s="238" t="s">
        <v>6026</v>
      </c>
      <c r="G579" s="99">
        <v>3</v>
      </c>
      <c r="H579" s="99">
        <v>3</v>
      </c>
      <c r="I579" s="99">
        <v>3</v>
      </c>
      <c r="J579" s="385">
        <v>20</v>
      </c>
      <c r="K579" s="960">
        <f t="shared" si="43"/>
        <v>6.666666666666667</v>
      </c>
      <c r="L579" s="338" t="s">
        <v>113</v>
      </c>
      <c r="M579" s="216"/>
      <c r="N579" s="216"/>
      <c r="O579" s="216"/>
      <c r="P579" s="216"/>
      <c r="Q579" s="216"/>
      <c r="R579" s="216"/>
      <c r="S579" s="216"/>
      <c r="T579" s="216"/>
      <c r="U579" s="216"/>
      <c r="V579" s="216"/>
      <c r="W579" s="216"/>
      <c r="X579" s="216"/>
      <c r="Y579" s="216"/>
      <c r="Z579" s="216"/>
    </row>
    <row r="580" spans="1:26" ht="15" customHeight="1">
      <c r="A580" s="943" t="s">
        <v>6015</v>
      </c>
      <c r="B580" s="918" t="s">
        <v>6016</v>
      </c>
      <c r="C580" s="99" t="s">
        <v>105</v>
      </c>
      <c r="D580" s="134" t="s">
        <v>6017</v>
      </c>
      <c r="E580" s="382" t="s">
        <v>4097</v>
      </c>
      <c r="F580" s="238" t="s">
        <v>4585</v>
      </c>
      <c r="G580" s="99">
        <v>4</v>
      </c>
      <c r="H580" s="99">
        <v>4</v>
      </c>
      <c r="I580" s="99">
        <v>4</v>
      </c>
      <c r="J580" s="385">
        <v>20</v>
      </c>
      <c r="K580" s="960">
        <f t="shared" si="43"/>
        <v>5</v>
      </c>
      <c r="L580" s="338" t="s">
        <v>113</v>
      </c>
      <c r="M580" s="216"/>
      <c r="N580" s="216"/>
      <c r="O580" s="216"/>
      <c r="P580" s="216"/>
      <c r="Q580" s="216"/>
      <c r="R580" s="216"/>
      <c r="S580" s="216"/>
      <c r="T580" s="216"/>
      <c r="U580" s="216"/>
      <c r="V580" s="216"/>
      <c r="W580" s="216"/>
      <c r="X580" s="216"/>
      <c r="Y580" s="216"/>
      <c r="Z580" s="216"/>
    </row>
    <row r="581" spans="1:26" ht="15" customHeight="1">
      <c r="A581" s="930" t="s">
        <v>5969</v>
      </c>
      <c r="B581" s="735" t="s">
        <v>5929</v>
      </c>
      <c r="C581" s="99" t="s">
        <v>105</v>
      </c>
      <c r="D581" s="134" t="s">
        <v>5970</v>
      </c>
      <c r="E581" s="382" t="s">
        <v>5971</v>
      </c>
      <c r="F581" s="238" t="s">
        <v>4585</v>
      </c>
      <c r="G581" s="99">
        <v>4</v>
      </c>
      <c r="H581" s="99">
        <v>4</v>
      </c>
      <c r="I581" s="99">
        <v>4</v>
      </c>
      <c r="J581" s="385">
        <v>20</v>
      </c>
      <c r="K581" s="960">
        <f t="shared" si="43"/>
        <v>5</v>
      </c>
      <c r="L581" s="338" t="s">
        <v>113</v>
      </c>
      <c r="M581" s="216"/>
      <c r="N581" s="216"/>
      <c r="O581" s="216"/>
      <c r="P581" s="216"/>
      <c r="Q581" s="216"/>
      <c r="R581" s="216"/>
      <c r="S581" s="216"/>
      <c r="T581" s="216"/>
      <c r="U581" s="216"/>
      <c r="V581" s="216"/>
      <c r="W581" s="216"/>
      <c r="X581" s="216"/>
      <c r="Y581" s="216"/>
      <c r="Z581" s="216"/>
    </row>
    <row r="582" spans="1:26" ht="15" customHeight="1">
      <c r="A582" s="134" t="s">
        <v>5967</v>
      </c>
      <c r="B582" s="134" t="s">
        <v>5968</v>
      </c>
      <c r="C582" s="99" t="s">
        <v>105</v>
      </c>
      <c r="D582" s="131" t="s">
        <v>5957</v>
      </c>
      <c r="E582" s="142" t="s">
        <v>5415</v>
      </c>
      <c r="F582" s="131" t="s">
        <v>5886</v>
      </c>
      <c r="G582" s="99">
        <v>3</v>
      </c>
      <c r="H582" s="99">
        <v>3</v>
      </c>
      <c r="I582" s="99">
        <v>3</v>
      </c>
      <c r="J582" s="385">
        <v>10</v>
      </c>
      <c r="K582" s="960">
        <f t="shared" si="43"/>
        <v>3.3333333333333335</v>
      </c>
      <c r="L582" s="338" t="s">
        <v>113</v>
      </c>
      <c r="M582" s="216"/>
      <c r="N582" s="216"/>
      <c r="O582" s="216"/>
      <c r="P582" s="216"/>
      <c r="Q582" s="216"/>
      <c r="R582" s="216"/>
      <c r="S582" s="216"/>
      <c r="T582" s="216"/>
      <c r="U582" s="216"/>
      <c r="V582" s="216"/>
      <c r="W582" s="216"/>
      <c r="X582" s="216"/>
      <c r="Y582" s="216"/>
      <c r="Z582" s="216"/>
    </row>
    <row r="583" spans="1:26" ht="15" customHeight="1">
      <c r="A583" s="134" t="s">
        <v>6018</v>
      </c>
      <c r="B583" s="546" t="s">
        <v>6019</v>
      </c>
      <c r="C583" s="99" t="s">
        <v>105</v>
      </c>
      <c r="D583" s="131" t="s">
        <v>6020</v>
      </c>
      <c r="E583" s="142" t="s">
        <v>6021</v>
      </c>
      <c r="F583" s="131" t="s">
        <v>4585</v>
      </c>
      <c r="G583" s="99">
        <v>2</v>
      </c>
      <c r="H583" s="99">
        <v>2</v>
      </c>
      <c r="I583" s="99">
        <v>2</v>
      </c>
      <c r="J583" s="385">
        <v>20</v>
      </c>
      <c r="K583" s="960">
        <f t="shared" si="43"/>
        <v>10</v>
      </c>
      <c r="L583" s="338" t="s">
        <v>113</v>
      </c>
      <c r="M583" s="216"/>
      <c r="N583" s="216"/>
      <c r="O583" s="216"/>
      <c r="P583" s="216"/>
      <c r="Q583" s="216"/>
      <c r="R583" s="216"/>
      <c r="S583" s="216"/>
      <c r="T583" s="216"/>
      <c r="U583" s="216"/>
      <c r="V583" s="216"/>
      <c r="W583" s="216"/>
      <c r="X583" s="216"/>
      <c r="Y583" s="216"/>
      <c r="Z583" s="216"/>
    </row>
    <row r="584" spans="1:26" ht="15" customHeight="1">
      <c r="A584" s="134" t="s">
        <v>6100</v>
      </c>
      <c r="B584" s="134" t="s">
        <v>6101</v>
      </c>
      <c r="C584" s="99" t="s">
        <v>105</v>
      </c>
      <c r="D584" s="131" t="s">
        <v>6001</v>
      </c>
      <c r="E584" s="142" t="s">
        <v>6002</v>
      </c>
      <c r="F584" s="131" t="s">
        <v>4585</v>
      </c>
      <c r="G584" s="99">
        <v>4</v>
      </c>
      <c r="H584" s="99">
        <v>4</v>
      </c>
      <c r="I584" s="99">
        <v>4</v>
      </c>
      <c r="J584" s="385">
        <v>20</v>
      </c>
      <c r="K584" s="960">
        <f t="shared" si="43"/>
        <v>5</v>
      </c>
      <c r="L584" s="338" t="s">
        <v>113</v>
      </c>
      <c r="M584" s="216"/>
      <c r="N584" s="216"/>
      <c r="O584" s="216"/>
      <c r="P584" s="216"/>
      <c r="Q584" s="216"/>
      <c r="R584" s="216"/>
      <c r="S584" s="216"/>
      <c r="T584" s="216"/>
      <c r="U584" s="216"/>
      <c r="V584" s="216"/>
      <c r="W584" s="216"/>
      <c r="X584" s="216"/>
      <c r="Y584" s="216"/>
      <c r="Z584" s="216"/>
    </row>
    <row r="585" spans="1:26" ht="15" customHeight="1">
      <c r="A585" s="134" t="s">
        <v>4199</v>
      </c>
      <c r="B585" s="399" t="s">
        <v>4200</v>
      </c>
      <c r="C585" s="99" t="s">
        <v>105</v>
      </c>
      <c r="D585" s="139" t="s">
        <v>6190</v>
      </c>
      <c r="E585" s="99" t="s">
        <v>6191</v>
      </c>
      <c r="F585" s="99" t="s">
        <v>6192</v>
      </c>
      <c r="G585" s="99">
        <v>0</v>
      </c>
      <c r="H585" s="500">
        <v>2</v>
      </c>
      <c r="I585" s="242">
        <v>2</v>
      </c>
      <c r="J585" s="242">
        <v>10</v>
      </c>
      <c r="K585" s="242">
        <v>5</v>
      </c>
      <c r="L585" s="338" t="s">
        <v>133</v>
      </c>
      <c r="M585" s="216"/>
      <c r="N585" s="216"/>
      <c r="O585" s="216"/>
      <c r="P585" s="216"/>
      <c r="Q585" s="216"/>
      <c r="R585" s="216"/>
      <c r="S585" s="216"/>
      <c r="T585" s="216"/>
      <c r="U585" s="216"/>
      <c r="V585" s="216"/>
      <c r="W585" s="216"/>
      <c r="X585" s="216"/>
      <c r="Y585" s="216"/>
      <c r="Z585" s="216"/>
    </row>
    <row r="586" spans="1:26" ht="15" customHeight="1">
      <c r="A586" s="134" t="s">
        <v>3756</v>
      </c>
      <c r="B586" s="399" t="s">
        <v>6073</v>
      </c>
      <c r="C586" s="99" t="s">
        <v>105</v>
      </c>
      <c r="D586" s="133" t="s">
        <v>6193</v>
      </c>
      <c r="E586" s="133" t="s">
        <v>6075</v>
      </c>
      <c r="F586" s="133" t="s">
        <v>5522</v>
      </c>
      <c r="G586" s="99">
        <v>0</v>
      </c>
      <c r="H586" s="500">
        <v>2</v>
      </c>
      <c r="I586" s="242">
        <v>2</v>
      </c>
      <c r="J586" s="242">
        <v>10</v>
      </c>
      <c r="K586" s="242">
        <v>5</v>
      </c>
      <c r="L586" s="338" t="s">
        <v>133</v>
      </c>
      <c r="M586" s="216"/>
      <c r="N586" s="216"/>
      <c r="O586" s="216"/>
      <c r="P586" s="216"/>
      <c r="Q586" s="216"/>
      <c r="R586" s="216"/>
      <c r="S586" s="216"/>
      <c r="T586" s="216"/>
      <c r="U586" s="216"/>
      <c r="V586" s="216"/>
      <c r="W586" s="216"/>
      <c r="X586" s="216"/>
      <c r="Y586" s="216"/>
      <c r="Z586" s="216"/>
    </row>
    <row r="587" spans="1:26" ht="15" customHeight="1">
      <c r="A587" s="438" t="s">
        <v>3756</v>
      </c>
      <c r="B587" s="138" t="s">
        <v>6065</v>
      </c>
      <c r="C587" s="138" t="s">
        <v>105</v>
      </c>
      <c r="D587" s="133" t="s">
        <v>6066</v>
      </c>
      <c r="E587" s="130" t="s">
        <v>6067</v>
      </c>
      <c r="F587" s="133" t="s">
        <v>6068</v>
      </c>
      <c r="G587" s="99">
        <v>0</v>
      </c>
      <c r="H587" s="500">
        <v>2</v>
      </c>
      <c r="I587" s="242">
        <v>2</v>
      </c>
      <c r="J587" s="242">
        <v>10</v>
      </c>
      <c r="K587" s="242">
        <v>5</v>
      </c>
      <c r="L587" s="338" t="s">
        <v>133</v>
      </c>
      <c r="M587" s="216"/>
      <c r="N587" s="216"/>
      <c r="O587" s="216"/>
      <c r="P587" s="216"/>
      <c r="Q587" s="216"/>
      <c r="R587" s="216"/>
      <c r="S587" s="216"/>
      <c r="T587" s="216"/>
      <c r="U587" s="216"/>
      <c r="V587" s="216"/>
      <c r="W587" s="216"/>
      <c r="X587" s="216"/>
      <c r="Y587" s="216"/>
      <c r="Z587" s="216"/>
    </row>
    <row r="588" spans="1:26" ht="15" customHeight="1">
      <c r="A588" s="438" t="s">
        <v>6069</v>
      </c>
      <c r="B588" s="138" t="s">
        <v>6070</v>
      </c>
      <c r="C588" s="138" t="s">
        <v>105</v>
      </c>
      <c r="D588" s="138" t="s">
        <v>6194</v>
      </c>
      <c r="E588" s="138" t="s">
        <v>6072</v>
      </c>
      <c r="F588" s="133" t="s">
        <v>6068</v>
      </c>
      <c r="G588" s="99">
        <v>1</v>
      </c>
      <c r="H588" s="500">
        <v>2</v>
      </c>
      <c r="I588" s="242">
        <v>2</v>
      </c>
      <c r="J588" s="242">
        <v>10</v>
      </c>
      <c r="K588" s="242">
        <v>5</v>
      </c>
      <c r="L588" s="338" t="s">
        <v>133</v>
      </c>
      <c r="M588" s="216"/>
      <c r="N588" s="216"/>
      <c r="O588" s="216"/>
      <c r="P588" s="216"/>
      <c r="Q588" s="216"/>
      <c r="R588" s="216"/>
      <c r="S588" s="216"/>
      <c r="T588" s="216"/>
      <c r="U588" s="216"/>
      <c r="V588" s="216"/>
      <c r="W588" s="216"/>
      <c r="X588" s="216"/>
      <c r="Y588" s="216"/>
      <c r="Z588" s="216"/>
    </row>
    <row r="589" spans="1:26" ht="15.75" customHeight="1"/>
    <row r="590" spans="1:26" ht="15" customHeight="1">
      <c r="A590" s="332" t="s">
        <v>169</v>
      </c>
      <c r="K590" s="332">
        <f>SUM(K15:K588)</f>
        <v>4597.1773015872986</v>
      </c>
    </row>
    <row r="591" spans="1:26" ht="15.75" customHeight="1"/>
    <row r="592" spans="1:26" ht="15" customHeight="1">
      <c r="A592" s="1231" t="s">
        <v>1156</v>
      </c>
      <c r="B592" s="1232"/>
      <c r="C592" s="1232"/>
      <c r="D592" s="1232"/>
      <c r="E592" s="1232"/>
      <c r="F592" s="1232"/>
      <c r="G592" s="1232"/>
      <c r="H592" s="1233"/>
    </row>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592:H592"/>
    <mergeCell ref="A2:K2"/>
    <mergeCell ref="A4:K4"/>
    <mergeCell ref="A5:K5"/>
    <mergeCell ref="A6:K6"/>
    <mergeCell ref="A7:K7"/>
    <mergeCell ref="A8:K8"/>
    <mergeCell ref="A9:K9"/>
    <mergeCell ref="A10:K10"/>
    <mergeCell ref="A11:K11"/>
    <mergeCell ref="A12:K12"/>
    <mergeCell ref="A248:A249"/>
    <mergeCell ref="B248:B249"/>
  </mergeCells>
  <hyperlinks>
    <hyperlink ref="E15" r:id="rId1" xr:uid="{00000000-0004-0000-0C00-000000000000}"/>
    <hyperlink ref="E16" r:id="rId2" xr:uid="{00000000-0004-0000-0C00-000001000000}"/>
    <hyperlink ref="B17" r:id="rId3" xr:uid="{00000000-0004-0000-0C00-000002000000}"/>
    <hyperlink ref="E17" r:id="rId4" xr:uid="{00000000-0004-0000-0C00-000003000000}"/>
    <hyperlink ref="E27" r:id="rId5" xr:uid="{00000000-0004-0000-0C00-000004000000}"/>
    <hyperlink ref="E28" r:id="rId6" xr:uid="{00000000-0004-0000-0C00-000005000000}"/>
    <hyperlink ref="E40" r:id="rId7" location="google_vignette" xr:uid="{00000000-0004-0000-0C00-000006000000}"/>
    <hyperlink ref="E41" r:id="rId8" xr:uid="{00000000-0004-0000-0C00-000007000000}"/>
    <hyperlink ref="E42" r:id="rId9" xr:uid="{00000000-0004-0000-0C00-000008000000}"/>
    <hyperlink ref="E43" r:id="rId10" xr:uid="{00000000-0004-0000-0C00-000009000000}"/>
    <hyperlink ref="E44" r:id="rId11" location="page=61" xr:uid="{00000000-0004-0000-0C00-00000A000000}"/>
    <hyperlink ref="E45" r:id="rId12" xr:uid="{00000000-0004-0000-0C00-00000B000000}"/>
    <hyperlink ref="E46" r:id="rId13" xr:uid="{00000000-0004-0000-0C00-00000C000000}"/>
    <hyperlink ref="E47" r:id="rId14" xr:uid="{00000000-0004-0000-0C00-00000D000000}"/>
    <hyperlink ref="E48" r:id="rId15" xr:uid="{00000000-0004-0000-0C00-00000E000000}"/>
    <hyperlink ref="E49" r:id="rId16" xr:uid="{00000000-0004-0000-0C00-00000F000000}"/>
    <hyperlink ref="E50" r:id="rId17" xr:uid="{00000000-0004-0000-0C00-000010000000}"/>
    <hyperlink ref="E51" r:id="rId18" xr:uid="{00000000-0004-0000-0C00-000011000000}"/>
    <hyperlink ref="E52" r:id="rId19" xr:uid="{00000000-0004-0000-0C00-000012000000}"/>
    <hyperlink ref="E71" r:id="rId20" xr:uid="{00000000-0004-0000-0C00-000013000000}"/>
    <hyperlink ref="E72" r:id="rId21" xr:uid="{00000000-0004-0000-0C00-000014000000}"/>
    <hyperlink ref="E73" r:id="rId22" xr:uid="{00000000-0004-0000-0C00-000015000000}"/>
    <hyperlink ref="E74" r:id="rId23" xr:uid="{00000000-0004-0000-0C00-000016000000}"/>
    <hyperlink ref="E75" r:id="rId24" xr:uid="{00000000-0004-0000-0C00-000017000000}"/>
    <hyperlink ref="E76" r:id="rId25" xr:uid="{00000000-0004-0000-0C00-000018000000}"/>
    <hyperlink ref="E77" r:id="rId26" xr:uid="{00000000-0004-0000-0C00-000019000000}"/>
    <hyperlink ref="E78" r:id="rId27" xr:uid="{00000000-0004-0000-0C00-00001A000000}"/>
    <hyperlink ref="E79" r:id="rId28" xr:uid="{00000000-0004-0000-0C00-00001B000000}"/>
    <hyperlink ref="E80" r:id="rId29" xr:uid="{00000000-0004-0000-0C00-00001C000000}"/>
    <hyperlink ref="E81" r:id="rId30" xr:uid="{00000000-0004-0000-0C00-00001D000000}"/>
    <hyperlink ref="E82" r:id="rId31" xr:uid="{00000000-0004-0000-0C00-00001E000000}"/>
    <hyperlink ref="E83" r:id="rId32" xr:uid="{00000000-0004-0000-0C00-00001F000000}"/>
    <hyperlink ref="E84" r:id="rId33" xr:uid="{00000000-0004-0000-0C00-000020000000}"/>
    <hyperlink ref="E86" r:id="rId34" xr:uid="{00000000-0004-0000-0C00-000021000000}"/>
    <hyperlink ref="E87" r:id="rId35" xr:uid="{00000000-0004-0000-0C00-000022000000}"/>
    <hyperlink ref="E88" r:id="rId36" xr:uid="{00000000-0004-0000-0C00-000023000000}"/>
    <hyperlink ref="E89" r:id="rId37" xr:uid="{00000000-0004-0000-0C00-000024000000}"/>
    <hyperlink ref="E90" r:id="rId38" xr:uid="{00000000-0004-0000-0C00-000025000000}"/>
    <hyperlink ref="E95" r:id="rId39" xr:uid="{00000000-0004-0000-0C00-000026000000}"/>
    <hyperlink ref="E101" r:id="rId40" xr:uid="{00000000-0004-0000-0C00-000027000000}"/>
    <hyperlink ref="E102" r:id="rId41" xr:uid="{00000000-0004-0000-0C00-000028000000}"/>
    <hyperlink ref="E103" r:id="rId42" xr:uid="{00000000-0004-0000-0C00-000029000000}"/>
    <hyperlink ref="E104" r:id="rId43" xr:uid="{00000000-0004-0000-0C00-00002A000000}"/>
    <hyperlink ref="E105" r:id="rId44" xr:uid="{00000000-0004-0000-0C00-00002B000000}"/>
    <hyperlink ref="E106" r:id="rId45" xr:uid="{00000000-0004-0000-0C00-00002C000000}"/>
    <hyperlink ref="E107" r:id="rId46" xr:uid="{00000000-0004-0000-0C00-00002D000000}"/>
    <hyperlink ref="E108" r:id="rId47" xr:uid="{00000000-0004-0000-0C00-00002E000000}"/>
    <hyperlink ref="E109" r:id="rId48" xr:uid="{00000000-0004-0000-0C00-00002F000000}"/>
    <hyperlink ref="E110" r:id="rId49" xr:uid="{00000000-0004-0000-0C00-000030000000}"/>
    <hyperlink ref="E111" r:id="rId50" xr:uid="{00000000-0004-0000-0C00-000031000000}"/>
    <hyperlink ref="E170" r:id="rId51" xr:uid="{00000000-0004-0000-0C00-000032000000}"/>
    <hyperlink ref="E171" r:id="rId52" xr:uid="{00000000-0004-0000-0C00-000033000000}"/>
    <hyperlink ref="E172" r:id="rId53" xr:uid="{00000000-0004-0000-0C00-000034000000}"/>
    <hyperlink ref="E173" r:id="rId54" xr:uid="{00000000-0004-0000-0C00-000035000000}"/>
    <hyperlink ref="E174" r:id="rId55" xr:uid="{00000000-0004-0000-0C00-000036000000}"/>
    <hyperlink ref="E175" r:id="rId56" xr:uid="{00000000-0004-0000-0C00-000037000000}"/>
    <hyperlink ref="E176" r:id="rId57" xr:uid="{00000000-0004-0000-0C00-000038000000}"/>
    <hyperlink ref="E177" r:id="rId58" xr:uid="{00000000-0004-0000-0C00-000039000000}"/>
    <hyperlink ref="E178" r:id="rId59" xr:uid="{00000000-0004-0000-0C00-00003A000000}"/>
    <hyperlink ref="E179" r:id="rId60" xr:uid="{00000000-0004-0000-0C00-00003B000000}"/>
    <hyperlink ref="E180" r:id="rId61" xr:uid="{00000000-0004-0000-0C00-00003C000000}"/>
    <hyperlink ref="E181" r:id="rId62" xr:uid="{00000000-0004-0000-0C00-00003D000000}"/>
    <hyperlink ref="E182" r:id="rId63" xr:uid="{00000000-0004-0000-0C00-00003E000000}"/>
    <hyperlink ref="E183" r:id="rId64" xr:uid="{00000000-0004-0000-0C00-00003F000000}"/>
    <hyperlink ref="E185" r:id="rId65" xr:uid="{00000000-0004-0000-0C00-000040000000}"/>
    <hyperlink ref="E186" r:id="rId66" xr:uid="{00000000-0004-0000-0C00-000041000000}"/>
    <hyperlink ref="E187" r:id="rId67" xr:uid="{00000000-0004-0000-0C00-000042000000}"/>
    <hyperlink ref="E188" r:id="rId68" xr:uid="{00000000-0004-0000-0C00-000043000000}"/>
    <hyperlink ref="E189" r:id="rId69" xr:uid="{00000000-0004-0000-0C00-000044000000}"/>
    <hyperlink ref="E191" r:id="rId70" xr:uid="{00000000-0004-0000-0C00-000045000000}"/>
    <hyperlink ref="E193" r:id="rId71" location="v=onepage&amp;q&amp;f=false" xr:uid="{00000000-0004-0000-0C00-000046000000}"/>
    <hyperlink ref="E194" r:id="rId72" xr:uid="{00000000-0004-0000-0C00-000047000000}"/>
    <hyperlink ref="E195" r:id="rId73" xr:uid="{00000000-0004-0000-0C00-000048000000}"/>
    <hyperlink ref="E196" r:id="rId74" xr:uid="{00000000-0004-0000-0C00-000049000000}"/>
    <hyperlink ref="E197" r:id="rId75" xr:uid="{00000000-0004-0000-0C00-00004A000000}"/>
    <hyperlink ref="E198" r:id="rId76" xr:uid="{00000000-0004-0000-0C00-00004B000000}"/>
    <hyperlink ref="E199" r:id="rId77" xr:uid="{00000000-0004-0000-0C00-00004C000000}"/>
    <hyperlink ref="E200" r:id="rId78" xr:uid="{00000000-0004-0000-0C00-00004D000000}"/>
    <hyperlink ref="E201" r:id="rId79" xr:uid="{00000000-0004-0000-0C00-00004E000000}"/>
    <hyperlink ref="E203" r:id="rId80" xr:uid="{00000000-0004-0000-0C00-00004F000000}"/>
    <hyperlink ref="E204" r:id="rId81" xr:uid="{00000000-0004-0000-0C00-000050000000}"/>
    <hyperlink ref="E205" r:id="rId82" xr:uid="{00000000-0004-0000-0C00-000051000000}"/>
    <hyperlink ref="E206" r:id="rId83" xr:uid="{00000000-0004-0000-0C00-000052000000}"/>
    <hyperlink ref="E207" r:id="rId84" xr:uid="{00000000-0004-0000-0C00-000053000000}"/>
    <hyperlink ref="E208" r:id="rId85" xr:uid="{00000000-0004-0000-0C00-000054000000}"/>
    <hyperlink ref="E209" r:id="rId86" xr:uid="{00000000-0004-0000-0C00-000055000000}"/>
    <hyperlink ref="E210" r:id="rId87" xr:uid="{00000000-0004-0000-0C00-000056000000}"/>
    <hyperlink ref="E211" r:id="rId88" xr:uid="{00000000-0004-0000-0C00-000057000000}"/>
    <hyperlink ref="E212" r:id="rId89" xr:uid="{00000000-0004-0000-0C00-000058000000}"/>
    <hyperlink ref="E213" r:id="rId90" xr:uid="{00000000-0004-0000-0C00-000059000000}"/>
    <hyperlink ref="E214" r:id="rId91" xr:uid="{00000000-0004-0000-0C00-00005A000000}"/>
    <hyperlink ref="E215" r:id="rId92" xr:uid="{00000000-0004-0000-0C00-00005B000000}"/>
    <hyperlink ref="E216" r:id="rId93" xr:uid="{00000000-0004-0000-0C00-00005C000000}"/>
    <hyperlink ref="E217" r:id="rId94" xr:uid="{00000000-0004-0000-0C00-00005D000000}"/>
    <hyperlink ref="E218" r:id="rId95" xr:uid="{00000000-0004-0000-0C00-00005E000000}"/>
    <hyperlink ref="E219" r:id="rId96" xr:uid="{00000000-0004-0000-0C00-00005F000000}"/>
    <hyperlink ref="E220" r:id="rId97" location="page=60" xr:uid="{00000000-0004-0000-0C00-000060000000}"/>
    <hyperlink ref="E221" r:id="rId98" xr:uid="{00000000-0004-0000-0C00-000061000000}"/>
    <hyperlink ref="E222" r:id="rId99" xr:uid="{00000000-0004-0000-0C00-000062000000}"/>
    <hyperlink ref="E223" r:id="rId100" xr:uid="{00000000-0004-0000-0C00-000063000000}"/>
    <hyperlink ref="E224" r:id="rId101" xr:uid="{00000000-0004-0000-0C00-000064000000}"/>
    <hyperlink ref="E225" r:id="rId102" xr:uid="{00000000-0004-0000-0C00-000065000000}"/>
    <hyperlink ref="E226" r:id="rId103" xr:uid="{00000000-0004-0000-0C00-000066000000}"/>
    <hyperlink ref="E227" r:id="rId104" xr:uid="{00000000-0004-0000-0C00-000067000000}"/>
    <hyperlink ref="E228" r:id="rId105" xr:uid="{00000000-0004-0000-0C00-000068000000}"/>
    <hyperlink ref="E229" r:id="rId106" xr:uid="{00000000-0004-0000-0C00-000069000000}"/>
    <hyperlink ref="E230" r:id="rId107" xr:uid="{00000000-0004-0000-0C00-00006A000000}"/>
    <hyperlink ref="E231" r:id="rId108" xr:uid="{00000000-0004-0000-0C00-00006B000000}"/>
    <hyperlink ref="E232" r:id="rId109" xr:uid="{00000000-0004-0000-0C00-00006C000000}"/>
    <hyperlink ref="E234" r:id="rId110" xr:uid="{00000000-0004-0000-0C00-00006D000000}"/>
    <hyperlink ref="E235" r:id="rId111" xr:uid="{00000000-0004-0000-0C00-00006E000000}"/>
    <hyperlink ref="E236" r:id="rId112" xr:uid="{00000000-0004-0000-0C00-00006F000000}"/>
    <hyperlink ref="E237" r:id="rId113" xr:uid="{00000000-0004-0000-0C00-000070000000}"/>
    <hyperlink ref="E238" r:id="rId114" xr:uid="{00000000-0004-0000-0C00-000071000000}"/>
    <hyperlink ref="E239" r:id="rId115" xr:uid="{00000000-0004-0000-0C00-000072000000}"/>
    <hyperlink ref="E240" r:id="rId116" xr:uid="{00000000-0004-0000-0C00-000073000000}"/>
    <hyperlink ref="E241" r:id="rId117" xr:uid="{00000000-0004-0000-0C00-000074000000}"/>
    <hyperlink ref="E242" r:id="rId118" location="page=60" xr:uid="{00000000-0004-0000-0C00-000075000000}"/>
    <hyperlink ref="B244" r:id="rId119" xr:uid="{00000000-0004-0000-0C00-000076000000}"/>
    <hyperlink ref="E252" r:id="rId120" xr:uid="{00000000-0004-0000-0C00-000077000000}"/>
    <hyperlink ref="E253" r:id="rId121" xr:uid="{00000000-0004-0000-0C00-000078000000}"/>
    <hyperlink ref="E254" r:id="rId122" xr:uid="{00000000-0004-0000-0C00-000079000000}"/>
    <hyperlink ref="E255" r:id="rId123" xr:uid="{00000000-0004-0000-0C00-00007A000000}"/>
    <hyperlink ref="E257" r:id="rId124" xr:uid="{00000000-0004-0000-0C00-00007B000000}"/>
    <hyperlink ref="E258" r:id="rId125" xr:uid="{00000000-0004-0000-0C00-00007C000000}"/>
    <hyperlink ref="E259" r:id="rId126" xr:uid="{00000000-0004-0000-0C00-00007D000000}"/>
    <hyperlink ref="E260" r:id="rId127" xr:uid="{00000000-0004-0000-0C00-00007E000000}"/>
    <hyperlink ref="E261" r:id="rId128" xr:uid="{00000000-0004-0000-0C00-00007F000000}"/>
    <hyperlink ref="E262" r:id="rId129" xr:uid="{00000000-0004-0000-0C00-000080000000}"/>
    <hyperlink ref="E263" r:id="rId130" xr:uid="{00000000-0004-0000-0C00-000081000000}"/>
    <hyperlink ref="E264" r:id="rId131" xr:uid="{00000000-0004-0000-0C00-000082000000}"/>
    <hyperlink ref="E265" r:id="rId132" xr:uid="{00000000-0004-0000-0C00-000083000000}"/>
    <hyperlink ref="E266" r:id="rId133" xr:uid="{00000000-0004-0000-0C00-000084000000}"/>
    <hyperlink ref="E267" r:id="rId134" xr:uid="{00000000-0004-0000-0C00-000085000000}"/>
    <hyperlink ref="E268" r:id="rId135" xr:uid="{00000000-0004-0000-0C00-000086000000}"/>
    <hyperlink ref="E269" r:id="rId136" xr:uid="{00000000-0004-0000-0C00-000087000000}"/>
    <hyperlink ref="E270" r:id="rId137" xr:uid="{00000000-0004-0000-0C00-000088000000}"/>
    <hyperlink ref="E271" r:id="rId138" xr:uid="{00000000-0004-0000-0C00-000089000000}"/>
    <hyperlink ref="E272" r:id="rId139" xr:uid="{00000000-0004-0000-0C00-00008A000000}"/>
    <hyperlink ref="E273" r:id="rId140" xr:uid="{00000000-0004-0000-0C00-00008B000000}"/>
    <hyperlink ref="E274" r:id="rId141" xr:uid="{00000000-0004-0000-0C00-00008C000000}"/>
    <hyperlink ref="E275" r:id="rId142" xr:uid="{00000000-0004-0000-0C00-00008D000000}"/>
    <hyperlink ref="E276" r:id="rId143" xr:uid="{00000000-0004-0000-0C00-00008E000000}"/>
    <hyperlink ref="E277" r:id="rId144" xr:uid="{00000000-0004-0000-0C00-00008F000000}"/>
    <hyperlink ref="E278" r:id="rId145" xr:uid="{00000000-0004-0000-0C00-000090000000}"/>
    <hyperlink ref="E279" r:id="rId146" xr:uid="{00000000-0004-0000-0C00-000091000000}"/>
    <hyperlink ref="E280" r:id="rId147" xr:uid="{00000000-0004-0000-0C00-000092000000}"/>
    <hyperlink ref="E281" r:id="rId148" xr:uid="{00000000-0004-0000-0C00-000093000000}"/>
    <hyperlink ref="E282" r:id="rId149" xr:uid="{00000000-0004-0000-0C00-000094000000}"/>
    <hyperlink ref="E283" r:id="rId150" xr:uid="{00000000-0004-0000-0C00-000095000000}"/>
    <hyperlink ref="E284" r:id="rId151" location="v=onepage&amp;q&amp;f=false" xr:uid="{00000000-0004-0000-0C00-000096000000}"/>
    <hyperlink ref="E285" r:id="rId152" location="page=166" xr:uid="{00000000-0004-0000-0C00-000097000000}"/>
    <hyperlink ref="E286" r:id="rId153" xr:uid="{00000000-0004-0000-0C00-000098000000}"/>
    <hyperlink ref="E287" r:id="rId154" xr:uid="{00000000-0004-0000-0C00-000099000000}"/>
    <hyperlink ref="E288" r:id="rId155" xr:uid="{00000000-0004-0000-0C00-00009A000000}"/>
    <hyperlink ref="E289" r:id="rId156" xr:uid="{00000000-0004-0000-0C00-00009B000000}"/>
    <hyperlink ref="E290" r:id="rId157" xr:uid="{00000000-0004-0000-0C00-00009C000000}"/>
    <hyperlink ref="E291" r:id="rId158" xr:uid="{00000000-0004-0000-0C00-00009D000000}"/>
    <hyperlink ref="E292" r:id="rId159" xr:uid="{00000000-0004-0000-0C00-00009E000000}"/>
    <hyperlink ref="E293" r:id="rId160" xr:uid="{00000000-0004-0000-0C00-00009F000000}"/>
    <hyperlink ref="E294" r:id="rId161" xr:uid="{00000000-0004-0000-0C00-0000A0000000}"/>
    <hyperlink ref="E295" r:id="rId162" xr:uid="{00000000-0004-0000-0C00-0000A1000000}"/>
    <hyperlink ref="E296" r:id="rId163" xr:uid="{00000000-0004-0000-0C00-0000A2000000}"/>
    <hyperlink ref="E297" r:id="rId164" xr:uid="{00000000-0004-0000-0C00-0000A3000000}"/>
    <hyperlink ref="E298" r:id="rId165" xr:uid="{00000000-0004-0000-0C00-0000A4000000}"/>
    <hyperlink ref="E299" r:id="rId166" xr:uid="{00000000-0004-0000-0C00-0000A5000000}"/>
    <hyperlink ref="E300" r:id="rId167" xr:uid="{00000000-0004-0000-0C00-0000A6000000}"/>
    <hyperlink ref="E301" r:id="rId168" xr:uid="{00000000-0004-0000-0C00-0000A7000000}"/>
    <hyperlink ref="E302" r:id="rId169" xr:uid="{00000000-0004-0000-0C00-0000A8000000}"/>
    <hyperlink ref="E303" r:id="rId170" xr:uid="{00000000-0004-0000-0C00-0000A9000000}"/>
    <hyperlink ref="E305" r:id="rId171" location="v=snippet&amp;q=%22Bogdan%2C%20M%22&amp;f=false" xr:uid="{00000000-0004-0000-0C00-0000AA000000}"/>
    <hyperlink ref="E306" r:id="rId172" xr:uid="{00000000-0004-0000-0C00-0000AB000000}"/>
    <hyperlink ref="E307" r:id="rId173" xr:uid="{00000000-0004-0000-0C00-0000AC000000}"/>
    <hyperlink ref="E308" r:id="rId174" xr:uid="{00000000-0004-0000-0C00-0000AD000000}"/>
    <hyperlink ref="E309" r:id="rId175" xr:uid="{00000000-0004-0000-0C00-0000AE000000}"/>
    <hyperlink ref="E310" r:id="rId176" xr:uid="{00000000-0004-0000-0C00-0000AF000000}"/>
    <hyperlink ref="E311" r:id="rId177" xr:uid="{00000000-0004-0000-0C00-0000B0000000}"/>
    <hyperlink ref="E312" r:id="rId178" xr:uid="{00000000-0004-0000-0C00-0000B1000000}"/>
    <hyperlink ref="E313" r:id="rId179" xr:uid="{00000000-0004-0000-0C00-0000B2000000}"/>
    <hyperlink ref="E314" r:id="rId180" xr:uid="{00000000-0004-0000-0C00-0000B3000000}"/>
    <hyperlink ref="E315" r:id="rId181" xr:uid="{00000000-0004-0000-0C00-0000B4000000}"/>
    <hyperlink ref="E316" r:id="rId182" xr:uid="{00000000-0004-0000-0C00-0000B5000000}"/>
    <hyperlink ref="B317" r:id="rId183" xr:uid="{00000000-0004-0000-0C00-0000B6000000}"/>
    <hyperlink ref="E317" r:id="rId184" xr:uid="{00000000-0004-0000-0C00-0000B7000000}"/>
    <hyperlink ref="F317" r:id="rId185" xr:uid="{00000000-0004-0000-0C00-0000B8000000}"/>
    <hyperlink ref="B318" r:id="rId186" xr:uid="{00000000-0004-0000-0C00-0000B9000000}"/>
    <hyperlink ref="E318" r:id="rId187" xr:uid="{00000000-0004-0000-0C00-0000BA000000}"/>
    <hyperlink ref="E319" r:id="rId188" xr:uid="{00000000-0004-0000-0C00-0000BB000000}"/>
    <hyperlink ref="E335" r:id="rId189" xr:uid="{00000000-0004-0000-0C00-0000BC000000}"/>
    <hyperlink ref="E336" r:id="rId190" xr:uid="{00000000-0004-0000-0C00-0000BD000000}"/>
    <hyperlink ref="E337" r:id="rId191" xr:uid="{00000000-0004-0000-0C00-0000BE000000}"/>
    <hyperlink ref="E339" r:id="rId192" xr:uid="{00000000-0004-0000-0C00-0000BF000000}"/>
    <hyperlink ref="E340" r:id="rId193" xr:uid="{00000000-0004-0000-0C00-0000C0000000}"/>
    <hyperlink ref="E343" r:id="rId194" xr:uid="{00000000-0004-0000-0C00-0000C1000000}"/>
    <hyperlink ref="E344" r:id="rId195" xr:uid="{00000000-0004-0000-0C00-0000C2000000}"/>
    <hyperlink ref="E345" r:id="rId196" xr:uid="{00000000-0004-0000-0C00-0000C3000000}"/>
    <hyperlink ref="E346" r:id="rId197" xr:uid="{00000000-0004-0000-0C00-0000C4000000}"/>
    <hyperlink ref="E347" r:id="rId198" xr:uid="{00000000-0004-0000-0C00-0000C5000000}"/>
    <hyperlink ref="E348" r:id="rId199" xr:uid="{00000000-0004-0000-0C00-0000C6000000}"/>
    <hyperlink ref="E349" r:id="rId200" xr:uid="{00000000-0004-0000-0C00-0000C7000000}"/>
    <hyperlink ref="E350" r:id="rId201" xr:uid="{00000000-0004-0000-0C00-0000C8000000}"/>
    <hyperlink ref="E351" r:id="rId202" xr:uid="{00000000-0004-0000-0C00-0000C9000000}"/>
    <hyperlink ref="E352" r:id="rId203" xr:uid="{00000000-0004-0000-0C00-0000CA000000}"/>
    <hyperlink ref="E353" r:id="rId204" xr:uid="{00000000-0004-0000-0C00-0000CB000000}"/>
    <hyperlink ref="E355" r:id="rId205" xr:uid="{00000000-0004-0000-0C00-0000CC000000}"/>
    <hyperlink ref="E356" r:id="rId206" xr:uid="{00000000-0004-0000-0C00-0000CD000000}"/>
    <hyperlink ref="E357" r:id="rId207" xr:uid="{00000000-0004-0000-0C00-0000CE000000}"/>
    <hyperlink ref="E358" r:id="rId208" xr:uid="{00000000-0004-0000-0C00-0000CF000000}"/>
    <hyperlink ref="E359" r:id="rId209" xr:uid="{00000000-0004-0000-0C00-0000D0000000}"/>
    <hyperlink ref="E360" r:id="rId210" xr:uid="{00000000-0004-0000-0C00-0000D1000000}"/>
    <hyperlink ref="E361" r:id="rId211" xr:uid="{00000000-0004-0000-0C00-0000D2000000}"/>
    <hyperlink ref="E362" r:id="rId212" xr:uid="{00000000-0004-0000-0C00-0000D3000000}"/>
    <hyperlink ref="E363" r:id="rId213" xr:uid="{00000000-0004-0000-0C00-0000D4000000}"/>
    <hyperlink ref="E364" r:id="rId214" xr:uid="{00000000-0004-0000-0C00-0000D5000000}"/>
    <hyperlink ref="E365" r:id="rId215" xr:uid="{00000000-0004-0000-0C00-0000D6000000}"/>
    <hyperlink ref="E366" r:id="rId216" xr:uid="{00000000-0004-0000-0C00-0000D7000000}"/>
    <hyperlink ref="E367" r:id="rId217" xr:uid="{00000000-0004-0000-0C00-0000D8000000}"/>
    <hyperlink ref="E368" r:id="rId218" xr:uid="{00000000-0004-0000-0C00-0000D9000000}"/>
    <hyperlink ref="E369" r:id="rId219" xr:uid="{00000000-0004-0000-0C00-0000DA000000}"/>
    <hyperlink ref="E370" r:id="rId220" xr:uid="{00000000-0004-0000-0C00-0000DB000000}"/>
    <hyperlink ref="E371" r:id="rId221" xr:uid="{00000000-0004-0000-0C00-0000DC000000}"/>
    <hyperlink ref="E372" r:id="rId222" xr:uid="{00000000-0004-0000-0C00-0000DD000000}"/>
    <hyperlink ref="E373" r:id="rId223" xr:uid="{00000000-0004-0000-0C00-0000DE000000}"/>
    <hyperlink ref="E375" r:id="rId224" xr:uid="{00000000-0004-0000-0C00-0000DF000000}"/>
    <hyperlink ref="E376" r:id="rId225" xr:uid="{00000000-0004-0000-0C00-0000E0000000}"/>
    <hyperlink ref="E377" r:id="rId226" xr:uid="{00000000-0004-0000-0C00-0000E1000000}"/>
    <hyperlink ref="E378" r:id="rId227" xr:uid="{00000000-0004-0000-0C00-0000E2000000}"/>
    <hyperlink ref="E379" r:id="rId228" xr:uid="{00000000-0004-0000-0C00-0000E3000000}"/>
    <hyperlink ref="E386" r:id="rId229" xr:uid="{00000000-0004-0000-0C00-0000E4000000}"/>
    <hyperlink ref="E388" r:id="rId230" xr:uid="{00000000-0004-0000-0C00-0000E5000000}"/>
    <hyperlink ref="E389" r:id="rId231" xr:uid="{00000000-0004-0000-0C00-0000E6000000}"/>
    <hyperlink ref="E390" r:id="rId232" xr:uid="{00000000-0004-0000-0C00-0000E7000000}"/>
    <hyperlink ref="E392" r:id="rId233" xr:uid="{00000000-0004-0000-0C00-0000E8000000}"/>
    <hyperlink ref="E393" r:id="rId234" xr:uid="{00000000-0004-0000-0C00-0000E9000000}"/>
    <hyperlink ref="E394" r:id="rId235" xr:uid="{00000000-0004-0000-0C00-0000EA000000}"/>
    <hyperlink ref="E395" r:id="rId236" xr:uid="{00000000-0004-0000-0C00-0000EB000000}"/>
    <hyperlink ref="E396" r:id="rId237" xr:uid="{00000000-0004-0000-0C00-0000EC000000}"/>
    <hyperlink ref="E397" r:id="rId238" xr:uid="{00000000-0004-0000-0C00-0000ED000000}"/>
    <hyperlink ref="E398" r:id="rId239" xr:uid="{00000000-0004-0000-0C00-0000EE000000}"/>
    <hyperlink ref="E399" r:id="rId240" xr:uid="{00000000-0004-0000-0C00-0000EF000000}"/>
    <hyperlink ref="E406" r:id="rId241" xr:uid="{00000000-0004-0000-0C00-0000F0000000}"/>
    <hyperlink ref="E407" r:id="rId242" xr:uid="{00000000-0004-0000-0C00-0000F1000000}"/>
    <hyperlink ref="E408" r:id="rId243" xr:uid="{00000000-0004-0000-0C00-0000F2000000}"/>
    <hyperlink ref="E409" r:id="rId244" xr:uid="{00000000-0004-0000-0C00-0000F3000000}"/>
    <hyperlink ref="E410" r:id="rId245" xr:uid="{00000000-0004-0000-0C00-0000F4000000}"/>
    <hyperlink ref="E411" r:id="rId246" xr:uid="{00000000-0004-0000-0C00-0000F5000000}"/>
    <hyperlink ref="E412" r:id="rId247" xr:uid="{00000000-0004-0000-0C00-0000F6000000}"/>
    <hyperlink ref="E413" r:id="rId248" xr:uid="{00000000-0004-0000-0C00-0000F7000000}"/>
    <hyperlink ref="E414" r:id="rId249" xr:uid="{00000000-0004-0000-0C00-0000F8000000}"/>
    <hyperlink ref="E415" r:id="rId250" xr:uid="{00000000-0004-0000-0C00-0000F9000000}"/>
    <hyperlink ref="E416" r:id="rId251" xr:uid="{00000000-0004-0000-0C00-0000FA000000}"/>
    <hyperlink ref="B417" r:id="rId252" xr:uid="{00000000-0004-0000-0C00-0000FB000000}"/>
    <hyperlink ref="B418" r:id="rId253" xr:uid="{00000000-0004-0000-0C00-0000FC000000}"/>
    <hyperlink ref="B419" r:id="rId254" xr:uid="{00000000-0004-0000-0C00-0000FD000000}"/>
    <hyperlink ref="E422" r:id="rId255" xr:uid="{00000000-0004-0000-0C00-0000FE000000}"/>
    <hyperlink ref="E423" r:id="rId256" xr:uid="{00000000-0004-0000-0C00-0000FF000000}"/>
    <hyperlink ref="E424" r:id="rId257" xr:uid="{00000000-0004-0000-0C00-000000010000}"/>
    <hyperlink ref="E432" r:id="rId258" xr:uid="{00000000-0004-0000-0C00-000001010000}"/>
    <hyperlink ref="E435" r:id="rId259" xr:uid="{00000000-0004-0000-0C00-000002010000}"/>
    <hyperlink ref="E440" r:id="rId260" xr:uid="{00000000-0004-0000-0C00-000003010000}"/>
    <hyperlink ref="E441" r:id="rId261" xr:uid="{00000000-0004-0000-0C00-000004010000}"/>
    <hyperlink ref="E444" r:id="rId262" xr:uid="{00000000-0004-0000-0C00-000005010000}"/>
    <hyperlink ref="E445" r:id="rId263" xr:uid="{00000000-0004-0000-0C00-000006010000}"/>
    <hyperlink ref="B447" r:id="rId264" xr:uid="{00000000-0004-0000-0C00-000007010000}"/>
    <hyperlink ref="E449" r:id="rId265" xr:uid="{00000000-0004-0000-0C00-000008010000}"/>
    <hyperlink ref="E450" r:id="rId266" xr:uid="{00000000-0004-0000-0C00-000009010000}"/>
    <hyperlink ref="E451" r:id="rId267" xr:uid="{00000000-0004-0000-0C00-00000A010000}"/>
    <hyperlink ref="E452" r:id="rId268" xr:uid="{00000000-0004-0000-0C00-00000B010000}"/>
    <hyperlink ref="E453" r:id="rId269" xr:uid="{00000000-0004-0000-0C00-00000C010000}"/>
    <hyperlink ref="B456" r:id="rId270" xr:uid="{00000000-0004-0000-0C00-00000D010000}"/>
    <hyperlink ref="E456" r:id="rId271" xr:uid="{00000000-0004-0000-0C00-00000E010000}"/>
    <hyperlink ref="E459" r:id="rId272" xr:uid="{00000000-0004-0000-0C00-00000F010000}"/>
    <hyperlink ref="E460" r:id="rId273" xr:uid="{00000000-0004-0000-0C00-000010010000}"/>
    <hyperlink ref="E461" r:id="rId274" xr:uid="{00000000-0004-0000-0C00-000011010000}"/>
    <hyperlink ref="E462" r:id="rId275" xr:uid="{00000000-0004-0000-0C00-000012010000}"/>
    <hyperlink ref="E464" r:id="rId276" xr:uid="{00000000-0004-0000-0C00-000013010000}"/>
    <hyperlink ref="E465" r:id="rId277" xr:uid="{00000000-0004-0000-0C00-000014010000}"/>
    <hyperlink ref="E466" r:id="rId278" xr:uid="{00000000-0004-0000-0C00-000015010000}"/>
    <hyperlink ref="E467" r:id="rId279" xr:uid="{00000000-0004-0000-0C00-000016010000}"/>
    <hyperlink ref="E468" r:id="rId280" xr:uid="{00000000-0004-0000-0C00-000017010000}"/>
    <hyperlink ref="E470" r:id="rId281" xr:uid="{00000000-0004-0000-0C00-000018010000}"/>
    <hyperlink ref="E471" r:id="rId282" xr:uid="{00000000-0004-0000-0C00-000019010000}"/>
    <hyperlink ref="E472" r:id="rId283" xr:uid="{00000000-0004-0000-0C00-00001A010000}"/>
    <hyperlink ref="E473" r:id="rId284" xr:uid="{00000000-0004-0000-0C00-00001B010000}"/>
    <hyperlink ref="E474" r:id="rId285" xr:uid="{00000000-0004-0000-0C00-00001C010000}"/>
    <hyperlink ref="E475" r:id="rId286" xr:uid="{00000000-0004-0000-0C00-00001D010000}"/>
    <hyperlink ref="E476" r:id="rId287" xr:uid="{00000000-0004-0000-0C00-00001E010000}"/>
    <hyperlink ref="E477" r:id="rId288" xr:uid="{00000000-0004-0000-0C00-00001F010000}"/>
    <hyperlink ref="E478" r:id="rId289" xr:uid="{00000000-0004-0000-0C00-000020010000}"/>
    <hyperlink ref="E479" r:id="rId290" xr:uid="{00000000-0004-0000-0C00-000021010000}"/>
    <hyperlink ref="E481" r:id="rId291" xr:uid="{00000000-0004-0000-0C00-000022010000}"/>
    <hyperlink ref="E482" r:id="rId292" xr:uid="{00000000-0004-0000-0C00-000023010000}"/>
    <hyperlink ref="E484" r:id="rId293" xr:uid="{00000000-0004-0000-0C00-000024010000}"/>
    <hyperlink ref="E485" r:id="rId294" xr:uid="{00000000-0004-0000-0C00-000025010000}"/>
    <hyperlink ref="E486" r:id="rId295" xr:uid="{00000000-0004-0000-0C00-000026010000}"/>
    <hyperlink ref="E487" r:id="rId296" xr:uid="{00000000-0004-0000-0C00-000027010000}"/>
    <hyperlink ref="E488" r:id="rId297" xr:uid="{00000000-0004-0000-0C00-000028010000}"/>
    <hyperlink ref="E489" r:id="rId298" xr:uid="{00000000-0004-0000-0C00-000029010000}"/>
    <hyperlink ref="E491" r:id="rId299" xr:uid="{00000000-0004-0000-0C00-00002A010000}"/>
    <hyperlink ref="E494" r:id="rId300" xr:uid="{00000000-0004-0000-0C00-00002B010000}"/>
    <hyperlink ref="E499" r:id="rId301" xr:uid="{00000000-0004-0000-0C00-00002C010000}"/>
    <hyperlink ref="E501" r:id="rId302" xr:uid="{00000000-0004-0000-0C00-00002D010000}"/>
    <hyperlink ref="E502" r:id="rId303" xr:uid="{00000000-0004-0000-0C00-00002E010000}"/>
    <hyperlink ref="B503" r:id="rId304" xr:uid="{00000000-0004-0000-0C00-00002F010000}"/>
    <hyperlink ref="B504" r:id="rId305" xr:uid="{00000000-0004-0000-0C00-000030010000}"/>
    <hyperlink ref="E504" r:id="rId306" xr:uid="{00000000-0004-0000-0C00-000031010000}"/>
    <hyperlink ref="B506" r:id="rId307" xr:uid="{00000000-0004-0000-0C00-000032010000}"/>
    <hyperlink ref="E507" r:id="rId308" xr:uid="{00000000-0004-0000-0C00-000033010000}"/>
    <hyperlink ref="E508" r:id="rId309" xr:uid="{00000000-0004-0000-0C00-000034010000}"/>
    <hyperlink ref="E509" r:id="rId310" xr:uid="{00000000-0004-0000-0C00-000035010000}"/>
    <hyperlink ref="E510" r:id="rId311" xr:uid="{00000000-0004-0000-0C00-000036010000}"/>
    <hyperlink ref="E511" r:id="rId312" xr:uid="{00000000-0004-0000-0C00-000037010000}"/>
    <hyperlink ref="E512" r:id="rId313" xr:uid="{00000000-0004-0000-0C00-000038010000}"/>
    <hyperlink ref="E513" r:id="rId314" xr:uid="{00000000-0004-0000-0C00-000039010000}"/>
    <hyperlink ref="E514" r:id="rId315" xr:uid="{00000000-0004-0000-0C00-00003A010000}"/>
    <hyperlink ref="E518" r:id="rId316" location="page=429" xr:uid="{00000000-0004-0000-0C00-00003B010000}"/>
    <hyperlink ref="E519" r:id="rId317" xr:uid="{00000000-0004-0000-0C00-00003C010000}"/>
    <hyperlink ref="E520" r:id="rId318" xr:uid="{00000000-0004-0000-0C00-00003D010000}"/>
    <hyperlink ref="E521" r:id="rId319" xr:uid="{00000000-0004-0000-0C00-00003E010000}"/>
    <hyperlink ref="E522" r:id="rId320" xr:uid="{00000000-0004-0000-0C00-00003F010000}"/>
    <hyperlink ref="E523" r:id="rId321" xr:uid="{00000000-0004-0000-0C00-000040010000}"/>
    <hyperlink ref="E524" r:id="rId322" xr:uid="{00000000-0004-0000-0C00-000041010000}"/>
    <hyperlink ref="E525" r:id="rId323" xr:uid="{00000000-0004-0000-0C00-000042010000}"/>
    <hyperlink ref="E526" r:id="rId324" xr:uid="{00000000-0004-0000-0C00-000043010000}"/>
    <hyperlink ref="E527" r:id="rId325" xr:uid="{00000000-0004-0000-0C00-000044010000}"/>
    <hyperlink ref="E528" r:id="rId326" xr:uid="{00000000-0004-0000-0C00-000045010000}"/>
    <hyperlink ref="E529" r:id="rId327" xr:uid="{00000000-0004-0000-0C00-000046010000}"/>
    <hyperlink ref="E530" r:id="rId328" xr:uid="{00000000-0004-0000-0C00-000047010000}"/>
    <hyperlink ref="E531" r:id="rId329" xr:uid="{00000000-0004-0000-0C00-000048010000}"/>
    <hyperlink ref="E532" r:id="rId330" xr:uid="{00000000-0004-0000-0C00-000049010000}"/>
    <hyperlink ref="E533" r:id="rId331" xr:uid="{00000000-0004-0000-0C00-00004A010000}"/>
    <hyperlink ref="E534" r:id="rId332" xr:uid="{00000000-0004-0000-0C00-00004B010000}"/>
    <hyperlink ref="E535" r:id="rId333" xr:uid="{00000000-0004-0000-0C00-00004C010000}"/>
    <hyperlink ref="E536" r:id="rId334" xr:uid="{00000000-0004-0000-0C00-00004D010000}"/>
    <hyperlink ref="E537" r:id="rId335" xr:uid="{00000000-0004-0000-0C00-00004E010000}"/>
    <hyperlink ref="E538" r:id="rId336" xr:uid="{00000000-0004-0000-0C00-00004F010000}"/>
    <hyperlink ref="E539" r:id="rId337" xr:uid="{00000000-0004-0000-0C00-000050010000}"/>
    <hyperlink ref="E540" r:id="rId338" xr:uid="{00000000-0004-0000-0C00-000051010000}"/>
    <hyperlink ref="E541" r:id="rId339" xr:uid="{00000000-0004-0000-0C00-000052010000}"/>
    <hyperlink ref="E542" r:id="rId340" xr:uid="{00000000-0004-0000-0C00-000053010000}"/>
    <hyperlink ref="E543" r:id="rId341" xr:uid="{00000000-0004-0000-0C00-000054010000}"/>
    <hyperlink ref="E544" r:id="rId342" xr:uid="{00000000-0004-0000-0C00-000055010000}"/>
    <hyperlink ref="E545" r:id="rId343" xr:uid="{00000000-0004-0000-0C00-000056010000}"/>
    <hyperlink ref="E546" r:id="rId344" xr:uid="{00000000-0004-0000-0C00-000057010000}"/>
    <hyperlink ref="E547" r:id="rId345" xr:uid="{00000000-0004-0000-0C00-000058010000}"/>
    <hyperlink ref="E548" r:id="rId346" xr:uid="{00000000-0004-0000-0C00-000059010000}"/>
    <hyperlink ref="E549" r:id="rId347" xr:uid="{00000000-0004-0000-0C00-00005A010000}"/>
    <hyperlink ref="E550" r:id="rId348" xr:uid="{00000000-0004-0000-0C00-00005B010000}"/>
    <hyperlink ref="E551" r:id="rId349" xr:uid="{00000000-0004-0000-0C00-00005C010000}"/>
    <hyperlink ref="E552" r:id="rId350" xr:uid="{00000000-0004-0000-0C00-00005D010000}"/>
    <hyperlink ref="E553" r:id="rId351" xr:uid="{00000000-0004-0000-0C00-00005E010000}"/>
    <hyperlink ref="E554" r:id="rId352" xr:uid="{00000000-0004-0000-0C00-00005F010000}"/>
    <hyperlink ref="E555" r:id="rId353" xr:uid="{00000000-0004-0000-0C00-000060010000}"/>
    <hyperlink ref="E556" r:id="rId354" xr:uid="{00000000-0004-0000-0C00-000061010000}"/>
    <hyperlink ref="E557" r:id="rId355" xr:uid="{00000000-0004-0000-0C00-000062010000}"/>
    <hyperlink ref="E558" r:id="rId356" xr:uid="{00000000-0004-0000-0C00-000063010000}"/>
    <hyperlink ref="E559" r:id="rId357" xr:uid="{00000000-0004-0000-0C00-000064010000}"/>
    <hyperlink ref="E560" r:id="rId358" xr:uid="{00000000-0004-0000-0C00-000065010000}"/>
    <hyperlink ref="E561" r:id="rId359" xr:uid="{00000000-0004-0000-0C00-000066010000}"/>
    <hyperlink ref="E562" r:id="rId360" xr:uid="{00000000-0004-0000-0C00-000067010000}"/>
    <hyperlink ref="E565" r:id="rId361" xr:uid="{00000000-0004-0000-0C00-000068010000}"/>
    <hyperlink ref="E568" r:id="rId362" xr:uid="{00000000-0004-0000-0C00-000069010000}"/>
    <hyperlink ref="E574" r:id="rId363" xr:uid="{00000000-0004-0000-0C00-00006A010000}"/>
    <hyperlink ref="E575" r:id="rId364" xr:uid="{00000000-0004-0000-0C00-00006B010000}"/>
    <hyperlink ref="B576" r:id="rId365" xr:uid="{00000000-0004-0000-0C00-00006C010000}"/>
    <hyperlink ref="E578" r:id="rId366" xr:uid="{00000000-0004-0000-0C00-00006D010000}"/>
    <hyperlink ref="B579" r:id="rId367" xr:uid="{00000000-0004-0000-0C00-00006E010000}"/>
    <hyperlink ref="E582" r:id="rId368" xr:uid="{00000000-0004-0000-0C00-00006F010000}"/>
    <hyperlink ref="B583" r:id="rId369" xr:uid="{00000000-0004-0000-0C00-000070010000}"/>
    <hyperlink ref="E583" r:id="rId370" xr:uid="{00000000-0004-0000-0C00-000071010000}"/>
    <hyperlink ref="E587" r:id="rId371" xr:uid="{00000000-0004-0000-0C00-000072010000}"/>
  </hyperlinks>
  <pageMargins left="0.75" right="0.75" top="1" bottom="1" header="0" footer="0"/>
  <pageSetup orientation="landscape"/>
  <drawing r:id="rId37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Z1000"/>
  <sheetViews>
    <sheetView workbookViewId="0"/>
  </sheetViews>
  <sheetFormatPr defaultColWidth="14.3984375" defaultRowHeight="15" customHeight="1"/>
  <cols>
    <col min="1" max="1" width="23.73046875" customWidth="1"/>
    <col min="2" max="2" width="17.3984375" customWidth="1"/>
    <col min="3" max="3" width="12.1328125" customWidth="1"/>
    <col min="4" max="4" width="20.1328125" customWidth="1"/>
    <col min="5" max="5" width="28.3984375" customWidth="1"/>
    <col min="6" max="6" width="18.59765625" customWidth="1"/>
    <col min="7" max="7" width="11.86328125" customWidth="1"/>
    <col min="8" max="8" width="11.3984375" customWidth="1"/>
    <col min="9" max="9" width="8" customWidth="1"/>
    <col min="10" max="10" width="9.59765625" customWidth="1"/>
    <col min="11" max="26" width="8" customWidth="1"/>
  </cols>
  <sheetData>
    <row r="1" spans="1:26" ht="14.25">
      <c r="A1" s="64"/>
      <c r="B1" s="65"/>
      <c r="C1" s="65"/>
      <c r="D1" s="65"/>
      <c r="E1" s="65"/>
      <c r="F1" s="1"/>
      <c r="G1" s="1"/>
      <c r="H1" s="216"/>
      <c r="I1" s="216"/>
      <c r="J1" s="216"/>
      <c r="K1" s="216"/>
      <c r="L1" s="216"/>
      <c r="M1" s="216"/>
      <c r="N1" s="216"/>
      <c r="O1" s="216"/>
      <c r="P1" s="216"/>
      <c r="Q1" s="216"/>
      <c r="R1" s="216"/>
      <c r="S1" s="216"/>
      <c r="T1" s="216"/>
      <c r="U1" s="216"/>
      <c r="V1" s="216"/>
      <c r="W1" s="216"/>
      <c r="X1" s="216"/>
      <c r="Y1" s="216"/>
      <c r="Z1" s="216"/>
    </row>
    <row r="2" spans="1:26" ht="14.25" customHeight="1">
      <c r="A2" s="1253" t="s">
        <v>6195</v>
      </c>
      <c r="B2" s="1232"/>
      <c r="C2" s="1232"/>
      <c r="D2" s="1232"/>
      <c r="E2" s="1232"/>
      <c r="F2" s="1232"/>
      <c r="G2" s="1232"/>
      <c r="H2" s="1232"/>
      <c r="I2" s="1233"/>
      <c r="J2" s="69"/>
      <c r="K2" s="69"/>
      <c r="L2" s="69"/>
      <c r="M2" s="69"/>
      <c r="N2" s="69"/>
      <c r="O2" s="69"/>
      <c r="P2" s="69"/>
      <c r="Q2" s="69"/>
      <c r="R2" s="69"/>
      <c r="S2" s="69"/>
      <c r="T2" s="69"/>
      <c r="U2" s="69"/>
      <c r="V2" s="69"/>
      <c r="W2" s="69"/>
      <c r="X2" s="69"/>
      <c r="Y2" s="69"/>
      <c r="Z2" s="69"/>
    </row>
    <row r="3" spans="1:26" ht="15.4">
      <c r="A3" s="375"/>
      <c r="B3" s="375"/>
      <c r="C3" s="375"/>
      <c r="D3" s="375"/>
      <c r="E3" s="375"/>
      <c r="F3" s="375"/>
      <c r="G3" s="68"/>
      <c r="H3" s="69"/>
      <c r="I3" s="69"/>
      <c r="J3" s="69"/>
      <c r="K3" s="69"/>
      <c r="L3" s="69"/>
      <c r="M3" s="69"/>
      <c r="N3" s="69"/>
      <c r="O3" s="69"/>
      <c r="P3" s="69"/>
      <c r="Q3" s="69"/>
      <c r="R3" s="69"/>
      <c r="S3" s="69"/>
      <c r="T3" s="69"/>
      <c r="U3" s="69"/>
      <c r="V3" s="69"/>
      <c r="W3" s="69"/>
      <c r="X3" s="69"/>
      <c r="Y3" s="69"/>
      <c r="Z3" s="69"/>
    </row>
    <row r="4" spans="1:26" ht="14.25" customHeight="1">
      <c r="A4" s="1226" t="s">
        <v>6196</v>
      </c>
      <c r="B4" s="1227"/>
      <c r="C4" s="1227"/>
      <c r="D4" s="1227"/>
      <c r="E4" s="1227"/>
      <c r="F4" s="1227"/>
      <c r="G4" s="1227"/>
      <c r="H4" s="1227"/>
      <c r="I4" s="1228"/>
      <c r="J4" s="69"/>
      <c r="K4" s="69"/>
      <c r="L4" s="69"/>
      <c r="M4" s="69"/>
      <c r="N4" s="69"/>
      <c r="O4" s="69"/>
      <c r="P4" s="69"/>
      <c r="Q4" s="69"/>
      <c r="R4" s="69"/>
      <c r="S4" s="69"/>
      <c r="T4" s="69"/>
      <c r="U4" s="69"/>
      <c r="V4" s="69"/>
      <c r="W4" s="69"/>
      <c r="X4" s="69"/>
      <c r="Y4" s="69"/>
      <c r="Z4" s="69"/>
    </row>
    <row r="5" spans="1:26" ht="27" customHeight="1">
      <c r="A5" s="1226" t="s">
        <v>6197</v>
      </c>
      <c r="B5" s="1227"/>
      <c r="C5" s="1227"/>
      <c r="D5" s="1227"/>
      <c r="E5" s="1227"/>
      <c r="F5" s="1227"/>
      <c r="G5" s="1227"/>
      <c r="H5" s="1227"/>
      <c r="I5" s="1228"/>
      <c r="J5" s="69"/>
      <c r="K5" s="69"/>
      <c r="L5" s="69"/>
      <c r="M5" s="69"/>
      <c r="N5" s="69"/>
      <c r="O5" s="69"/>
      <c r="P5" s="69"/>
      <c r="Q5" s="69"/>
      <c r="R5" s="69"/>
      <c r="S5" s="69"/>
      <c r="T5" s="69"/>
      <c r="U5" s="69"/>
      <c r="V5" s="69"/>
      <c r="W5" s="69"/>
      <c r="X5" s="69"/>
      <c r="Y5" s="69"/>
      <c r="Z5" s="69"/>
    </row>
    <row r="6" spans="1:26" ht="14.25" customHeight="1">
      <c r="A6" s="1226" t="s">
        <v>6198</v>
      </c>
      <c r="B6" s="1227"/>
      <c r="C6" s="1227"/>
      <c r="D6" s="1227"/>
      <c r="E6" s="1227"/>
      <c r="F6" s="1227"/>
      <c r="G6" s="1227"/>
      <c r="H6" s="1227"/>
      <c r="I6" s="1228"/>
      <c r="J6" s="69"/>
      <c r="K6" s="69"/>
      <c r="L6" s="69"/>
      <c r="M6" s="69"/>
      <c r="N6" s="69"/>
      <c r="O6" s="69"/>
      <c r="P6" s="69"/>
      <c r="Q6" s="69"/>
      <c r="R6" s="69"/>
      <c r="S6" s="69"/>
      <c r="T6" s="69"/>
      <c r="U6" s="69"/>
      <c r="V6" s="69"/>
      <c r="W6" s="69"/>
      <c r="X6" s="69"/>
      <c r="Y6" s="69"/>
      <c r="Z6" s="69"/>
    </row>
    <row r="7" spans="1:26" ht="17.25" customHeight="1">
      <c r="A7" s="1226" t="s">
        <v>6199</v>
      </c>
      <c r="B7" s="1227"/>
      <c r="C7" s="1227"/>
      <c r="D7" s="1227"/>
      <c r="E7" s="1227"/>
      <c r="F7" s="1227"/>
      <c r="G7" s="1227"/>
      <c r="H7" s="1227"/>
      <c r="I7" s="1228"/>
      <c r="J7" s="69"/>
      <c r="K7" s="69"/>
      <c r="L7" s="69"/>
      <c r="M7" s="69"/>
      <c r="N7" s="69"/>
      <c r="O7" s="69"/>
      <c r="P7" s="69"/>
      <c r="Q7" s="69"/>
      <c r="R7" s="69"/>
      <c r="S7" s="69"/>
      <c r="T7" s="69"/>
      <c r="U7" s="69"/>
      <c r="V7" s="69"/>
      <c r="W7" s="69"/>
      <c r="X7" s="69"/>
      <c r="Y7" s="69"/>
      <c r="Z7" s="69"/>
    </row>
    <row r="8" spans="1:26" ht="30" customHeight="1">
      <c r="A8" s="1226" t="s">
        <v>6200</v>
      </c>
      <c r="B8" s="1227"/>
      <c r="C8" s="1227"/>
      <c r="D8" s="1227"/>
      <c r="E8" s="1227"/>
      <c r="F8" s="1227"/>
      <c r="G8" s="1227"/>
      <c r="H8" s="1227"/>
      <c r="I8" s="1228"/>
      <c r="J8" s="69"/>
      <c r="K8" s="69"/>
      <c r="L8" s="69"/>
      <c r="M8" s="69"/>
      <c r="N8" s="69"/>
      <c r="O8" s="69"/>
      <c r="P8" s="69"/>
      <c r="Q8" s="69"/>
      <c r="R8" s="69"/>
      <c r="S8" s="69"/>
      <c r="T8" s="69"/>
      <c r="U8" s="69"/>
      <c r="V8" s="69"/>
      <c r="W8" s="69"/>
      <c r="X8" s="69"/>
      <c r="Y8" s="69"/>
      <c r="Z8" s="69"/>
    </row>
    <row r="9" spans="1:26" ht="15" customHeight="1">
      <c r="A9" s="1226" t="s">
        <v>6201</v>
      </c>
      <c r="B9" s="1227"/>
      <c r="C9" s="1227"/>
      <c r="D9" s="1227"/>
      <c r="E9" s="1227"/>
      <c r="F9" s="1227"/>
      <c r="G9" s="1227"/>
      <c r="H9" s="1227"/>
      <c r="I9" s="1228"/>
      <c r="J9" s="69"/>
      <c r="K9" s="69"/>
      <c r="L9" s="69"/>
      <c r="M9" s="69"/>
      <c r="N9" s="69"/>
      <c r="O9" s="69"/>
      <c r="P9" s="69"/>
      <c r="Q9" s="69"/>
      <c r="R9" s="69"/>
      <c r="S9" s="69"/>
      <c r="T9" s="69"/>
      <c r="U9" s="69"/>
      <c r="V9" s="69"/>
      <c r="W9" s="69"/>
      <c r="X9" s="69"/>
      <c r="Y9" s="69"/>
      <c r="Z9" s="69"/>
    </row>
    <row r="10" spans="1:26" ht="24.75" customHeight="1">
      <c r="A10" s="1226" t="s">
        <v>6202</v>
      </c>
      <c r="B10" s="1227"/>
      <c r="C10" s="1227"/>
      <c r="D10" s="1227"/>
      <c r="E10" s="1227"/>
      <c r="F10" s="1227"/>
      <c r="G10" s="1227"/>
      <c r="H10" s="1227"/>
      <c r="I10" s="1228"/>
      <c r="J10" s="69"/>
      <c r="K10" s="69"/>
      <c r="L10" s="69"/>
      <c r="M10" s="69"/>
      <c r="N10" s="69"/>
      <c r="O10" s="69"/>
      <c r="P10" s="69"/>
      <c r="Q10" s="69"/>
      <c r="R10" s="69"/>
      <c r="S10" s="69"/>
      <c r="T10" s="69"/>
      <c r="U10" s="69"/>
      <c r="V10" s="69"/>
      <c r="W10" s="69"/>
      <c r="X10" s="69"/>
      <c r="Y10" s="69"/>
      <c r="Z10" s="69"/>
    </row>
    <row r="11" spans="1:26" ht="14.25" customHeight="1">
      <c r="A11" s="1226" t="s">
        <v>6203</v>
      </c>
      <c r="B11" s="1227"/>
      <c r="C11" s="1227"/>
      <c r="D11" s="1227"/>
      <c r="E11" s="1227"/>
      <c r="F11" s="1227"/>
      <c r="G11" s="1227"/>
      <c r="H11" s="1227"/>
      <c r="I11" s="1228"/>
      <c r="J11" s="69"/>
      <c r="K11" s="69"/>
      <c r="L11" s="69"/>
      <c r="M11" s="69"/>
      <c r="N11" s="69"/>
      <c r="O11" s="69"/>
      <c r="P11" s="69"/>
      <c r="Q11" s="69"/>
      <c r="R11" s="69"/>
      <c r="S11" s="69"/>
      <c r="T11" s="69"/>
      <c r="U11" s="69"/>
      <c r="V11" s="69"/>
      <c r="W11" s="69"/>
      <c r="X11" s="69"/>
      <c r="Y11" s="69"/>
      <c r="Z11" s="69"/>
    </row>
    <row r="12" spans="1:26" ht="15.75" customHeight="1">
      <c r="A12" s="1226" t="s">
        <v>6204</v>
      </c>
      <c r="B12" s="1227"/>
      <c r="C12" s="1227"/>
      <c r="D12" s="1227"/>
      <c r="E12" s="1227"/>
      <c r="F12" s="1227"/>
      <c r="G12" s="1227"/>
      <c r="H12" s="1227"/>
      <c r="I12" s="1228"/>
      <c r="J12" s="69"/>
      <c r="K12" s="69"/>
      <c r="L12" s="69"/>
      <c r="M12" s="69"/>
      <c r="N12" s="69"/>
      <c r="O12" s="69"/>
      <c r="P12" s="69"/>
      <c r="Q12" s="69"/>
      <c r="R12" s="69"/>
      <c r="S12" s="69"/>
      <c r="T12" s="69"/>
      <c r="U12" s="69"/>
      <c r="V12" s="69"/>
      <c r="W12" s="69"/>
      <c r="X12" s="69"/>
      <c r="Y12" s="69"/>
      <c r="Z12" s="69"/>
    </row>
    <row r="13" spans="1:26" ht="213" customHeight="1">
      <c r="A13" s="1229" t="s">
        <v>6205</v>
      </c>
      <c r="B13" s="1227"/>
      <c r="C13" s="1227"/>
      <c r="D13" s="1227"/>
      <c r="E13" s="1227"/>
      <c r="F13" s="1227"/>
      <c r="G13" s="1227"/>
      <c r="H13" s="1227"/>
      <c r="I13" s="1228"/>
      <c r="J13" s="69"/>
      <c r="K13" s="69"/>
      <c r="L13" s="69"/>
      <c r="M13" s="69"/>
      <c r="N13" s="69"/>
      <c r="O13" s="69"/>
      <c r="P13" s="69"/>
      <c r="Q13" s="69"/>
      <c r="R13" s="69"/>
      <c r="S13" s="69"/>
      <c r="T13" s="69"/>
      <c r="U13" s="69"/>
      <c r="V13" s="69"/>
      <c r="W13" s="69"/>
      <c r="X13" s="69"/>
      <c r="Y13" s="69"/>
      <c r="Z13" s="69"/>
    </row>
    <row r="14" spans="1:26" ht="14.25">
      <c r="A14" s="77"/>
      <c r="B14" s="78"/>
      <c r="C14" s="78"/>
      <c r="D14" s="78"/>
      <c r="E14" s="78"/>
      <c r="F14" s="77"/>
      <c r="G14" s="68"/>
      <c r="H14" s="69"/>
      <c r="I14" s="69"/>
      <c r="J14" s="69"/>
      <c r="K14" s="69"/>
      <c r="L14" s="69"/>
      <c r="M14" s="69"/>
      <c r="N14" s="69"/>
      <c r="O14" s="69"/>
      <c r="P14" s="69"/>
      <c r="Q14" s="69"/>
      <c r="R14" s="69"/>
      <c r="S14" s="69"/>
      <c r="T14" s="69"/>
      <c r="U14" s="69"/>
      <c r="V14" s="69"/>
      <c r="W14" s="69"/>
      <c r="X14" s="69"/>
      <c r="Y14" s="69"/>
      <c r="Z14" s="69"/>
    </row>
    <row r="15" spans="1:26" ht="45" customHeight="1">
      <c r="A15" s="350" t="s">
        <v>6</v>
      </c>
      <c r="B15" s="83" t="s">
        <v>7</v>
      </c>
      <c r="C15" s="350" t="s">
        <v>6206</v>
      </c>
      <c r="D15" s="965" t="s">
        <v>6207</v>
      </c>
      <c r="E15" s="85" t="s">
        <v>6208</v>
      </c>
      <c r="F15" s="350" t="s">
        <v>6209</v>
      </c>
      <c r="G15" s="350" t="s">
        <v>6210</v>
      </c>
      <c r="H15" s="350" t="s">
        <v>6211</v>
      </c>
      <c r="I15" s="350" t="s">
        <v>210</v>
      </c>
      <c r="J15" s="336" t="s">
        <v>211</v>
      </c>
      <c r="K15" s="216"/>
      <c r="L15" s="216"/>
      <c r="M15" s="216"/>
      <c r="N15" s="216"/>
      <c r="O15" s="216"/>
      <c r="P15" s="216"/>
      <c r="Q15" s="216"/>
      <c r="R15" s="216"/>
      <c r="S15" s="216"/>
      <c r="T15" s="216"/>
      <c r="U15" s="216"/>
      <c r="V15" s="216"/>
      <c r="W15" s="216"/>
      <c r="X15" s="216"/>
      <c r="Y15" s="216"/>
      <c r="Z15" s="216"/>
    </row>
    <row r="16" spans="1:26" ht="15" customHeight="1">
      <c r="A16" s="134" t="s">
        <v>6212</v>
      </c>
      <c r="B16" s="99" t="s">
        <v>51</v>
      </c>
      <c r="C16" s="99" t="s">
        <v>6213</v>
      </c>
      <c r="D16" s="133" t="s">
        <v>6214</v>
      </c>
      <c r="E16" s="130" t="s">
        <v>6215</v>
      </c>
      <c r="F16" s="133"/>
      <c r="G16" s="133">
        <v>50</v>
      </c>
      <c r="H16" s="495"/>
      <c r="I16" s="31">
        <v>50</v>
      </c>
      <c r="J16" s="338" t="s">
        <v>221</v>
      </c>
    </row>
    <row r="17" spans="1:10" ht="15" customHeight="1">
      <c r="A17" s="134" t="s">
        <v>6216</v>
      </c>
      <c r="B17" s="99" t="s">
        <v>401</v>
      </c>
      <c r="C17" s="134" t="s">
        <v>834</v>
      </c>
      <c r="D17" s="384" t="s">
        <v>6217</v>
      </c>
      <c r="E17" s="134" t="s">
        <v>6218</v>
      </c>
      <c r="F17" s="134" t="s">
        <v>6219</v>
      </c>
      <c r="G17" s="133">
        <v>50</v>
      </c>
      <c r="H17" s="495" t="s">
        <v>6220</v>
      </c>
      <c r="I17" s="31">
        <v>50</v>
      </c>
      <c r="J17" s="338" t="s">
        <v>1315</v>
      </c>
    </row>
    <row r="18" spans="1:10" ht="15" customHeight="1">
      <c r="A18" s="134" t="s">
        <v>6216</v>
      </c>
      <c r="B18" s="99" t="s">
        <v>401</v>
      </c>
      <c r="C18" s="138" t="s">
        <v>421</v>
      </c>
      <c r="D18" s="384" t="s">
        <v>6221</v>
      </c>
      <c r="E18" s="384" t="s">
        <v>6222</v>
      </c>
      <c r="F18" s="131" t="s">
        <v>6223</v>
      </c>
      <c r="G18" s="133">
        <v>50</v>
      </c>
      <c r="H18" s="495" t="s">
        <v>6220</v>
      </c>
      <c r="I18" s="31">
        <v>50</v>
      </c>
      <c r="J18" s="338" t="s">
        <v>1315</v>
      </c>
    </row>
    <row r="19" spans="1:10" ht="15" customHeight="1">
      <c r="A19" s="134" t="s">
        <v>6216</v>
      </c>
      <c r="B19" s="99" t="s">
        <v>401</v>
      </c>
      <c r="C19" s="138" t="s">
        <v>284</v>
      </c>
      <c r="D19" s="384" t="s">
        <v>6224</v>
      </c>
      <c r="E19" s="384" t="s">
        <v>6225</v>
      </c>
      <c r="F19" s="133" t="s">
        <v>6226</v>
      </c>
      <c r="G19" s="133">
        <v>50</v>
      </c>
      <c r="H19" s="495" t="s">
        <v>6220</v>
      </c>
      <c r="I19" s="31">
        <v>50</v>
      </c>
      <c r="J19" s="338" t="s">
        <v>1315</v>
      </c>
    </row>
    <row r="20" spans="1:10" ht="15" customHeight="1">
      <c r="A20" s="134" t="s">
        <v>6216</v>
      </c>
      <c r="B20" s="99" t="s">
        <v>401</v>
      </c>
      <c r="C20" s="138" t="s">
        <v>925</v>
      </c>
      <c r="D20" s="384" t="s">
        <v>6227</v>
      </c>
      <c r="E20" s="384" t="s">
        <v>6228</v>
      </c>
      <c r="F20" s="966">
        <v>44783</v>
      </c>
      <c r="G20" s="133">
        <v>50</v>
      </c>
      <c r="H20" s="495" t="s">
        <v>6220</v>
      </c>
      <c r="I20" s="31">
        <v>50</v>
      </c>
      <c r="J20" s="338" t="s">
        <v>1315</v>
      </c>
    </row>
    <row r="21" spans="1:10" ht="15" customHeight="1">
      <c r="A21" s="134" t="s">
        <v>6216</v>
      </c>
      <c r="B21" s="99" t="s">
        <v>401</v>
      </c>
      <c r="C21" s="138" t="s">
        <v>6229</v>
      </c>
      <c r="D21" s="384" t="s">
        <v>6230</v>
      </c>
      <c r="E21" s="384" t="s">
        <v>6231</v>
      </c>
      <c r="F21" s="967">
        <v>44824</v>
      </c>
      <c r="G21" s="133">
        <v>50</v>
      </c>
      <c r="H21" s="495" t="s">
        <v>6220</v>
      </c>
      <c r="I21" s="31">
        <v>50</v>
      </c>
      <c r="J21" s="338" t="s">
        <v>1315</v>
      </c>
    </row>
    <row r="22" spans="1:10" ht="15" customHeight="1">
      <c r="A22" s="134" t="s">
        <v>6216</v>
      </c>
      <c r="B22" s="99" t="s">
        <v>401</v>
      </c>
      <c r="C22" s="138" t="s">
        <v>6229</v>
      </c>
      <c r="D22" s="384" t="s">
        <v>6230</v>
      </c>
      <c r="E22" s="384" t="s">
        <v>6232</v>
      </c>
      <c r="F22" s="967">
        <v>44861</v>
      </c>
      <c r="G22" s="133">
        <v>50</v>
      </c>
      <c r="H22" s="495" t="s">
        <v>6220</v>
      </c>
      <c r="I22" s="31">
        <v>50</v>
      </c>
      <c r="J22" s="338" t="s">
        <v>1315</v>
      </c>
    </row>
    <row r="23" spans="1:10" ht="15" customHeight="1">
      <c r="A23" s="134" t="s">
        <v>6216</v>
      </c>
      <c r="B23" s="99" t="s">
        <v>401</v>
      </c>
      <c r="C23" s="134" t="s">
        <v>834</v>
      </c>
      <c r="D23" s="384" t="s">
        <v>6217</v>
      </c>
      <c r="E23" s="134" t="s">
        <v>6218</v>
      </c>
      <c r="F23" s="967">
        <v>44907</v>
      </c>
      <c r="G23" s="133">
        <v>50</v>
      </c>
      <c r="H23" s="495" t="s">
        <v>6220</v>
      </c>
      <c r="I23" s="31">
        <v>50</v>
      </c>
      <c r="J23" s="338" t="s">
        <v>1315</v>
      </c>
    </row>
    <row r="24" spans="1:10" ht="15" customHeight="1">
      <c r="A24" s="134" t="s">
        <v>6233</v>
      </c>
      <c r="B24" s="99" t="s">
        <v>6234</v>
      </c>
      <c r="C24" s="99" t="s">
        <v>4731</v>
      </c>
      <c r="D24" s="133" t="s">
        <v>6235</v>
      </c>
      <c r="E24" s="133" t="s">
        <v>6236</v>
      </c>
      <c r="F24" s="133"/>
      <c r="G24" s="133">
        <v>100</v>
      </c>
      <c r="H24" s="495">
        <v>1</v>
      </c>
      <c r="I24" s="31">
        <v>100</v>
      </c>
      <c r="J24" s="338" t="s">
        <v>1331</v>
      </c>
    </row>
    <row r="25" spans="1:10" ht="15" customHeight="1">
      <c r="A25" s="121" t="s">
        <v>6237</v>
      </c>
      <c r="B25" s="763" t="s">
        <v>51</v>
      </c>
      <c r="C25" s="121" t="s">
        <v>6238</v>
      </c>
      <c r="D25" s="121" t="s">
        <v>1338</v>
      </c>
      <c r="E25" s="968" t="s">
        <v>6239</v>
      </c>
      <c r="F25" s="121">
        <v>2022</v>
      </c>
      <c r="G25" s="121">
        <v>100</v>
      </c>
      <c r="H25" s="969"/>
      <c r="I25" s="159">
        <v>100</v>
      </c>
      <c r="J25" s="338" t="s">
        <v>1339</v>
      </c>
    </row>
    <row r="26" spans="1:10" ht="15" customHeight="1">
      <c r="A26" s="121" t="s">
        <v>6237</v>
      </c>
      <c r="B26" s="763" t="s">
        <v>51</v>
      </c>
      <c r="C26" s="970" t="s">
        <v>974</v>
      </c>
      <c r="D26" s="90" t="s">
        <v>1338</v>
      </c>
      <c r="E26" s="90" t="s">
        <v>6240</v>
      </c>
      <c r="F26" s="90" t="s">
        <v>6241</v>
      </c>
      <c r="G26" s="971">
        <v>50</v>
      </c>
      <c r="H26" s="972"/>
      <c r="I26" s="159">
        <v>50</v>
      </c>
      <c r="J26" s="338" t="s">
        <v>1339</v>
      </c>
    </row>
    <row r="27" spans="1:10" ht="15" customHeight="1">
      <c r="A27" s="121" t="s">
        <v>6237</v>
      </c>
      <c r="B27" s="763" t="s">
        <v>51</v>
      </c>
      <c r="C27" s="121" t="s">
        <v>6242</v>
      </c>
      <c r="D27" s="90" t="s">
        <v>1338</v>
      </c>
      <c r="E27" s="121" t="s">
        <v>6243</v>
      </c>
      <c r="F27" s="121" t="s">
        <v>6244</v>
      </c>
      <c r="G27" s="337">
        <v>50</v>
      </c>
      <c r="H27" s="765"/>
      <c r="I27" s="159">
        <v>50</v>
      </c>
      <c r="J27" s="338" t="s">
        <v>1339</v>
      </c>
    </row>
    <row r="28" spans="1:10" ht="15" customHeight="1">
      <c r="A28" s="379" t="s">
        <v>6237</v>
      </c>
      <c r="B28" s="387" t="s">
        <v>51</v>
      </c>
      <c r="C28" s="121" t="s">
        <v>214</v>
      </c>
      <c r="D28" s="90" t="s">
        <v>1338</v>
      </c>
      <c r="E28" s="121" t="s">
        <v>6245</v>
      </c>
      <c r="F28" s="121" t="s">
        <v>6246</v>
      </c>
      <c r="G28" s="337">
        <v>50</v>
      </c>
      <c r="H28" s="765"/>
      <c r="I28" s="159">
        <v>50</v>
      </c>
      <c r="J28" s="338" t="s">
        <v>1339</v>
      </c>
    </row>
    <row r="29" spans="1:10" ht="15" customHeight="1">
      <c r="A29" s="379" t="s">
        <v>6237</v>
      </c>
      <c r="B29" s="387" t="s">
        <v>51</v>
      </c>
      <c r="C29" s="121" t="s">
        <v>6247</v>
      </c>
      <c r="D29" s="90" t="s">
        <v>1338</v>
      </c>
      <c r="E29" s="121" t="s">
        <v>6248</v>
      </c>
      <c r="F29" s="121" t="s">
        <v>6249</v>
      </c>
      <c r="G29" s="337">
        <v>50</v>
      </c>
      <c r="H29" s="765"/>
      <c r="I29" s="159">
        <v>50</v>
      </c>
      <c r="J29" s="338" t="s">
        <v>1339</v>
      </c>
    </row>
    <row r="30" spans="1:10" ht="15" customHeight="1">
      <c r="A30" s="121" t="s">
        <v>6237</v>
      </c>
      <c r="B30" s="763" t="s">
        <v>51</v>
      </c>
      <c r="C30" s="970" t="s">
        <v>974</v>
      </c>
      <c r="D30" s="90" t="s">
        <v>1338</v>
      </c>
      <c r="E30" s="90" t="s">
        <v>6240</v>
      </c>
      <c r="F30" s="121" t="s">
        <v>6250</v>
      </c>
      <c r="G30" s="337">
        <v>50</v>
      </c>
      <c r="H30" s="765"/>
      <c r="I30" s="159">
        <v>50</v>
      </c>
      <c r="J30" s="338" t="s">
        <v>1339</v>
      </c>
    </row>
    <row r="31" spans="1:10" ht="15" customHeight="1">
      <c r="A31" s="379" t="s">
        <v>6237</v>
      </c>
      <c r="B31" s="387" t="s">
        <v>51</v>
      </c>
      <c r="C31" s="121" t="s">
        <v>6251</v>
      </c>
      <c r="D31" s="90" t="s">
        <v>1338</v>
      </c>
      <c r="E31" s="121" t="s">
        <v>6252</v>
      </c>
      <c r="F31" s="121" t="s">
        <v>6253</v>
      </c>
      <c r="G31" s="337">
        <v>50</v>
      </c>
      <c r="H31" s="765"/>
      <c r="I31" s="159">
        <v>50</v>
      </c>
      <c r="J31" s="338" t="s">
        <v>1339</v>
      </c>
    </row>
    <row r="32" spans="1:10" ht="15" customHeight="1">
      <c r="A32" s="379" t="s">
        <v>6254</v>
      </c>
      <c r="B32" s="119" t="s">
        <v>51</v>
      </c>
      <c r="C32" s="119" t="s">
        <v>6238</v>
      </c>
      <c r="D32" s="121" t="s">
        <v>1338</v>
      </c>
      <c r="E32" s="120" t="s">
        <v>6255</v>
      </c>
      <c r="F32" s="121"/>
      <c r="G32" s="969" t="s">
        <v>6256</v>
      </c>
      <c r="H32" s="495"/>
      <c r="I32" s="31">
        <v>200</v>
      </c>
      <c r="J32" s="338" t="s">
        <v>249</v>
      </c>
    </row>
    <row r="33" spans="1:10" ht="15" customHeight="1">
      <c r="A33" s="973" t="s">
        <v>6254</v>
      </c>
      <c r="B33" s="129" t="s">
        <v>51</v>
      </c>
      <c r="C33" s="137" t="s">
        <v>214</v>
      </c>
      <c r="D33" s="90" t="s">
        <v>1868</v>
      </c>
      <c r="E33" s="974" t="s">
        <v>6257</v>
      </c>
      <c r="F33" s="90"/>
      <c r="G33" s="972" t="s">
        <v>6258</v>
      </c>
      <c r="H33" s="495"/>
      <c r="I33" s="31">
        <v>200</v>
      </c>
      <c r="J33" s="338" t="s">
        <v>249</v>
      </c>
    </row>
    <row r="34" spans="1:10" ht="15" customHeight="1">
      <c r="A34" s="973" t="s">
        <v>6254</v>
      </c>
      <c r="B34" s="129" t="s">
        <v>51</v>
      </c>
      <c r="C34" s="137" t="s">
        <v>214</v>
      </c>
      <c r="D34" s="121" t="s">
        <v>1338</v>
      </c>
      <c r="E34" s="120" t="s">
        <v>6259</v>
      </c>
      <c r="F34" s="121"/>
      <c r="G34" s="765" t="s">
        <v>6256</v>
      </c>
      <c r="H34" s="495"/>
      <c r="I34" s="31">
        <v>200</v>
      </c>
      <c r="J34" s="338" t="s">
        <v>249</v>
      </c>
    </row>
    <row r="35" spans="1:10" ht="15" customHeight="1">
      <c r="A35" s="973" t="s">
        <v>6254</v>
      </c>
      <c r="B35" s="129" t="s">
        <v>51</v>
      </c>
      <c r="C35" s="137" t="s">
        <v>6260</v>
      </c>
      <c r="D35" s="121" t="s">
        <v>1338</v>
      </c>
      <c r="E35" s="120" t="s">
        <v>6261</v>
      </c>
      <c r="F35" s="121"/>
      <c r="G35" s="765" t="s">
        <v>6256</v>
      </c>
      <c r="H35" s="495"/>
      <c r="I35" s="31">
        <v>200</v>
      </c>
      <c r="J35" s="338" t="s">
        <v>249</v>
      </c>
    </row>
    <row r="36" spans="1:10" ht="15" customHeight="1">
      <c r="A36" s="973" t="s">
        <v>6254</v>
      </c>
      <c r="B36" s="129" t="s">
        <v>51</v>
      </c>
      <c r="C36" s="137" t="s">
        <v>284</v>
      </c>
      <c r="D36" s="137" t="s">
        <v>1868</v>
      </c>
      <c r="E36" s="120" t="s">
        <v>6262</v>
      </c>
      <c r="F36" s="137"/>
      <c r="G36" s="975" t="s">
        <v>6258</v>
      </c>
      <c r="H36" s="495"/>
      <c r="I36" s="31">
        <v>200</v>
      </c>
      <c r="J36" s="338" t="s">
        <v>249</v>
      </c>
    </row>
    <row r="37" spans="1:10" ht="15" customHeight="1">
      <c r="A37" s="973" t="s">
        <v>6254</v>
      </c>
      <c r="B37" s="129" t="s">
        <v>51</v>
      </c>
      <c r="C37" s="137" t="s">
        <v>6263</v>
      </c>
      <c r="D37" s="137" t="s">
        <v>1338</v>
      </c>
      <c r="E37" s="120" t="s">
        <v>6264</v>
      </c>
      <c r="F37" s="137"/>
      <c r="G37" s="975" t="s">
        <v>6256</v>
      </c>
      <c r="H37" s="495"/>
      <c r="I37" s="31">
        <v>200</v>
      </c>
      <c r="J37" s="338" t="s">
        <v>249</v>
      </c>
    </row>
    <row r="38" spans="1:10" ht="15" customHeight="1">
      <c r="A38" s="973" t="s">
        <v>6254</v>
      </c>
      <c r="B38" s="129" t="s">
        <v>51</v>
      </c>
      <c r="C38" s="137" t="s">
        <v>974</v>
      </c>
      <c r="D38" s="137" t="s">
        <v>1338</v>
      </c>
      <c r="E38" s="120" t="s">
        <v>6265</v>
      </c>
      <c r="F38" s="137"/>
      <c r="G38" s="975" t="s">
        <v>6256</v>
      </c>
      <c r="H38" s="797"/>
      <c r="I38" s="31">
        <v>200</v>
      </c>
      <c r="J38" s="338" t="s">
        <v>249</v>
      </c>
    </row>
    <row r="39" spans="1:10" ht="15" customHeight="1">
      <c r="A39" s="973" t="s">
        <v>6254</v>
      </c>
      <c r="B39" s="129" t="s">
        <v>51</v>
      </c>
      <c r="C39" s="137" t="s">
        <v>6266</v>
      </c>
      <c r="D39" s="137" t="s">
        <v>1338</v>
      </c>
      <c r="E39" s="120" t="s">
        <v>6267</v>
      </c>
      <c r="F39" s="137"/>
      <c r="G39" s="975" t="s">
        <v>6256</v>
      </c>
      <c r="H39" s="761"/>
      <c r="I39" s="31">
        <v>200</v>
      </c>
      <c r="J39" s="338" t="s">
        <v>249</v>
      </c>
    </row>
    <row r="40" spans="1:10" ht="15" customHeight="1">
      <c r="A40" s="134" t="s">
        <v>6268</v>
      </c>
      <c r="B40" s="99" t="s">
        <v>51</v>
      </c>
      <c r="C40" s="133" t="s">
        <v>4731</v>
      </c>
      <c r="D40" s="133" t="s">
        <v>6269</v>
      </c>
      <c r="E40" s="745" t="s">
        <v>6270</v>
      </c>
      <c r="F40" s="133"/>
      <c r="G40" s="133">
        <v>50</v>
      </c>
      <c r="H40" s="495">
        <v>1</v>
      </c>
      <c r="I40" s="31">
        <v>50</v>
      </c>
      <c r="J40" s="338" t="s">
        <v>384</v>
      </c>
    </row>
    <row r="41" spans="1:10" ht="15" customHeight="1">
      <c r="A41" s="134" t="s">
        <v>6268</v>
      </c>
      <c r="B41" s="99" t="s">
        <v>51</v>
      </c>
      <c r="C41" s="976" t="s">
        <v>6271</v>
      </c>
      <c r="D41" s="133" t="s">
        <v>1878</v>
      </c>
      <c r="E41" s="221" t="s">
        <v>6272</v>
      </c>
      <c r="F41" s="977">
        <v>44916.915266203701</v>
      </c>
      <c r="G41" s="31">
        <v>10</v>
      </c>
      <c r="H41" s="31"/>
      <c r="I41" s="31">
        <v>50</v>
      </c>
      <c r="J41" s="338" t="s">
        <v>384</v>
      </c>
    </row>
    <row r="42" spans="1:10" ht="15" customHeight="1">
      <c r="A42" s="134" t="s">
        <v>6268</v>
      </c>
      <c r="B42" s="99" t="s">
        <v>51</v>
      </c>
      <c r="C42" s="659" t="s">
        <v>6273</v>
      </c>
      <c r="D42" s="133" t="s">
        <v>1878</v>
      </c>
      <c r="E42" s="221" t="s">
        <v>6274</v>
      </c>
      <c r="F42" s="978">
        <v>44864.426747685182</v>
      </c>
      <c r="G42" s="31">
        <v>10</v>
      </c>
      <c r="H42" s="186"/>
      <c r="I42" s="31">
        <v>50</v>
      </c>
      <c r="J42" s="338" t="s">
        <v>384</v>
      </c>
    </row>
    <row r="43" spans="1:10" ht="15" customHeight="1">
      <c r="A43" s="134" t="s">
        <v>6268</v>
      </c>
      <c r="C43" s="216" t="s">
        <v>6275</v>
      </c>
      <c r="D43" s="133" t="s">
        <v>1878</v>
      </c>
      <c r="E43" s="221" t="s">
        <v>6276</v>
      </c>
      <c r="G43" s="31">
        <v>10</v>
      </c>
      <c r="H43" s="186"/>
      <c r="I43" s="31">
        <v>50</v>
      </c>
      <c r="J43" s="338" t="s">
        <v>384</v>
      </c>
    </row>
    <row r="44" spans="1:10" ht="15" customHeight="1">
      <c r="A44" s="134" t="s">
        <v>6268</v>
      </c>
      <c r="B44" s="99" t="s">
        <v>51</v>
      </c>
      <c r="C44" s="976" t="s">
        <v>6271</v>
      </c>
      <c r="D44" s="133" t="s">
        <v>1878</v>
      </c>
      <c r="E44" s="221" t="s">
        <v>6272</v>
      </c>
      <c r="F44" s="978">
        <v>44916.915266203701</v>
      </c>
      <c r="G44" s="31">
        <v>10</v>
      </c>
      <c r="H44" s="186"/>
      <c r="I44" s="31">
        <v>50</v>
      </c>
      <c r="J44" s="338" t="s">
        <v>384</v>
      </c>
    </row>
    <row r="45" spans="1:10" ht="15" customHeight="1">
      <c r="A45" s="134" t="s">
        <v>6268</v>
      </c>
      <c r="B45" s="99" t="s">
        <v>51</v>
      </c>
      <c r="C45" s="138" t="s">
        <v>6277</v>
      </c>
      <c r="D45" s="133" t="s">
        <v>1878</v>
      </c>
      <c r="E45" s="221" t="s">
        <v>6278</v>
      </c>
      <c r="F45" s="978">
        <v>44670.813310185185</v>
      </c>
      <c r="G45" s="31">
        <v>10</v>
      </c>
      <c r="H45" s="186"/>
      <c r="I45" s="31">
        <v>50</v>
      </c>
      <c r="J45" s="338" t="s">
        <v>384</v>
      </c>
    </row>
    <row r="46" spans="1:10" ht="15" customHeight="1">
      <c r="A46" s="134" t="s">
        <v>6268</v>
      </c>
      <c r="B46" s="99" t="s">
        <v>51</v>
      </c>
      <c r="C46" s="976" t="s">
        <v>6271</v>
      </c>
      <c r="D46" s="133" t="s">
        <v>1878</v>
      </c>
      <c r="E46" s="221" t="s">
        <v>6272</v>
      </c>
      <c r="F46" s="978">
        <v>44641.706192129626</v>
      </c>
      <c r="G46" s="31">
        <v>10</v>
      </c>
      <c r="H46" s="186"/>
      <c r="I46" s="31">
        <v>50</v>
      </c>
      <c r="J46" s="338" t="s">
        <v>384</v>
      </c>
    </row>
    <row r="47" spans="1:10" ht="15" customHeight="1">
      <c r="A47" s="134" t="s">
        <v>6268</v>
      </c>
      <c r="B47" s="99" t="s">
        <v>51</v>
      </c>
      <c r="C47" s="138" t="s">
        <v>6277</v>
      </c>
      <c r="D47" s="133" t="s">
        <v>1878</v>
      </c>
      <c r="E47" s="221" t="s">
        <v>6278</v>
      </c>
      <c r="F47" s="978">
        <v>44606.634467592594</v>
      </c>
      <c r="G47" s="31">
        <v>10</v>
      </c>
      <c r="H47" s="241"/>
      <c r="I47" s="31">
        <v>50</v>
      </c>
      <c r="J47" s="338" t="s">
        <v>384</v>
      </c>
    </row>
    <row r="48" spans="1:10" ht="15" customHeight="1">
      <c r="A48" s="381" t="s">
        <v>1822</v>
      </c>
      <c r="B48" s="99" t="s">
        <v>51</v>
      </c>
      <c r="C48" s="99" t="s">
        <v>601</v>
      </c>
      <c r="D48" s="99" t="s">
        <v>1821</v>
      </c>
      <c r="E48" s="130" t="s">
        <v>6279</v>
      </c>
      <c r="F48" s="133" t="s">
        <v>6280</v>
      </c>
      <c r="G48" s="500">
        <v>50</v>
      </c>
      <c r="H48" s="500" t="s">
        <v>6281</v>
      </c>
      <c r="I48" s="803">
        <v>50</v>
      </c>
      <c r="J48" s="338" t="s">
        <v>1822</v>
      </c>
    </row>
    <row r="49" spans="1:10" ht="15" customHeight="1">
      <c r="A49" s="381" t="s">
        <v>1822</v>
      </c>
      <c r="B49" s="99" t="s">
        <v>51</v>
      </c>
      <c r="C49" s="228" t="s">
        <v>6282</v>
      </c>
      <c r="D49" s="92" t="s">
        <v>1821</v>
      </c>
      <c r="E49" s="142" t="s">
        <v>6283</v>
      </c>
      <c r="F49" s="131" t="s">
        <v>6284</v>
      </c>
      <c r="G49" s="500">
        <v>50</v>
      </c>
      <c r="H49" s="768" t="s">
        <v>6285</v>
      </c>
      <c r="I49" s="803">
        <v>50</v>
      </c>
      <c r="J49" s="338" t="s">
        <v>1822</v>
      </c>
    </row>
    <row r="50" spans="1:10" ht="15" customHeight="1">
      <c r="A50" s="381" t="s">
        <v>1822</v>
      </c>
      <c r="B50" s="99" t="s">
        <v>51</v>
      </c>
      <c r="C50" s="228" t="s">
        <v>6286</v>
      </c>
      <c r="D50" s="99" t="s">
        <v>635</v>
      </c>
      <c r="E50" s="130" t="s">
        <v>6287</v>
      </c>
      <c r="F50" s="133" t="s">
        <v>6288</v>
      </c>
      <c r="G50" s="500">
        <v>50</v>
      </c>
      <c r="H50" s="768" t="s">
        <v>6289</v>
      </c>
      <c r="I50" s="803">
        <v>50</v>
      </c>
      <c r="J50" s="338" t="s">
        <v>1822</v>
      </c>
    </row>
    <row r="51" spans="1:10" ht="15" customHeight="1">
      <c r="A51" s="381" t="s">
        <v>1822</v>
      </c>
      <c r="B51" s="99" t="s">
        <v>51</v>
      </c>
      <c r="C51" s="228" t="s">
        <v>421</v>
      </c>
      <c r="D51" s="99" t="s">
        <v>1821</v>
      </c>
      <c r="E51" s="130" t="s">
        <v>6290</v>
      </c>
      <c r="F51" s="133" t="s">
        <v>6291</v>
      </c>
      <c r="G51" s="500">
        <v>50</v>
      </c>
      <c r="H51" s="768" t="s">
        <v>6285</v>
      </c>
      <c r="I51" s="803">
        <v>50</v>
      </c>
      <c r="J51" s="338" t="s">
        <v>1822</v>
      </c>
    </row>
    <row r="52" spans="1:10" ht="15" customHeight="1">
      <c r="A52" s="381" t="s">
        <v>1822</v>
      </c>
      <c r="B52" s="99" t="s">
        <v>51</v>
      </c>
      <c r="C52" s="228" t="s">
        <v>214</v>
      </c>
      <c r="D52" s="99" t="s">
        <v>1821</v>
      </c>
      <c r="E52" s="130" t="s">
        <v>6292</v>
      </c>
      <c r="F52" s="133" t="s">
        <v>6293</v>
      </c>
      <c r="G52" s="500">
        <v>50</v>
      </c>
      <c r="H52" s="768" t="s">
        <v>6285</v>
      </c>
      <c r="I52" s="803">
        <v>50</v>
      </c>
      <c r="J52" s="338" t="s">
        <v>1822</v>
      </c>
    </row>
    <row r="53" spans="1:10" ht="15" customHeight="1">
      <c r="A53" s="381" t="s">
        <v>1822</v>
      </c>
      <c r="B53" s="99" t="s">
        <v>51</v>
      </c>
      <c r="C53" s="228" t="s">
        <v>6294</v>
      </c>
      <c r="D53" s="228" t="s">
        <v>6295</v>
      </c>
      <c r="E53" s="130" t="s">
        <v>6296</v>
      </c>
      <c r="F53" s="138" t="s">
        <v>6297</v>
      </c>
      <c r="G53" s="500">
        <v>10</v>
      </c>
      <c r="H53" s="979" t="s">
        <v>6298</v>
      </c>
      <c r="I53" s="803">
        <v>10</v>
      </c>
      <c r="J53" s="338" t="s">
        <v>1822</v>
      </c>
    </row>
    <row r="54" spans="1:10" ht="15" customHeight="1">
      <c r="A54" s="381" t="s">
        <v>1822</v>
      </c>
      <c r="B54" s="99" t="s">
        <v>51</v>
      </c>
      <c r="C54" s="228" t="s">
        <v>6299</v>
      </c>
      <c r="D54" s="228" t="s">
        <v>635</v>
      </c>
      <c r="E54" s="130" t="s">
        <v>6300</v>
      </c>
      <c r="F54" s="138" t="s">
        <v>6301</v>
      </c>
      <c r="G54" s="500">
        <v>50</v>
      </c>
      <c r="H54" s="979" t="s">
        <v>6281</v>
      </c>
      <c r="I54" s="803">
        <v>50</v>
      </c>
      <c r="J54" s="338" t="s">
        <v>1822</v>
      </c>
    </row>
    <row r="55" spans="1:10" ht="15" customHeight="1">
      <c r="A55" s="134" t="s">
        <v>473</v>
      </c>
      <c r="B55" s="99" t="s">
        <v>51</v>
      </c>
      <c r="C55" s="133" t="s">
        <v>214</v>
      </c>
      <c r="D55" s="483" t="s">
        <v>6302</v>
      </c>
      <c r="E55" s="130" t="s">
        <v>6303</v>
      </c>
      <c r="F55" s="980"/>
      <c r="G55" s="133">
        <v>50</v>
      </c>
      <c r="H55" s="495">
        <v>2</v>
      </c>
      <c r="I55" s="31">
        <f>G55*H55</f>
        <v>100</v>
      </c>
      <c r="J55" s="338" t="s">
        <v>1869</v>
      </c>
    </row>
    <row r="56" spans="1:10" ht="15" customHeight="1">
      <c r="A56" s="134" t="s">
        <v>6304</v>
      </c>
      <c r="B56" s="99" t="s">
        <v>401</v>
      </c>
      <c r="C56" s="99" t="s">
        <v>421</v>
      </c>
      <c r="D56" s="99" t="s">
        <v>1878</v>
      </c>
      <c r="E56" s="130" t="s">
        <v>6305</v>
      </c>
      <c r="F56" s="981">
        <v>44805</v>
      </c>
      <c r="G56" s="99" t="s">
        <v>6306</v>
      </c>
      <c r="H56" s="500" t="s">
        <v>6307</v>
      </c>
      <c r="I56" s="99">
        <v>300</v>
      </c>
      <c r="J56" s="338" t="s">
        <v>409</v>
      </c>
    </row>
    <row r="57" spans="1:10" ht="15" customHeight="1">
      <c r="A57" s="134" t="s">
        <v>6304</v>
      </c>
      <c r="B57" s="99" t="s">
        <v>401</v>
      </c>
      <c r="C57" s="228" t="s">
        <v>6308</v>
      </c>
      <c r="D57" s="99" t="s">
        <v>1878</v>
      </c>
      <c r="E57" s="142" t="s">
        <v>6309</v>
      </c>
      <c r="F57" s="982">
        <v>44564</v>
      </c>
      <c r="G57" s="819">
        <v>50</v>
      </c>
      <c r="H57" s="99" t="s">
        <v>6310</v>
      </c>
      <c r="I57" s="99">
        <v>50</v>
      </c>
      <c r="J57" s="338" t="s">
        <v>409</v>
      </c>
    </row>
    <row r="58" spans="1:10" ht="15" customHeight="1">
      <c r="A58" s="134" t="s">
        <v>6304</v>
      </c>
      <c r="B58" s="99" t="s">
        <v>401</v>
      </c>
      <c r="C58" s="99" t="s">
        <v>421</v>
      </c>
      <c r="D58" s="99" t="s">
        <v>1878</v>
      </c>
      <c r="E58" s="382" t="s">
        <v>6290</v>
      </c>
      <c r="F58" s="982">
        <v>44564</v>
      </c>
      <c r="G58" s="99">
        <v>50</v>
      </c>
      <c r="H58" s="99" t="s">
        <v>6307</v>
      </c>
      <c r="I58" s="99">
        <v>50</v>
      </c>
      <c r="J58" s="338" t="s">
        <v>409</v>
      </c>
    </row>
    <row r="59" spans="1:10" ht="15" customHeight="1">
      <c r="A59" s="134" t="s">
        <v>6304</v>
      </c>
      <c r="B59" s="99" t="s">
        <v>401</v>
      </c>
      <c r="C59" s="99" t="s">
        <v>601</v>
      </c>
      <c r="D59" s="99" t="s">
        <v>1878</v>
      </c>
      <c r="E59" s="382" t="s">
        <v>6279</v>
      </c>
      <c r="F59" s="982">
        <v>44569</v>
      </c>
      <c r="G59" s="99">
        <v>50</v>
      </c>
      <c r="H59" s="99" t="s">
        <v>6311</v>
      </c>
      <c r="I59" s="99">
        <v>50</v>
      </c>
      <c r="J59" s="338" t="s">
        <v>409</v>
      </c>
    </row>
    <row r="60" spans="1:10" ht="15" customHeight="1">
      <c r="A60" s="134" t="s">
        <v>6304</v>
      </c>
      <c r="B60" s="99" t="s">
        <v>401</v>
      </c>
      <c r="C60" s="99" t="s">
        <v>421</v>
      </c>
      <c r="D60" s="99" t="s">
        <v>1878</v>
      </c>
      <c r="E60" s="382" t="s">
        <v>6290</v>
      </c>
      <c r="F60" s="982">
        <v>44569</v>
      </c>
      <c r="G60" s="99">
        <v>50</v>
      </c>
      <c r="H60" s="99" t="s">
        <v>6307</v>
      </c>
      <c r="I60" s="99">
        <v>50</v>
      </c>
      <c r="J60" s="338" t="s">
        <v>409</v>
      </c>
    </row>
    <row r="61" spans="1:10" ht="15" customHeight="1">
      <c r="A61" s="134" t="s">
        <v>6304</v>
      </c>
      <c r="B61" s="99" t="s">
        <v>401</v>
      </c>
      <c r="C61" s="99" t="s">
        <v>496</v>
      </c>
      <c r="D61" s="99" t="s">
        <v>1878</v>
      </c>
      <c r="E61" s="382" t="s">
        <v>6312</v>
      </c>
      <c r="F61" s="982">
        <v>44571</v>
      </c>
      <c r="G61" s="99">
        <v>50</v>
      </c>
      <c r="H61" s="99" t="s">
        <v>6307</v>
      </c>
      <c r="I61" s="99">
        <v>50</v>
      </c>
      <c r="J61" s="338" t="s">
        <v>409</v>
      </c>
    </row>
    <row r="62" spans="1:10" ht="15" customHeight="1">
      <c r="A62" s="134" t="s">
        <v>6304</v>
      </c>
      <c r="B62" s="99" t="s">
        <v>401</v>
      </c>
      <c r="C62" s="99" t="s">
        <v>421</v>
      </c>
      <c r="D62" s="99" t="s">
        <v>1878</v>
      </c>
      <c r="E62" s="382" t="s">
        <v>6290</v>
      </c>
      <c r="F62" s="982">
        <v>44571</v>
      </c>
      <c r="G62" s="99">
        <v>50</v>
      </c>
      <c r="H62" s="99" t="s">
        <v>6307</v>
      </c>
      <c r="I62" s="99">
        <v>50</v>
      </c>
      <c r="J62" s="338" t="s">
        <v>409</v>
      </c>
    </row>
    <row r="63" spans="1:10" ht="15" customHeight="1">
      <c r="A63" s="134" t="s">
        <v>6304</v>
      </c>
      <c r="B63" s="99" t="s">
        <v>401</v>
      </c>
      <c r="C63" s="99" t="s">
        <v>6282</v>
      </c>
      <c r="D63" s="99" t="s">
        <v>1878</v>
      </c>
      <c r="E63" s="382" t="s">
        <v>6283</v>
      </c>
      <c r="F63" s="982">
        <v>44573</v>
      </c>
      <c r="G63" s="99">
        <v>50</v>
      </c>
      <c r="H63" s="99" t="s">
        <v>6307</v>
      </c>
      <c r="I63" s="99">
        <v>50</v>
      </c>
      <c r="J63" s="338" t="s">
        <v>409</v>
      </c>
    </row>
    <row r="64" spans="1:10" ht="15" customHeight="1">
      <c r="A64" s="134" t="s">
        <v>6304</v>
      </c>
      <c r="B64" s="99" t="s">
        <v>401</v>
      </c>
      <c r="C64" s="99" t="s">
        <v>6313</v>
      </c>
      <c r="D64" s="99" t="s">
        <v>6314</v>
      </c>
      <c r="E64" s="382" t="s">
        <v>6315</v>
      </c>
      <c r="F64" s="982">
        <v>44577</v>
      </c>
      <c r="G64" s="99">
        <v>50</v>
      </c>
      <c r="H64" s="99">
        <v>1</v>
      </c>
      <c r="I64" s="99">
        <v>50</v>
      </c>
      <c r="J64" s="338" t="s">
        <v>409</v>
      </c>
    </row>
    <row r="65" spans="1:10" ht="15" customHeight="1">
      <c r="A65" s="134" t="s">
        <v>6304</v>
      </c>
      <c r="B65" s="99" t="s">
        <v>401</v>
      </c>
      <c r="C65" s="99" t="s">
        <v>456</v>
      </c>
      <c r="D65" s="99" t="s">
        <v>1878</v>
      </c>
      <c r="E65" s="382" t="s">
        <v>6316</v>
      </c>
      <c r="F65" s="982">
        <v>44579</v>
      </c>
      <c r="G65" s="99">
        <v>50</v>
      </c>
      <c r="H65" s="99" t="s">
        <v>6317</v>
      </c>
      <c r="I65" s="99">
        <v>50</v>
      </c>
      <c r="J65" s="338" t="s">
        <v>409</v>
      </c>
    </row>
    <row r="66" spans="1:10" ht="15" customHeight="1">
      <c r="A66" s="134" t="s">
        <v>6304</v>
      </c>
      <c r="B66" s="99" t="s">
        <v>401</v>
      </c>
      <c r="C66" s="99" t="s">
        <v>6318</v>
      </c>
      <c r="D66" s="99" t="s">
        <v>1878</v>
      </c>
      <c r="E66" s="382" t="s">
        <v>6319</v>
      </c>
      <c r="F66" s="982">
        <v>44584</v>
      </c>
      <c r="G66" s="99">
        <v>50</v>
      </c>
      <c r="H66" s="99" t="s">
        <v>6311</v>
      </c>
      <c r="I66" s="99">
        <v>50</v>
      </c>
      <c r="J66" s="338" t="s">
        <v>409</v>
      </c>
    </row>
    <row r="67" spans="1:10" ht="15" customHeight="1">
      <c r="A67" s="134" t="s">
        <v>6304</v>
      </c>
      <c r="B67" s="99" t="s">
        <v>401</v>
      </c>
      <c r="C67" s="99" t="s">
        <v>601</v>
      </c>
      <c r="D67" s="99" t="s">
        <v>1878</v>
      </c>
      <c r="E67" s="382" t="s">
        <v>6279</v>
      </c>
      <c r="F67" s="982">
        <v>44591</v>
      </c>
      <c r="G67" s="99">
        <v>50</v>
      </c>
      <c r="H67" s="99" t="s">
        <v>6311</v>
      </c>
      <c r="I67" s="99">
        <v>50</v>
      </c>
      <c r="J67" s="338" t="s">
        <v>409</v>
      </c>
    </row>
    <row r="68" spans="1:10" ht="15" customHeight="1">
      <c r="A68" s="134" t="s">
        <v>6304</v>
      </c>
      <c r="B68" s="99" t="s">
        <v>401</v>
      </c>
      <c r="C68" s="99" t="s">
        <v>6320</v>
      </c>
      <c r="D68" s="99" t="s">
        <v>5076</v>
      </c>
      <c r="E68" s="382" t="s">
        <v>6321</v>
      </c>
      <c r="F68" s="982">
        <v>44599</v>
      </c>
      <c r="G68" s="99">
        <v>10</v>
      </c>
      <c r="H68" s="99" t="s">
        <v>6311</v>
      </c>
      <c r="I68" s="99">
        <v>10</v>
      </c>
      <c r="J68" s="338" t="s">
        <v>409</v>
      </c>
    </row>
    <row r="69" spans="1:10" ht="15" customHeight="1">
      <c r="A69" s="134" t="s">
        <v>6304</v>
      </c>
      <c r="B69" s="99" t="s">
        <v>401</v>
      </c>
      <c r="C69" s="99" t="s">
        <v>214</v>
      </c>
      <c r="D69" s="99" t="s">
        <v>1878</v>
      </c>
      <c r="E69" s="382" t="s">
        <v>6292</v>
      </c>
      <c r="F69" s="982">
        <v>44600</v>
      </c>
      <c r="G69" s="99">
        <v>50</v>
      </c>
      <c r="H69" s="99" t="s">
        <v>6307</v>
      </c>
      <c r="I69" s="99">
        <v>50</v>
      </c>
      <c r="J69" s="338" t="s">
        <v>409</v>
      </c>
    </row>
    <row r="70" spans="1:10" ht="15" customHeight="1">
      <c r="A70" s="134" t="s">
        <v>6304</v>
      </c>
      <c r="B70" s="99" t="s">
        <v>401</v>
      </c>
      <c r="C70" s="99" t="s">
        <v>6282</v>
      </c>
      <c r="D70" s="99" t="s">
        <v>1878</v>
      </c>
      <c r="E70" s="382" t="s">
        <v>6283</v>
      </c>
      <c r="F70" s="982">
        <v>44602</v>
      </c>
      <c r="G70" s="99">
        <v>50</v>
      </c>
      <c r="H70" s="99" t="s">
        <v>6307</v>
      </c>
      <c r="I70" s="99">
        <v>50</v>
      </c>
      <c r="J70" s="338" t="s">
        <v>409</v>
      </c>
    </row>
    <row r="71" spans="1:10" ht="15" customHeight="1">
      <c r="A71" s="134" t="s">
        <v>6304</v>
      </c>
      <c r="B71" s="99" t="s">
        <v>401</v>
      </c>
      <c r="C71" s="99" t="s">
        <v>6282</v>
      </c>
      <c r="D71" s="99" t="s">
        <v>1878</v>
      </c>
      <c r="E71" s="382" t="s">
        <v>6283</v>
      </c>
      <c r="F71" s="982">
        <v>44602</v>
      </c>
      <c r="G71" s="99">
        <v>50</v>
      </c>
      <c r="H71" s="99" t="s">
        <v>6307</v>
      </c>
      <c r="I71" s="99">
        <v>50</v>
      </c>
      <c r="J71" s="338" t="s">
        <v>409</v>
      </c>
    </row>
    <row r="72" spans="1:10" ht="15" customHeight="1">
      <c r="A72" s="134" t="s">
        <v>6304</v>
      </c>
      <c r="B72" s="99" t="s">
        <v>401</v>
      </c>
      <c r="C72" s="99" t="s">
        <v>421</v>
      </c>
      <c r="D72" s="99" t="s">
        <v>1878</v>
      </c>
      <c r="E72" s="382" t="s">
        <v>6290</v>
      </c>
      <c r="F72" s="982">
        <v>44608</v>
      </c>
      <c r="G72" s="99">
        <v>50</v>
      </c>
      <c r="H72" s="99" t="s">
        <v>6307</v>
      </c>
      <c r="I72" s="99">
        <v>50</v>
      </c>
      <c r="J72" s="338" t="s">
        <v>409</v>
      </c>
    </row>
    <row r="73" spans="1:10" ht="15" customHeight="1">
      <c r="A73" s="134" t="s">
        <v>6304</v>
      </c>
      <c r="B73" s="99" t="s">
        <v>401</v>
      </c>
      <c r="C73" s="465" t="s">
        <v>6322</v>
      </c>
      <c r="D73" s="99" t="s">
        <v>6323</v>
      </c>
      <c r="E73" s="382" t="s">
        <v>6324</v>
      </c>
      <c r="F73" s="982">
        <v>44612</v>
      </c>
      <c r="G73" s="99">
        <v>10</v>
      </c>
      <c r="H73" s="99" t="s">
        <v>6325</v>
      </c>
      <c r="I73" s="99">
        <v>10</v>
      </c>
      <c r="J73" s="338" t="s">
        <v>409</v>
      </c>
    </row>
    <row r="74" spans="1:10" ht="15" customHeight="1">
      <c r="A74" s="134" t="s">
        <v>6304</v>
      </c>
      <c r="B74" s="99" t="s">
        <v>401</v>
      </c>
      <c r="C74" s="99" t="s">
        <v>1014</v>
      </c>
      <c r="D74" s="99" t="s">
        <v>1878</v>
      </c>
      <c r="E74" s="382" t="s">
        <v>6326</v>
      </c>
      <c r="F74" s="718">
        <v>44615</v>
      </c>
      <c r="G74" s="99">
        <v>50</v>
      </c>
      <c r="H74" s="99" t="s">
        <v>6311</v>
      </c>
      <c r="I74" s="99">
        <v>50</v>
      </c>
      <c r="J74" s="338" t="s">
        <v>409</v>
      </c>
    </row>
    <row r="75" spans="1:10" ht="15" customHeight="1">
      <c r="A75" s="134" t="s">
        <v>6304</v>
      </c>
      <c r="B75" s="99" t="s">
        <v>401</v>
      </c>
      <c r="C75" s="99" t="s">
        <v>6282</v>
      </c>
      <c r="D75" s="99" t="s">
        <v>1878</v>
      </c>
      <c r="E75" s="382" t="s">
        <v>6283</v>
      </c>
      <c r="F75" s="718">
        <v>44620</v>
      </c>
      <c r="G75" s="99">
        <v>50</v>
      </c>
      <c r="H75" s="99" t="s">
        <v>6307</v>
      </c>
      <c r="I75" s="99">
        <v>50</v>
      </c>
      <c r="J75" s="338" t="s">
        <v>409</v>
      </c>
    </row>
    <row r="76" spans="1:10" ht="15" customHeight="1">
      <c r="A76" s="134" t="s">
        <v>6304</v>
      </c>
      <c r="B76" s="99" t="s">
        <v>401</v>
      </c>
      <c r="C76" s="99" t="s">
        <v>6282</v>
      </c>
      <c r="D76" s="99" t="s">
        <v>1878</v>
      </c>
      <c r="E76" s="382" t="s">
        <v>6283</v>
      </c>
      <c r="F76" s="718">
        <v>44620</v>
      </c>
      <c r="G76" s="99">
        <v>50</v>
      </c>
      <c r="H76" s="99" t="s">
        <v>6307</v>
      </c>
      <c r="I76" s="99">
        <v>50</v>
      </c>
      <c r="J76" s="338" t="s">
        <v>409</v>
      </c>
    </row>
    <row r="77" spans="1:10" ht="15" customHeight="1">
      <c r="A77" s="134" t="s">
        <v>6304</v>
      </c>
      <c r="B77" s="99" t="s">
        <v>401</v>
      </c>
      <c r="C77" s="99" t="s">
        <v>6327</v>
      </c>
      <c r="D77" s="99" t="s">
        <v>1878</v>
      </c>
      <c r="E77" s="382" t="s">
        <v>6328</v>
      </c>
      <c r="F77" s="718">
        <v>44624</v>
      </c>
      <c r="G77" s="99">
        <v>50</v>
      </c>
      <c r="H77" s="99" t="s">
        <v>6311</v>
      </c>
      <c r="I77" s="99">
        <v>50</v>
      </c>
      <c r="J77" s="338" t="s">
        <v>409</v>
      </c>
    </row>
    <row r="78" spans="1:10" ht="15" customHeight="1">
      <c r="A78" s="134" t="s">
        <v>6304</v>
      </c>
      <c r="B78" s="99" t="s">
        <v>401</v>
      </c>
      <c r="C78" s="99" t="s">
        <v>834</v>
      </c>
      <c r="D78" s="99" t="s">
        <v>1878</v>
      </c>
      <c r="E78" s="382" t="s">
        <v>6329</v>
      </c>
      <c r="F78" s="718">
        <v>44628</v>
      </c>
      <c r="G78" s="99">
        <v>50</v>
      </c>
      <c r="H78" s="99" t="s">
        <v>6307</v>
      </c>
      <c r="I78" s="99">
        <v>50</v>
      </c>
      <c r="J78" s="338" t="s">
        <v>409</v>
      </c>
    </row>
    <row r="79" spans="1:10" ht="15" customHeight="1">
      <c r="A79" s="134" t="s">
        <v>6304</v>
      </c>
      <c r="B79" s="99" t="s">
        <v>401</v>
      </c>
      <c r="C79" s="99" t="s">
        <v>6330</v>
      </c>
      <c r="D79" s="99" t="s">
        <v>1878</v>
      </c>
      <c r="E79" s="382" t="s">
        <v>6331</v>
      </c>
      <c r="F79" s="718">
        <v>44633</v>
      </c>
      <c r="G79" s="99">
        <v>50</v>
      </c>
      <c r="H79" s="99" t="s">
        <v>6325</v>
      </c>
      <c r="I79" s="99">
        <v>50</v>
      </c>
      <c r="J79" s="338" t="s">
        <v>409</v>
      </c>
    </row>
    <row r="80" spans="1:10" ht="15" customHeight="1">
      <c r="A80" s="134" t="s">
        <v>6304</v>
      </c>
      <c r="B80" s="99" t="s">
        <v>401</v>
      </c>
      <c r="C80" s="99" t="s">
        <v>6332</v>
      </c>
      <c r="D80" s="99" t="s">
        <v>1878</v>
      </c>
      <c r="E80" s="382" t="s">
        <v>6333</v>
      </c>
      <c r="F80" s="718">
        <v>44636</v>
      </c>
      <c r="G80" s="99">
        <v>50</v>
      </c>
      <c r="H80" s="99" t="s">
        <v>6325</v>
      </c>
      <c r="I80" s="99">
        <v>50</v>
      </c>
      <c r="J80" s="338" t="s">
        <v>409</v>
      </c>
    </row>
    <row r="81" spans="1:10" ht="15" customHeight="1">
      <c r="A81" s="134" t="s">
        <v>6304</v>
      </c>
      <c r="B81" s="99" t="s">
        <v>401</v>
      </c>
      <c r="C81" s="99" t="s">
        <v>6334</v>
      </c>
      <c r="D81" s="99" t="s">
        <v>1878</v>
      </c>
      <c r="E81" s="382" t="s">
        <v>6335</v>
      </c>
      <c r="F81" s="718">
        <v>44649</v>
      </c>
      <c r="G81" s="99">
        <v>50</v>
      </c>
      <c r="H81" s="99" t="s">
        <v>6311</v>
      </c>
      <c r="I81" s="99">
        <v>50</v>
      </c>
      <c r="J81" s="338" t="s">
        <v>409</v>
      </c>
    </row>
    <row r="82" spans="1:10" ht="15" customHeight="1">
      <c r="A82" s="134" t="s">
        <v>6304</v>
      </c>
      <c r="B82" s="99" t="s">
        <v>401</v>
      </c>
      <c r="C82" s="99" t="s">
        <v>6336</v>
      </c>
      <c r="D82" s="99" t="s">
        <v>1878</v>
      </c>
      <c r="E82" s="382" t="s">
        <v>6337</v>
      </c>
      <c r="F82" s="718">
        <v>44658</v>
      </c>
      <c r="G82" s="99">
        <v>50</v>
      </c>
      <c r="H82" s="99" t="s">
        <v>6311</v>
      </c>
      <c r="I82" s="99">
        <v>50</v>
      </c>
      <c r="J82" s="338" t="s">
        <v>409</v>
      </c>
    </row>
    <row r="83" spans="1:10" ht="15" customHeight="1">
      <c r="A83" s="134" t="s">
        <v>6304</v>
      </c>
      <c r="B83" s="99" t="s">
        <v>401</v>
      </c>
      <c r="C83" s="99" t="s">
        <v>6282</v>
      </c>
      <c r="D83" s="99" t="s">
        <v>1878</v>
      </c>
      <c r="E83" s="382" t="s">
        <v>6283</v>
      </c>
      <c r="F83" s="718">
        <v>44666</v>
      </c>
      <c r="G83" s="99">
        <v>50</v>
      </c>
      <c r="H83" s="99" t="s">
        <v>6307</v>
      </c>
      <c r="I83" s="99">
        <v>50</v>
      </c>
      <c r="J83" s="338" t="s">
        <v>409</v>
      </c>
    </row>
    <row r="84" spans="1:10" ht="15" customHeight="1">
      <c r="A84" s="134" t="s">
        <v>6304</v>
      </c>
      <c r="B84" s="99" t="s">
        <v>401</v>
      </c>
      <c r="C84" s="99" t="s">
        <v>421</v>
      </c>
      <c r="D84" s="99" t="s">
        <v>1878</v>
      </c>
      <c r="E84" s="382" t="s">
        <v>6290</v>
      </c>
      <c r="F84" s="718">
        <v>44669</v>
      </c>
      <c r="G84" s="99">
        <v>50</v>
      </c>
      <c r="H84" s="99" t="s">
        <v>6307</v>
      </c>
      <c r="I84" s="99">
        <v>50</v>
      </c>
      <c r="J84" s="338" t="s">
        <v>409</v>
      </c>
    </row>
    <row r="85" spans="1:10" ht="15" customHeight="1">
      <c r="A85" s="134" t="s">
        <v>6304</v>
      </c>
      <c r="B85" s="99" t="s">
        <v>401</v>
      </c>
      <c r="C85" s="99" t="s">
        <v>421</v>
      </c>
      <c r="D85" s="99" t="s">
        <v>1878</v>
      </c>
      <c r="E85" s="382" t="s">
        <v>6290</v>
      </c>
      <c r="F85" s="718">
        <v>44669</v>
      </c>
      <c r="G85" s="99">
        <v>50</v>
      </c>
      <c r="H85" s="99" t="s">
        <v>6307</v>
      </c>
      <c r="I85" s="99">
        <v>50</v>
      </c>
      <c r="J85" s="338" t="s">
        <v>409</v>
      </c>
    </row>
    <row r="86" spans="1:10" ht="15" customHeight="1">
      <c r="A86" s="134" t="s">
        <v>6304</v>
      </c>
      <c r="B86" s="99" t="s">
        <v>401</v>
      </c>
      <c r="C86" s="99" t="s">
        <v>6338</v>
      </c>
      <c r="D86" s="99" t="s">
        <v>1878</v>
      </c>
      <c r="E86" s="382" t="s">
        <v>6331</v>
      </c>
      <c r="F86" s="718">
        <v>44680</v>
      </c>
      <c r="G86" s="99">
        <v>50</v>
      </c>
      <c r="H86" s="99" t="s">
        <v>6325</v>
      </c>
      <c r="I86" s="99">
        <v>50</v>
      </c>
      <c r="J86" s="338" t="s">
        <v>409</v>
      </c>
    </row>
    <row r="87" spans="1:10" ht="15" customHeight="1">
      <c r="A87" s="134" t="s">
        <v>6304</v>
      </c>
      <c r="B87" s="99" t="s">
        <v>401</v>
      </c>
      <c r="C87" s="99" t="s">
        <v>421</v>
      </c>
      <c r="D87" s="99" t="s">
        <v>1878</v>
      </c>
      <c r="E87" s="382" t="s">
        <v>6290</v>
      </c>
      <c r="F87" s="718">
        <v>44690</v>
      </c>
      <c r="G87" s="99">
        <v>50</v>
      </c>
      <c r="H87" s="99" t="s">
        <v>6307</v>
      </c>
      <c r="I87" s="99">
        <v>50</v>
      </c>
      <c r="J87" s="338" t="s">
        <v>409</v>
      </c>
    </row>
    <row r="88" spans="1:10" ht="15" customHeight="1">
      <c r="A88" s="134" t="s">
        <v>6304</v>
      </c>
      <c r="B88" s="99" t="s">
        <v>401</v>
      </c>
      <c r="C88" s="99" t="s">
        <v>6282</v>
      </c>
      <c r="D88" s="99" t="s">
        <v>1878</v>
      </c>
      <c r="E88" s="382" t="s">
        <v>6283</v>
      </c>
      <c r="F88" s="718">
        <v>44693</v>
      </c>
      <c r="G88" s="99">
        <v>50</v>
      </c>
      <c r="H88" s="99" t="s">
        <v>6307</v>
      </c>
      <c r="I88" s="99">
        <v>50</v>
      </c>
      <c r="J88" s="338" t="s">
        <v>409</v>
      </c>
    </row>
    <row r="89" spans="1:10" ht="15" customHeight="1">
      <c r="A89" s="134" t="s">
        <v>6304</v>
      </c>
      <c r="B89" s="99" t="s">
        <v>401</v>
      </c>
      <c r="C89" s="99" t="s">
        <v>834</v>
      </c>
      <c r="D89" s="99" t="s">
        <v>1878</v>
      </c>
      <c r="E89" s="382" t="s">
        <v>6329</v>
      </c>
      <c r="F89" s="718">
        <v>44695</v>
      </c>
      <c r="G89" s="99">
        <v>50</v>
      </c>
      <c r="H89" s="99" t="s">
        <v>6307</v>
      </c>
      <c r="I89" s="99">
        <v>50</v>
      </c>
      <c r="J89" s="338" t="s">
        <v>409</v>
      </c>
    </row>
    <row r="90" spans="1:10" ht="15" customHeight="1">
      <c r="A90" s="134" t="s">
        <v>6304</v>
      </c>
      <c r="B90" s="99" t="s">
        <v>401</v>
      </c>
      <c r="C90" s="99" t="s">
        <v>6339</v>
      </c>
      <c r="D90" s="99" t="s">
        <v>1878</v>
      </c>
      <c r="E90" s="382" t="s">
        <v>6335</v>
      </c>
      <c r="F90" s="718">
        <v>44699</v>
      </c>
      <c r="G90" s="99">
        <v>50</v>
      </c>
      <c r="H90" s="99" t="s">
        <v>6311</v>
      </c>
      <c r="I90" s="99">
        <v>50</v>
      </c>
      <c r="J90" s="338" t="s">
        <v>409</v>
      </c>
    </row>
    <row r="91" spans="1:10" ht="15" customHeight="1">
      <c r="A91" s="134" t="s">
        <v>6304</v>
      </c>
      <c r="B91" s="99" t="s">
        <v>401</v>
      </c>
      <c r="C91" s="99" t="s">
        <v>6282</v>
      </c>
      <c r="D91" s="99" t="s">
        <v>1878</v>
      </c>
      <c r="E91" s="382" t="s">
        <v>6283</v>
      </c>
      <c r="F91" s="718">
        <v>44706</v>
      </c>
      <c r="G91" s="99">
        <v>50</v>
      </c>
      <c r="H91" s="99" t="s">
        <v>6307</v>
      </c>
      <c r="I91" s="99">
        <v>50</v>
      </c>
      <c r="J91" s="338" t="s">
        <v>409</v>
      </c>
    </row>
    <row r="92" spans="1:10" ht="15" customHeight="1">
      <c r="A92" s="134" t="s">
        <v>6304</v>
      </c>
      <c r="B92" s="99" t="s">
        <v>401</v>
      </c>
      <c r="C92" s="99" t="s">
        <v>6282</v>
      </c>
      <c r="D92" s="99" t="s">
        <v>1878</v>
      </c>
      <c r="E92" s="382" t="s">
        <v>6283</v>
      </c>
      <c r="F92" s="718">
        <v>44720</v>
      </c>
      <c r="G92" s="99">
        <v>50</v>
      </c>
      <c r="H92" s="99" t="s">
        <v>6307</v>
      </c>
      <c r="I92" s="99">
        <v>50</v>
      </c>
      <c r="J92" s="338" t="s">
        <v>409</v>
      </c>
    </row>
    <row r="93" spans="1:10" ht="15" customHeight="1">
      <c r="A93" s="134" t="s">
        <v>6304</v>
      </c>
      <c r="B93" s="99" t="s">
        <v>401</v>
      </c>
      <c r="C93" s="99" t="s">
        <v>421</v>
      </c>
      <c r="D93" s="99" t="s">
        <v>1878</v>
      </c>
      <c r="E93" s="382" t="s">
        <v>6290</v>
      </c>
      <c r="F93" s="718">
        <v>44733</v>
      </c>
      <c r="G93" s="99">
        <v>50</v>
      </c>
      <c r="H93" s="99" t="s">
        <v>6307</v>
      </c>
      <c r="I93" s="99">
        <v>50</v>
      </c>
      <c r="J93" s="338" t="s">
        <v>409</v>
      </c>
    </row>
    <row r="94" spans="1:10" ht="15" customHeight="1">
      <c r="A94" s="134" t="s">
        <v>6304</v>
      </c>
      <c r="B94" s="99" t="s">
        <v>401</v>
      </c>
      <c r="C94" s="99" t="s">
        <v>1014</v>
      </c>
      <c r="D94" s="99" t="s">
        <v>1878</v>
      </c>
      <c r="E94" s="382" t="s">
        <v>6326</v>
      </c>
      <c r="F94" s="718">
        <v>44735</v>
      </c>
      <c r="G94" s="99">
        <v>50</v>
      </c>
      <c r="H94" s="99" t="s">
        <v>6311</v>
      </c>
      <c r="I94" s="99">
        <v>50</v>
      </c>
      <c r="J94" s="338" t="s">
        <v>409</v>
      </c>
    </row>
    <row r="95" spans="1:10" ht="15" customHeight="1">
      <c r="A95" s="134" t="s">
        <v>6304</v>
      </c>
      <c r="B95" s="99" t="s">
        <v>401</v>
      </c>
      <c r="C95" s="99" t="s">
        <v>6242</v>
      </c>
      <c r="D95" s="99" t="s">
        <v>1878</v>
      </c>
      <c r="E95" s="382" t="s">
        <v>6340</v>
      </c>
      <c r="F95" s="718">
        <v>44739</v>
      </c>
      <c r="G95" s="99">
        <v>50</v>
      </c>
      <c r="H95" s="99" t="s">
        <v>6311</v>
      </c>
      <c r="I95" s="99">
        <v>50</v>
      </c>
      <c r="J95" s="338" t="s">
        <v>409</v>
      </c>
    </row>
    <row r="96" spans="1:10" ht="15" customHeight="1">
      <c r="A96" s="134" t="s">
        <v>6304</v>
      </c>
      <c r="B96" s="99" t="s">
        <v>401</v>
      </c>
      <c r="C96" s="99" t="s">
        <v>6341</v>
      </c>
      <c r="D96" s="99" t="s">
        <v>1878</v>
      </c>
      <c r="E96" s="382" t="s">
        <v>6309</v>
      </c>
      <c r="F96" s="718">
        <v>44752</v>
      </c>
      <c r="G96" s="99">
        <v>50</v>
      </c>
      <c r="H96" s="99" t="s">
        <v>6310</v>
      </c>
      <c r="I96" s="99">
        <v>50</v>
      </c>
      <c r="J96" s="338" t="s">
        <v>409</v>
      </c>
    </row>
    <row r="97" spans="1:10" ht="15" customHeight="1">
      <c r="A97" s="134" t="s">
        <v>6304</v>
      </c>
      <c r="B97" s="99" t="s">
        <v>401</v>
      </c>
      <c r="C97" s="99" t="s">
        <v>421</v>
      </c>
      <c r="D97" s="99" t="s">
        <v>1878</v>
      </c>
      <c r="E97" s="382" t="s">
        <v>6290</v>
      </c>
      <c r="F97" s="718">
        <v>44753</v>
      </c>
      <c r="G97" s="99">
        <v>50</v>
      </c>
      <c r="H97" s="99" t="s">
        <v>6307</v>
      </c>
      <c r="I97" s="99">
        <v>50</v>
      </c>
      <c r="J97" s="338" t="s">
        <v>409</v>
      </c>
    </row>
    <row r="98" spans="1:10" ht="15" customHeight="1">
      <c r="A98" s="134" t="s">
        <v>6304</v>
      </c>
      <c r="B98" s="99" t="s">
        <v>401</v>
      </c>
      <c r="C98" s="99" t="s">
        <v>6282</v>
      </c>
      <c r="D98" s="99" t="s">
        <v>1878</v>
      </c>
      <c r="E98" s="382" t="s">
        <v>6283</v>
      </c>
      <c r="F98" s="718">
        <v>44760</v>
      </c>
      <c r="G98" s="99">
        <v>50</v>
      </c>
      <c r="H98" s="99" t="s">
        <v>6307</v>
      </c>
      <c r="I98" s="99">
        <v>50</v>
      </c>
      <c r="J98" s="338" t="s">
        <v>409</v>
      </c>
    </row>
    <row r="99" spans="1:10" ht="15" customHeight="1">
      <c r="A99" s="134" t="s">
        <v>6304</v>
      </c>
      <c r="B99" s="99" t="s">
        <v>401</v>
      </c>
      <c r="C99" s="99" t="s">
        <v>6342</v>
      </c>
      <c r="D99" s="99" t="s">
        <v>6343</v>
      </c>
      <c r="E99" s="382" t="s">
        <v>6344</v>
      </c>
      <c r="F99" s="718">
        <v>44771</v>
      </c>
      <c r="G99" s="99">
        <v>50</v>
      </c>
      <c r="H99" s="99" t="s">
        <v>6345</v>
      </c>
      <c r="I99" s="99">
        <v>50</v>
      </c>
      <c r="J99" s="338" t="s">
        <v>409</v>
      </c>
    </row>
    <row r="100" spans="1:10" ht="15" customHeight="1">
      <c r="A100" s="134" t="s">
        <v>6304</v>
      </c>
      <c r="B100" s="99" t="s">
        <v>401</v>
      </c>
      <c r="C100" s="99" t="s">
        <v>601</v>
      </c>
      <c r="D100" s="99" t="s">
        <v>1878</v>
      </c>
      <c r="E100" s="382" t="s">
        <v>6279</v>
      </c>
      <c r="F100" s="718">
        <v>44771</v>
      </c>
      <c r="G100" s="99">
        <v>50</v>
      </c>
      <c r="H100" s="99" t="s">
        <v>6311</v>
      </c>
      <c r="I100" s="99">
        <v>50</v>
      </c>
      <c r="J100" s="338" t="s">
        <v>409</v>
      </c>
    </row>
    <row r="101" spans="1:10" ht="15" customHeight="1">
      <c r="A101" s="134" t="s">
        <v>6304</v>
      </c>
      <c r="B101" s="99" t="s">
        <v>401</v>
      </c>
      <c r="C101" s="99" t="s">
        <v>421</v>
      </c>
      <c r="D101" s="99" t="s">
        <v>1878</v>
      </c>
      <c r="E101" s="382" t="s">
        <v>6290</v>
      </c>
      <c r="F101" s="718">
        <v>44778</v>
      </c>
      <c r="G101" s="99">
        <v>50</v>
      </c>
      <c r="H101" s="99" t="s">
        <v>6307</v>
      </c>
      <c r="I101" s="99">
        <v>50</v>
      </c>
      <c r="J101" s="338" t="s">
        <v>409</v>
      </c>
    </row>
    <row r="102" spans="1:10" ht="15" customHeight="1">
      <c r="A102" s="134" t="s">
        <v>6304</v>
      </c>
      <c r="B102" s="99" t="s">
        <v>401</v>
      </c>
      <c r="C102" s="99" t="s">
        <v>6346</v>
      </c>
      <c r="D102" s="99" t="s">
        <v>6343</v>
      </c>
      <c r="E102" s="382" t="s">
        <v>6344</v>
      </c>
      <c r="F102" s="718">
        <v>44789</v>
      </c>
      <c r="G102" s="99">
        <v>50</v>
      </c>
      <c r="H102" s="99" t="s">
        <v>6345</v>
      </c>
      <c r="I102" s="99">
        <v>50</v>
      </c>
      <c r="J102" s="338" t="s">
        <v>409</v>
      </c>
    </row>
    <row r="103" spans="1:10" ht="15" customHeight="1">
      <c r="A103" s="134" t="s">
        <v>6304</v>
      </c>
      <c r="B103" s="99" t="s">
        <v>401</v>
      </c>
      <c r="C103" s="99" t="s">
        <v>6347</v>
      </c>
      <c r="D103" s="99" t="s">
        <v>1878</v>
      </c>
      <c r="E103" s="382" t="s">
        <v>6348</v>
      </c>
      <c r="F103" s="718">
        <v>44789</v>
      </c>
      <c r="G103" s="99">
        <v>50</v>
      </c>
      <c r="H103" s="99" t="s">
        <v>6311</v>
      </c>
      <c r="I103" s="99">
        <v>50</v>
      </c>
      <c r="J103" s="338" t="s">
        <v>409</v>
      </c>
    </row>
    <row r="104" spans="1:10" ht="15" customHeight="1">
      <c r="A104" s="134" t="s">
        <v>6304</v>
      </c>
      <c r="B104" s="99" t="s">
        <v>401</v>
      </c>
      <c r="C104" s="99" t="s">
        <v>6341</v>
      </c>
      <c r="D104" s="99" t="s">
        <v>1878</v>
      </c>
      <c r="E104" s="382" t="s">
        <v>6309</v>
      </c>
      <c r="F104" s="718">
        <v>44793</v>
      </c>
      <c r="G104" s="99">
        <v>50</v>
      </c>
      <c r="H104" s="99" t="s">
        <v>6310</v>
      </c>
      <c r="I104" s="99">
        <v>50</v>
      </c>
      <c r="J104" s="338" t="s">
        <v>409</v>
      </c>
    </row>
    <row r="105" spans="1:10" ht="15" customHeight="1">
      <c r="A105" s="134" t="s">
        <v>6304</v>
      </c>
      <c r="B105" s="99" t="s">
        <v>401</v>
      </c>
      <c r="C105" s="99" t="s">
        <v>6349</v>
      </c>
      <c r="D105" s="99" t="s">
        <v>1878</v>
      </c>
      <c r="E105" s="382" t="s">
        <v>6350</v>
      </c>
      <c r="F105" s="718">
        <v>44795</v>
      </c>
      <c r="G105" s="99">
        <v>50</v>
      </c>
      <c r="H105" s="99" t="s">
        <v>6351</v>
      </c>
      <c r="I105" s="99">
        <v>50</v>
      </c>
      <c r="J105" s="338" t="s">
        <v>409</v>
      </c>
    </row>
    <row r="106" spans="1:10" ht="15" customHeight="1">
      <c r="A106" s="134" t="s">
        <v>6304</v>
      </c>
      <c r="B106" s="99" t="s">
        <v>401</v>
      </c>
      <c r="C106" s="99" t="s">
        <v>925</v>
      </c>
      <c r="D106" s="99" t="s">
        <v>1878</v>
      </c>
      <c r="E106" s="382" t="s">
        <v>6352</v>
      </c>
      <c r="F106" s="718">
        <v>44804</v>
      </c>
      <c r="G106" s="99">
        <v>50</v>
      </c>
      <c r="H106" s="99" t="s">
        <v>6311</v>
      </c>
      <c r="I106" s="99">
        <v>50</v>
      </c>
      <c r="J106" s="338" t="s">
        <v>409</v>
      </c>
    </row>
    <row r="107" spans="1:10" ht="15" customHeight="1">
      <c r="A107" s="134" t="s">
        <v>6304</v>
      </c>
      <c r="B107" s="99" t="s">
        <v>401</v>
      </c>
      <c r="C107" s="99" t="s">
        <v>421</v>
      </c>
      <c r="D107" s="99" t="s">
        <v>1878</v>
      </c>
      <c r="E107" s="382" t="s">
        <v>6290</v>
      </c>
      <c r="F107" s="718">
        <v>44812</v>
      </c>
      <c r="G107" s="99">
        <v>50</v>
      </c>
      <c r="H107" s="99" t="s">
        <v>6307</v>
      </c>
      <c r="I107" s="99">
        <v>50</v>
      </c>
      <c r="J107" s="338" t="s">
        <v>409</v>
      </c>
    </row>
    <row r="108" spans="1:10" ht="15" customHeight="1">
      <c r="A108" s="134" t="s">
        <v>6304</v>
      </c>
      <c r="B108" s="99" t="s">
        <v>401</v>
      </c>
      <c r="C108" s="99" t="s">
        <v>421</v>
      </c>
      <c r="D108" s="99" t="s">
        <v>1878</v>
      </c>
      <c r="E108" s="382" t="s">
        <v>6290</v>
      </c>
      <c r="F108" s="718">
        <v>44791</v>
      </c>
      <c r="G108" s="99">
        <v>50</v>
      </c>
      <c r="H108" s="99" t="s">
        <v>6307</v>
      </c>
      <c r="I108" s="99">
        <v>50</v>
      </c>
      <c r="J108" s="338" t="s">
        <v>409</v>
      </c>
    </row>
    <row r="109" spans="1:10" ht="15" customHeight="1">
      <c r="A109" s="134" t="s">
        <v>6304</v>
      </c>
      <c r="B109" s="99" t="s">
        <v>401</v>
      </c>
      <c r="C109" s="99" t="s">
        <v>6282</v>
      </c>
      <c r="D109" s="99" t="s">
        <v>1878</v>
      </c>
      <c r="E109" s="382" t="s">
        <v>6283</v>
      </c>
      <c r="F109" s="718">
        <v>44822</v>
      </c>
      <c r="G109" s="99">
        <v>50</v>
      </c>
      <c r="H109" s="99" t="s">
        <v>6307</v>
      </c>
      <c r="I109" s="99">
        <v>50</v>
      </c>
      <c r="J109" s="338" t="s">
        <v>409</v>
      </c>
    </row>
    <row r="110" spans="1:10" ht="15" customHeight="1">
      <c r="A110" s="134" t="s">
        <v>6304</v>
      </c>
      <c r="B110" s="99" t="s">
        <v>401</v>
      </c>
      <c r="C110" s="99" t="s">
        <v>974</v>
      </c>
      <c r="D110" s="99" t="s">
        <v>1878</v>
      </c>
      <c r="E110" s="382" t="s">
        <v>6272</v>
      </c>
      <c r="F110" s="718">
        <v>44836</v>
      </c>
      <c r="G110" s="99">
        <v>50</v>
      </c>
      <c r="H110" s="99" t="s">
        <v>6307</v>
      </c>
      <c r="I110" s="99">
        <v>50</v>
      </c>
      <c r="J110" s="338" t="s">
        <v>409</v>
      </c>
    </row>
    <row r="111" spans="1:10" ht="15" customHeight="1">
      <c r="A111" s="134" t="s">
        <v>6304</v>
      </c>
      <c r="B111" s="99" t="s">
        <v>401</v>
      </c>
      <c r="C111" s="99" t="s">
        <v>6353</v>
      </c>
      <c r="D111" s="99" t="s">
        <v>1878</v>
      </c>
      <c r="E111" s="382" t="s">
        <v>6354</v>
      </c>
      <c r="F111" s="718">
        <v>44836</v>
      </c>
      <c r="G111" s="99">
        <v>50</v>
      </c>
      <c r="H111" s="99" t="s">
        <v>6311</v>
      </c>
      <c r="I111" s="99">
        <v>50</v>
      </c>
      <c r="J111" s="338" t="s">
        <v>409</v>
      </c>
    </row>
    <row r="112" spans="1:10" ht="15" customHeight="1">
      <c r="A112" s="134" t="s">
        <v>6304</v>
      </c>
      <c r="B112" s="99" t="s">
        <v>401</v>
      </c>
      <c r="C112" s="99" t="s">
        <v>421</v>
      </c>
      <c r="D112" s="99" t="s">
        <v>1878</v>
      </c>
      <c r="E112" s="382" t="s">
        <v>6290</v>
      </c>
      <c r="F112" s="718">
        <v>44844</v>
      </c>
      <c r="G112" s="99">
        <v>50</v>
      </c>
      <c r="H112" s="99" t="s">
        <v>6307</v>
      </c>
      <c r="I112" s="99">
        <v>50</v>
      </c>
      <c r="J112" s="338" t="s">
        <v>409</v>
      </c>
    </row>
    <row r="113" spans="1:10" ht="15" customHeight="1">
      <c r="A113" s="134" t="s">
        <v>6304</v>
      </c>
      <c r="B113" s="99" t="s">
        <v>401</v>
      </c>
      <c r="C113" s="99" t="s">
        <v>6282</v>
      </c>
      <c r="D113" s="99" t="s">
        <v>1878</v>
      </c>
      <c r="E113" s="382" t="s">
        <v>6283</v>
      </c>
      <c r="F113" s="718">
        <v>44852</v>
      </c>
      <c r="G113" s="99">
        <v>50</v>
      </c>
      <c r="H113" s="99" t="s">
        <v>6307</v>
      </c>
      <c r="I113" s="99">
        <v>50</v>
      </c>
      <c r="J113" s="338" t="s">
        <v>409</v>
      </c>
    </row>
    <row r="114" spans="1:10" ht="15" customHeight="1">
      <c r="A114" s="134" t="s">
        <v>6304</v>
      </c>
      <c r="B114" s="99" t="s">
        <v>401</v>
      </c>
      <c r="C114" s="99" t="s">
        <v>6355</v>
      </c>
      <c r="D114" s="99" t="s">
        <v>1878</v>
      </c>
      <c r="E114" s="382" t="s">
        <v>6356</v>
      </c>
      <c r="F114" s="718">
        <v>44860</v>
      </c>
      <c r="G114" s="99">
        <v>50</v>
      </c>
      <c r="H114" s="99" t="s">
        <v>6310</v>
      </c>
      <c r="I114" s="99">
        <v>50</v>
      </c>
      <c r="J114" s="338" t="s">
        <v>409</v>
      </c>
    </row>
    <row r="115" spans="1:10" ht="15" customHeight="1">
      <c r="A115" s="134" t="s">
        <v>6304</v>
      </c>
      <c r="B115" s="99" t="s">
        <v>401</v>
      </c>
      <c r="C115" s="99" t="s">
        <v>6282</v>
      </c>
      <c r="D115" s="99" t="s">
        <v>1878</v>
      </c>
      <c r="E115" s="382" t="s">
        <v>6283</v>
      </c>
      <c r="F115" s="718">
        <v>44865</v>
      </c>
      <c r="G115" s="99">
        <v>50</v>
      </c>
      <c r="H115" s="99" t="s">
        <v>6307</v>
      </c>
      <c r="I115" s="99">
        <v>50</v>
      </c>
      <c r="J115" s="338" t="s">
        <v>409</v>
      </c>
    </row>
    <row r="116" spans="1:10" ht="15" customHeight="1">
      <c r="A116" s="134" t="s">
        <v>6304</v>
      </c>
      <c r="B116" s="99" t="s">
        <v>401</v>
      </c>
      <c r="C116" s="99" t="s">
        <v>6357</v>
      </c>
      <c r="D116" s="99" t="s">
        <v>1878</v>
      </c>
      <c r="E116" s="382" t="s">
        <v>6358</v>
      </c>
      <c r="F116" s="718">
        <v>44879</v>
      </c>
      <c r="G116" s="99">
        <v>50</v>
      </c>
      <c r="H116" s="99" t="s">
        <v>6311</v>
      </c>
      <c r="I116" s="99">
        <v>50</v>
      </c>
      <c r="J116" s="338" t="s">
        <v>409</v>
      </c>
    </row>
    <row r="117" spans="1:10" ht="15" customHeight="1">
      <c r="A117" s="134" t="s">
        <v>6304</v>
      </c>
      <c r="B117" s="99" t="s">
        <v>401</v>
      </c>
      <c r="C117" s="99" t="s">
        <v>421</v>
      </c>
      <c r="D117" s="99" t="s">
        <v>1878</v>
      </c>
      <c r="E117" s="382" t="s">
        <v>6290</v>
      </c>
      <c r="F117" s="718">
        <v>44880</v>
      </c>
      <c r="G117" s="99">
        <v>50</v>
      </c>
      <c r="H117" s="99" t="s">
        <v>6307</v>
      </c>
      <c r="I117" s="99">
        <v>50</v>
      </c>
      <c r="J117" s="338" t="s">
        <v>409</v>
      </c>
    </row>
    <row r="118" spans="1:10" ht="15" customHeight="1">
      <c r="A118" s="134" t="s">
        <v>6304</v>
      </c>
      <c r="B118" s="99" t="s">
        <v>401</v>
      </c>
      <c r="C118" s="99" t="s">
        <v>6282</v>
      </c>
      <c r="D118" s="99" t="s">
        <v>1878</v>
      </c>
      <c r="E118" s="382" t="s">
        <v>6283</v>
      </c>
      <c r="F118" s="718">
        <v>44887</v>
      </c>
      <c r="G118" s="99">
        <v>50</v>
      </c>
      <c r="H118" s="99" t="s">
        <v>6307</v>
      </c>
      <c r="I118" s="99">
        <v>50</v>
      </c>
      <c r="J118" s="338" t="s">
        <v>409</v>
      </c>
    </row>
    <row r="119" spans="1:10" ht="15" customHeight="1">
      <c r="A119" s="134" t="s">
        <v>6304</v>
      </c>
      <c r="B119" s="99" t="s">
        <v>401</v>
      </c>
      <c r="C119" s="99" t="s">
        <v>6242</v>
      </c>
      <c r="D119" s="99" t="s">
        <v>1878</v>
      </c>
      <c r="E119" s="382" t="s">
        <v>6340</v>
      </c>
      <c r="F119" s="718">
        <v>44892</v>
      </c>
      <c r="G119" s="99">
        <v>50</v>
      </c>
      <c r="H119" s="99" t="s">
        <v>6311</v>
      </c>
      <c r="I119" s="99">
        <v>50</v>
      </c>
      <c r="J119" s="338" t="s">
        <v>409</v>
      </c>
    </row>
    <row r="120" spans="1:10" ht="15" customHeight="1">
      <c r="A120" s="134" t="s">
        <v>6304</v>
      </c>
      <c r="B120" s="99" t="s">
        <v>401</v>
      </c>
      <c r="C120" s="99" t="s">
        <v>6359</v>
      </c>
      <c r="D120" s="99" t="s">
        <v>1878</v>
      </c>
      <c r="E120" s="382" t="s">
        <v>6360</v>
      </c>
      <c r="F120" s="718">
        <v>44909</v>
      </c>
      <c r="G120" s="99">
        <v>50</v>
      </c>
      <c r="H120" s="99">
        <v>50</v>
      </c>
      <c r="I120" s="99">
        <v>50</v>
      </c>
      <c r="J120" s="338" t="s">
        <v>409</v>
      </c>
    </row>
    <row r="121" spans="1:10" ht="15" customHeight="1">
      <c r="A121" s="134" t="s">
        <v>6304</v>
      </c>
      <c r="B121" s="99" t="s">
        <v>401</v>
      </c>
      <c r="C121" s="99" t="s">
        <v>6349</v>
      </c>
      <c r="D121" s="99" t="s">
        <v>1878</v>
      </c>
      <c r="E121" s="382" t="s">
        <v>6350</v>
      </c>
      <c r="F121" s="718">
        <v>44611</v>
      </c>
      <c r="G121" s="99">
        <v>50</v>
      </c>
      <c r="H121" s="99" t="s">
        <v>6351</v>
      </c>
      <c r="I121" s="99">
        <v>50</v>
      </c>
      <c r="J121" s="338" t="s">
        <v>409</v>
      </c>
    </row>
    <row r="122" spans="1:10" ht="15" customHeight="1">
      <c r="A122" s="134" t="s">
        <v>6304</v>
      </c>
      <c r="B122" s="99" t="s">
        <v>401</v>
      </c>
      <c r="C122" s="99" t="s">
        <v>6361</v>
      </c>
      <c r="D122" s="99" t="s">
        <v>1878</v>
      </c>
      <c r="E122" s="382" t="s">
        <v>6362</v>
      </c>
      <c r="F122" s="718">
        <v>44883</v>
      </c>
      <c r="G122" s="99">
        <v>50</v>
      </c>
      <c r="H122" s="99" t="s">
        <v>6363</v>
      </c>
      <c r="I122" s="99">
        <v>50</v>
      </c>
      <c r="J122" s="338" t="s">
        <v>409</v>
      </c>
    </row>
    <row r="123" spans="1:10" ht="15" customHeight="1">
      <c r="A123" s="134" t="s">
        <v>6304</v>
      </c>
      <c r="B123" s="99" t="s">
        <v>401</v>
      </c>
      <c r="C123" s="99" t="s">
        <v>6361</v>
      </c>
      <c r="D123" s="99" t="s">
        <v>1878</v>
      </c>
      <c r="E123" s="382" t="s">
        <v>6362</v>
      </c>
      <c r="F123" s="718">
        <v>44883</v>
      </c>
      <c r="G123" s="99">
        <v>50</v>
      </c>
      <c r="H123" s="99" t="s">
        <v>6363</v>
      </c>
      <c r="I123" s="99">
        <v>50</v>
      </c>
      <c r="J123" s="338" t="s">
        <v>409</v>
      </c>
    </row>
    <row r="124" spans="1:10" ht="15" customHeight="1">
      <c r="A124" s="134" t="s">
        <v>6304</v>
      </c>
      <c r="B124" s="99" t="s">
        <v>401</v>
      </c>
      <c r="C124" s="99" t="s">
        <v>6361</v>
      </c>
      <c r="D124" s="99" t="s">
        <v>1878</v>
      </c>
      <c r="E124" s="382" t="s">
        <v>6362</v>
      </c>
      <c r="F124" s="718">
        <v>44885</v>
      </c>
      <c r="G124" s="99">
        <v>50</v>
      </c>
      <c r="H124" s="99" t="s">
        <v>6363</v>
      </c>
      <c r="I124" s="99">
        <v>50</v>
      </c>
      <c r="J124" s="338" t="s">
        <v>409</v>
      </c>
    </row>
    <row r="125" spans="1:10" ht="15" customHeight="1">
      <c r="A125" s="134" t="s">
        <v>6304</v>
      </c>
      <c r="B125" s="99" t="s">
        <v>401</v>
      </c>
      <c r="C125" s="99" t="s">
        <v>6361</v>
      </c>
      <c r="D125" s="99" t="s">
        <v>1878</v>
      </c>
      <c r="E125" s="382" t="s">
        <v>6362</v>
      </c>
      <c r="F125" s="718">
        <v>44892</v>
      </c>
      <c r="G125" s="99">
        <v>50</v>
      </c>
      <c r="H125" s="99" t="s">
        <v>6363</v>
      </c>
      <c r="I125" s="99">
        <v>50</v>
      </c>
      <c r="J125" s="338" t="s">
        <v>409</v>
      </c>
    </row>
    <row r="126" spans="1:10" ht="15" customHeight="1">
      <c r="A126" s="134" t="s">
        <v>6304</v>
      </c>
      <c r="B126" s="99" t="s">
        <v>401</v>
      </c>
      <c r="C126" s="99" t="s">
        <v>6361</v>
      </c>
      <c r="D126" s="99" t="s">
        <v>1878</v>
      </c>
      <c r="E126" s="382" t="s">
        <v>6362</v>
      </c>
      <c r="F126" s="718">
        <v>44894</v>
      </c>
      <c r="G126" s="99">
        <v>50</v>
      </c>
      <c r="H126" s="99" t="s">
        <v>6363</v>
      </c>
      <c r="I126" s="99">
        <v>50</v>
      </c>
      <c r="J126" s="338" t="s">
        <v>409</v>
      </c>
    </row>
    <row r="127" spans="1:10" ht="15" customHeight="1">
      <c r="A127" s="134" t="s">
        <v>6304</v>
      </c>
      <c r="B127" s="99" t="s">
        <v>401</v>
      </c>
      <c r="C127" s="99" t="s">
        <v>6361</v>
      </c>
      <c r="D127" s="99" t="s">
        <v>1878</v>
      </c>
      <c r="E127" s="382" t="s">
        <v>6362</v>
      </c>
      <c r="F127" s="718">
        <v>44895</v>
      </c>
      <c r="G127" s="99">
        <v>50</v>
      </c>
      <c r="H127" s="99" t="s">
        <v>6363</v>
      </c>
      <c r="I127" s="99">
        <v>50</v>
      </c>
      <c r="J127" s="338" t="s">
        <v>409</v>
      </c>
    </row>
    <row r="128" spans="1:10" ht="15" customHeight="1">
      <c r="A128" s="134" t="s">
        <v>6304</v>
      </c>
      <c r="B128" s="99" t="s">
        <v>401</v>
      </c>
      <c r="C128" s="99" t="s">
        <v>6361</v>
      </c>
      <c r="D128" s="99" t="s">
        <v>1878</v>
      </c>
      <c r="E128" s="382" t="s">
        <v>6362</v>
      </c>
      <c r="F128" s="718">
        <v>44896</v>
      </c>
      <c r="G128" s="99">
        <v>50</v>
      </c>
      <c r="H128" s="99" t="s">
        <v>6363</v>
      </c>
      <c r="I128" s="99">
        <v>50</v>
      </c>
      <c r="J128" s="338" t="s">
        <v>409</v>
      </c>
    </row>
    <row r="129" spans="1:10" ht="15" customHeight="1">
      <c r="A129" s="134" t="s">
        <v>6304</v>
      </c>
      <c r="B129" s="99" t="s">
        <v>401</v>
      </c>
      <c r="C129" s="99" t="s">
        <v>6361</v>
      </c>
      <c r="D129" s="99" t="s">
        <v>1878</v>
      </c>
      <c r="E129" s="382" t="s">
        <v>6362</v>
      </c>
      <c r="F129" s="718">
        <v>44896</v>
      </c>
      <c r="G129" s="99">
        <v>50</v>
      </c>
      <c r="H129" s="99" t="s">
        <v>6363</v>
      </c>
      <c r="I129" s="99">
        <v>50</v>
      </c>
      <c r="J129" s="338" t="s">
        <v>409</v>
      </c>
    </row>
    <row r="130" spans="1:10" ht="15" customHeight="1">
      <c r="A130" s="134" t="s">
        <v>6304</v>
      </c>
      <c r="B130" s="99" t="s">
        <v>401</v>
      </c>
      <c r="C130" s="99" t="s">
        <v>6361</v>
      </c>
      <c r="D130" s="99" t="s">
        <v>1878</v>
      </c>
      <c r="E130" s="382" t="s">
        <v>6362</v>
      </c>
      <c r="F130" s="718">
        <v>44898</v>
      </c>
      <c r="G130" s="99">
        <v>50</v>
      </c>
      <c r="H130" s="99" t="s">
        <v>6363</v>
      </c>
      <c r="I130" s="99">
        <v>50</v>
      </c>
      <c r="J130" s="338" t="s">
        <v>409</v>
      </c>
    </row>
    <row r="131" spans="1:10" ht="15" customHeight="1">
      <c r="A131" s="134" t="s">
        <v>6304</v>
      </c>
      <c r="B131" s="99" t="s">
        <v>401</v>
      </c>
      <c r="C131" s="99" t="s">
        <v>6361</v>
      </c>
      <c r="D131" s="99" t="s">
        <v>1878</v>
      </c>
      <c r="E131" s="382" t="s">
        <v>6362</v>
      </c>
      <c r="F131" s="718">
        <v>44900</v>
      </c>
      <c r="G131" s="99">
        <v>50</v>
      </c>
      <c r="H131" s="99" t="s">
        <v>6363</v>
      </c>
      <c r="I131" s="99">
        <v>50</v>
      </c>
      <c r="J131" s="338" t="s">
        <v>409</v>
      </c>
    </row>
    <row r="132" spans="1:10" ht="15" customHeight="1">
      <c r="A132" s="134" t="s">
        <v>6304</v>
      </c>
      <c r="B132" s="99" t="s">
        <v>401</v>
      </c>
      <c r="C132" s="99" t="s">
        <v>6361</v>
      </c>
      <c r="D132" s="99" t="s">
        <v>1878</v>
      </c>
      <c r="E132" s="382" t="s">
        <v>6362</v>
      </c>
      <c r="F132" s="718">
        <v>44902</v>
      </c>
      <c r="G132" s="99">
        <v>50</v>
      </c>
      <c r="H132" s="99" t="s">
        <v>6363</v>
      </c>
      <c r="I132" s="99">
        <v>50</v>
      </c>
      <c r="J132" s="338" t="s">
        <v>409</v>
      </c>
    </row>
    <row r="133" spans="1:10" ht="15" customHeight="1">
      <c r="A133" s="134" t="s">
        <v>6304</v>
      </c>
      <c r="B133" s="99" t="s">
        <v>401</v>
      </c>
      <c r="C133" s="99" t="s">
        <v>6361</v>
      </c>
      <c r="D133" s="99" t="s">
        <v>1878</v>
      </c>
      <c r="E133" s="382" t="s">
        <v>6362</v>
      </c>
      <c r="F133" s="718">
        <v>44904</v>
      </c>
      <c r="G133" s="99">
        <v>50</v>
      </c>
      <c r="H133" s="99" t="s">
        <v>6363</v>
      </c>
      <c r="I133" s="99">
        <v>50</v>
      </c>
      <c r="J133" s="338" t="s">
        <v>409</v>
      </c>
    </row>
    <row r="134" spans="1:10" ht="15" customHeight="1">
      <c r="A134" s="134" t="s">
        <v>6304</v>
      </c>
      <c r="B134" s="99" t="s">
        <v>401</v>
      </c>
      <c r="C134" s="99" t="s">
        <v>6361</v>
      </c>
      <c r="D134" s="99" t="s">
        <v>1878</v>
      </c>
      <c r="E134" s="382" t="s">
        <v>6362</v>
      </c>
      <c r="F134" s="718">
        <v>44905</v>
      </c>
      <c r="G134" s="99">
        <v>50</v>
      </c>
      <c r="H134" s="99" t="s">
        <v>6363</v>
      </c>
      <c r="I134" s="99">
        <v>50</v>
      </c>
      <c r="J134" s="338" t="s">
        <v>409</v>
      </c>
    </row>
    <row r="135" spans="1:10" ht="15" customHeight="1">
      <c r="A135" s="134" t="s">
        <v>6304</v>
      </c>
      <c r="B135" s="99" t="s">
        <v>401</v>
      </c>
      <c r="C135" s="99" t="s">
        <v>6282</v>
      </c>
      <c r="D135" s="99" t="s">
        <v>1878</v>
      </c>
      <c r="E135" s="382" t="s">
        <v>6283</v>
      </c>
      <c r="F135" s="718">
        <v>44911</v>
      </c>
      <c r="G135" s="99">
        <v>50</v>
      </c>
      <c r="H135" s="99" t="s">
        <v>6307</v>
      </c>
      <c r="I135" s="99">
        <v>50</v>
      </c>
      <c r="J135" s="338" t="s">
        <v>409</v>
      </c>
    </row>
    <row r="136" spans="1:10" ht="15" customHeight="1">
      <c r="A136" s="134" t="s">
        <v>6304</v>
      </c>
      <c r="B136" s="99" t="s">
        <v>401</v>
      </c>
      <c r="C136" s="99" t="s">
        <v>6342</v>
      </c>
      <c r="D136" s="99" t="s">
        <v>6343</v>
      </c>
      <c r="E136" s="382" t="s">
        <v>6344</v>
      </c>
      <c r="F136" s="718">
        <v>44925</v>
      </c>
      <c r="G136" s="99">
        <v>50</v>
      </c>
      <c r="H136" s="99" t="s">
        <v>6310</v>
      </c>
      <c r="I136" s="99">
        <v>50</v>
      </c>
      <c r="J136" s="338" t="s">
        <v>409</v>
      </c>
    </row>
    <row r="137" spans="1:10" ht="15" customHeight="1">
      <c r="A137" s="134" t="s">
        <v>6304</v>
      </c>
      <c r="B137" s="99" t="s">
        <v>401</v>
      </c>
      <c r="C137" s="99" t="s">
        <v>6364</v>
      </c>
      <c r="D137" s="99" t="s">
        <v>6365</v>
      </c>
      <c r="E137" s="382" t="s">
        <v>6366</v>
      </c>
      <c r="F137" s="718" t="s">
        <v>6367</v>
      </c>
      <c r="G137" s="99">
        <v>100</v>
      </c>
      <c r="H137" s="99" t="s">
        <v>6325</v>
      </c>
      <c r="I137" s="99">
        <v>100</v>
      </c>
      <c r="J137" s="338" t="s">
        <v>409</v>
      </c>
    </row>
    <row r="138" spans="1:10" ht="15" customHeight="1">
      <c r="A138" s="134" t="s">
        <v>6304</v>
      </c>
      <c r="B138" s="99" t="s">
        <v>401</v>
      </c>
      <c r="C138" s="99" t="s">
        <v>6368</v>
      </c>
      <c r="D138" s="99" t="s">
        <v>6369</v>
      </c>
      <c r="E138" s="382" t="s">
        <v>6370</v>
      </c>
      <c r="F138" s="718" t="s">
        <v>6367</v>
      </c>
      <c r="G138" s="99">
        <v>150</v>
      </c>
      <c r="H138" s="99" t="s">
        <v>6311</v>
      </c>
      <c r="I138" s="99">
        <v>150</v>
      </c>
      <c r="J138" s="338" t="s">
        <v>409</v>
      </c>
    </row>
    <row r="139" spans="1:10" ht="15" customHeight="1">
      <c r="A139" s="134" t="s">
        <v>6304</v>
      </c>
      <c r="B139" s="99" t="s">
        <v>401</v>
      </c>
      <c r="C139" s="99" t="s">
        <v>6371</v>
      </c>
      <c r="D139" s="99" t="s">
        <v>6372</v>
      </c>
      <c r="E139" s="382" t="s">
        <v>6373</v>
      </c>
      <c r="F139" s="718" t="s">
        <v>6367</v>
      </c>
      <c r="G139" s="99">
        <v>125</v>
      </c>
      <c r="H139" s="99" t="s">
        <v>6374</v>
      </c>
      <c r="I139" s="99">
        <v>125</v>
      </c>
      <c r="J139" s="338" t="s">
        <v>409</v>
      </c>
    </row>
    <row r="140" spans="1:10" ht="15" customHeight="1">
      <c r="A140" s="134" t="s">
        <v>6304</v>
      </c>
      <c r="B140" s="99" t="s">
        <v>401</v>
      </c>
      <c r="C140" s="99" t="s">
        <v>6375</v>
      </c>
      <c r="D140" s="99" t="s">
        <v>6376</v>
      </c>
      <c r="E140" s="382" t="s">
        <v>6377</v>
      </c>
      <c r="F140" s="718" t="s">
        <v>6367</v>
      </c>
      <c r="G140" s="99">
        <v>75</v>
      </c>
      <c r="H140" s="99" t="s">
        <v>6378</v>
      </c>
      <c r="I140" s="99">
        <v>75</v>
      </c>
      <c r="J140" s="338" t="s">
        <v>409</v>
      </c>
    </row>
    <row r="141" spans="1:10" ht="15" customHeight="1">
      <c r="A141" s="134" t="s">
        <v>6304</v>
      </c>
      <c r="B141" s="99" t="s">
        <v>401</v>
      </c>
      <c r="C141" s="99" t="s">
        <v>6379</v>
      </c>
      <c r="D141" s="99" t="s">
        <v>6380</v>
      </c>
      <c r="E141" s="382" t="s">
        <v>6381</v>
      </c>
      <c r="F141" s="718" t="s">
        <v>6367</v>
      </c>
      <c r="G141" s="99">
        <v>100</v>
      </c>
      <c r="H141" s="99" t="s">
        <v>6325</v>
      </c>
      <c r="I141" s="99">
        <v>100</v>
      </c>
      <c r="J141" s="338" t="s">
        <v>409</v>
      </c>
    </row>
    <row r="142" spans="1:10" ht="15" customHeight="1">
      <c r="A142" s="134" t="s">
        <v>6304</v>
      </c>
      <c r="B142" s="99" t="s">
        <v>401</v>
      </c>
      <c r="C142" s="99" t="s">
        <v>6382</v>
      </c>
      <c r="D142" s="99" t="s">
        <v>6383</v>
      </c>
      <c r="E142" s="382" t="s">
        <v>6384</v>
      </c>
      <c r="F142" s="718" t="s">
        <v>6367</v>
      </c>
      <c r="G142" s="99">
        <v>100</v>
      </c>
      <c r="H142" s="99" t="s">
        <v>6325</v>
      </c>
      <c r="I142" s="99">
        <v>100</v>
      </c>
      <c r="J142" s="338" t="s">
        <v>409</v>
      </c>
    </row>
    <row r="143" spans="1:10" ht="15" customHeight="1">
      <c r="A143" s="134" t="s">
        <v>6304</v>
      </c>
      <c r="B143" s="99" t="s">
        <v>401</v>
      </c>
      <c r="C143" s="99" t="s">
        <v>6385</v>
      </c>
      <c r="D143" s="99" t="s">
        <v>6386</v>
      </c>
      <c r="E143" s="382" t="s">
        <v>6387</v>
      </c>
      <c r="F143" s="718" t="s">
        <v>6367</v>
      </c>
      <c r="G143" s="99">
        <v>75</v>
      </c>
      <c r="H143" s="99" t="s">
        <v>6378</v>
      </c>
      <c r="I143" s="99">
        <v>75</v>
      </c>
      <c r="J143" s="338" t="s">
        <v>409</v>
      </c>
    </row>
    <row r="144" spans="1:10" ht="15" customHeight="1">
      <c r="A144" s="134" t="s">
        <v>6304</v>
      </c>
      <c r="B144" s="99" t="s">
        <v>401</v>
      </c>
      <c r="C144" s="99" t="s">
        <v>6388</v>
      </c>
      <c r="D144" s="99" t="s">
        <v>6383</v>
      </c>
      <c r="E144" s="382" t="s">
        <v>6389</v>
      </c>
      <c r="F144" s="718" t="s">
        <v>6367</v>
      </c>
      <c r="G144" s="99">
        <v>100</v>
      </c>
      <c r="H144" s="99" t="s">
        <v>6325</v>
      </c>
      <c r="I144" s="99">
        <v>100</v>
      </c>
      <c r="J144" s="338" t="s">
        <v>409</v>
      </c>
    </row>
    <row r="145" spans="1:10" ht="15" customHeight="1">
      <c r="A145" s="99" t="s">
        <v>6390</v>
      </c>
      <c r="B145" s="99" t="s">
        <v>401</v>
      </c>
      <c r="C145" s="99" t="s">
        <v>6391</v>
      </c>
      <c r="D145" s="99" t="s">
        <v>2133</v>
      </c>
      <c r="E145" s="382" t="s">
        <v>6392</v>
      </c>
      <c r="F145" s="99" t="s">
        <v>6393</v>
      </c>
      <c r="G145" s="528">
        <f t="shared" ref="G145:G146" si="0">10*5</f>
        <v>50</v>
      </c>
      <c r="H145" s="768" t="s">
        <v>6394</v>
      </c>
      <c r="I145" s="983">
        <v>50</v>
      </c>
      <c r="J145" s="338" t="s">
        <v>2115</v>
      </c>
    </row>
    <row r="146" spans="1:10" ht="15" customHeight="1">
      <c r="A146" s="99" t="s">
        <v>6390</v>
      </c>
      <c r="B146" s="99" t="s">
        <v>401</v>
      </c>
      <c r="C146" s="228" t="s">
        <v>6395</v>
      </c>
      <c r="D146" s="92" t="s">
        <v>230</v>
      </c>
      <c r="E146" s="131" t="s">
        <v>6396</v>
      </c>
      <c r="F146" s="92" t="s">
        <v>6397</v>
      </c>
      <c r="G146" s="528">
        <f t="shared" si="0"/>
        <v>50</v>
      </c>
      <c r="H146" s="768" t="s">
        <v>6398</v>
      </c>
      <c r="I146" s="983">
        <v>50</v>
      </c>
      <c r="J146" s="338" t="s">
        <v>2115</v>
      </c>
    </row>
    <row r="147" spans="1:10" ht="15" customHeight="1">
      <c r="A147" s="134" t="s">
        <v>466</v>
      </c>
      <c r="B147" s="99" t="str">
        <f t="shared" ref="B147:B149" si="1">$B$19</f>
        <v>FING 3</v>
      </c>
      <c r="C147" s="99" t="s">
        <v>6399</v>
      </c>
      <c r="D147" s="133" t="s">
        <v>1338</v>
      </c>
      <c r="E147" s="133" t="s">
        <v>6400</v>
      </c>
      <c r="F147" s="980">
        <v>44735</v>
      </c>
      <c r="G147" s="133">
        <v>50</v>
      </c>
      <c r="H147" s="500" t="s">
        <v>6401</v>
      </c>
      <c r="I147" s="767">
        <v>50</v>
      </c>
      <c r="J147" s="338" t="s">
        <v>466</v>
      </c>
    </row>
    <row r="148" spans="1:10" ht="15" customHeight="1">
      <c r="A148" s="438" t="str">
        <f t="shared" ref="A148:A149" si="2">$A$16</f>
        <v>Mircea Bădescu</v>
      </c>
      <c r="B148" s="228" t="str">
        <f t="shared" si="1"/>
        <v>FING 3</v>
      </c>
      <c r="C148" s="138" t="s">
        <v>6402</v>
      </c>
      <c r="D148" s="131" t="str">
        <f t="shared" ref="D148:D149" si="3">$D$16</f>
        <v>The journal is indexed in ProQuest, EBSCOhost, DOAJ, Google Scholar and Index Copernicus</v>
      </c>
      <c r="E148" s="131" t="s">
        <v>6403</v>
      </c>
      <c r="F148" s="984">
        <v>44617</v>
      </c>
      <c r="G148" s="985">
        <v>50</v>
      </c>
      <c r="H148" s="797" t="s">
        <v>6401</v>
      </c>
      <c r="I148" s="767">
        <v>50</v>
      </c>
      <c r="J148" s="338" t="s">
        <v>466</v>
      </c>
    </row>
    <row r="149" spans="1:10" ht="15" customHeight="1">
      <c r="A149" s="438" t="str">
        <f t="shared" si="2"/>
        <v>Mircea Bădescu</v>
      </c>
      <c r="B149" s="228" t="str">
        <f t="shared" si="1"/>
        <v>FING 3</v>
      </c>
      <c r="C149" s="138" t="s">
        <v>6404</v>
      </c>
      <c r="D149" s="133" t="str">
        <f t="shared" si="3"/>
        <v>The journal is indexed in ProQuest, EBSCOhost, DOAJ, Google Scholar and Index Copernicus</v>
      </c>
      <c r="E149" s="133" t="s">
        <v>6329</v>
      </c>
      <c r="F149" s="980">
        <v>44861</v>
      </c>
      <c r="G149" s="149">
        <v>50</v>
      </c>
      <c r="H149" s="761" t="s">
        <v>6401</v>
      </c>
      <c r="I149" s="767">
        <v>50</v>
      </c>
      <c r="J149" s="338" t="s">
        <v>466</v>
      </c>
    </row>
    <row r="150" spans="1:10" ht="15" customHeight="1">
      <c r="A150" s="438" t="str">
        <f>$A$18</f>
        <v xml:space="preserve"> Beju Livia</v>
      </c>
      <c r="B150" s="228" t="s">
        <v>401</v>
      </c>
      <c r="C150" s="138" t="s">
        <v>6405</v>
      </c>
      <c r="D150" s="133" t="s">
        <v>6406</v>
      </c>
      <c r="E150" s="133" t="s">
        <v>6407</v>
      </c>
      <c r="F150" s="980">
        <v>44703</v>
      </c>
      <c r="G150" s="149">
        <v>10</v>
      </c>
      <c r="H150" s="761" t="s">
        <v>6408</v>
      </c>
      <c r="I150" s="767">
        <v>10</v>
      </c>
      <c r="J150" s="338" t="s">
        <v>466</v>
      </c>
    </row>
    <row r="151" spans="1:10" ht="15" customHeight="1">
      <c r="A151" s="438" t="str">
        <f>$A$16</f>
        <v>Mircea Bădescu</v>
      </c>
      <c r="B151" s="228" t="str">
        <f>$B$19</f>
        <v>FING 3</v>
      </c>
      <c r="C151" s="138" t="str">
        <f>$C$16</f>
        <v>Nonconventional Technologies Review</v>
      </c>
      <c r="D151" s="138" t="str">
        <f>$D$16</f>
        <v>The journal is indexed in ProQuest, EBSCOhost, DOAJ, Google Scholar and Index Copernicus</v>
      </c>
      <c r="E151" s="986" t="str">
        <f>$E$16</f>
        <v>http://revtn.ro/_legacy/</v>
      </c>
      <c r="F151" s="987">
        <v>44608</v>
      </c>
      <c r="G151" s="988">
        <v>50</v>
      </c>
      <c r="H151" s="799" t="s">
        <v>6401</v>
      </c>
      <c r="I151" s="767">
        <v>50</v>
      </c>
      <c r="J151" s="338" t="s">
        <v>466</v>
      </c>
    </row>
    <row r="152" spans="1:10" ht="15" customHeight="1">
      <c r="A152" s="107" t="str">
        <f t="shared" ref="A152:C152" si="4">A148</f>
        <v>Mircea Bădescu</v>
      </c>
      <c r="B152" s="110" t="str">
        <f t="shared" si="4"/>
        <v>FING 3</v>
      </c>
      <c r="C152" s="659" t="str">
        <f t="shared" si="4"/>
        <v xml:space="preserve">Materials Today </v>
      </c>
      <c r="D152" s="989" t="str">
        <f>$D$17</f>
        <v>Applied Sciences | An Open Access Journal from MDPI</v>
      </c>
      <c r="E152" s="659" t="s">
        <v>6409</v>
      </c>
      <c r="F152" s="990">
        <v>44703</v>
      </c>
      <c r="G152" s="991">
        <v>50</v>
      </c>
      <c r="H152" s="801" t="s">
        <v>6401</v>
      </c>
      <c r="I152" s="277">
        <v>50</v>
      </c>
      <c r="J152" s="338" t="s">
        <v>466</v>
      </c>
    </row>
    <row r="153" spans="1:10" ht="15" customHeight="1">
      <c r="A153" s="694" t="s">
        <v>6410</v>
      </c>
      <c r="B153" s="438" t="s">
        <v>51</v>
      </c>
      <c r="C153" s="973" t="s">
        <v>6411</v>
      </c>
      <c r="D153" s="438" t="s">
        <v>1821</v>
      </c>
      <c r="E153" s="973" t="s">
        <v>6412</v>
      </c>
      <c r="F153" s="987" t="s">
        <v>6413</v>
      </c>
      <c r="G153" s="992">
        <v>200</v>
      </c>
      <c r="H153" s="241" t="s">
        <v>6401</v>
      </c>
      <c r="I153" s="767">
        <v>200</v>
      </c>
      <c r="J153" s="338" t="s">
        <v>466</v>
      </c>
    </row>
    <row r="154" spans="1:10" ht="15" customHeight="1">
      <c r="A154" s="134" t="s">
        <v>473</v>
      </c>
      <c r="B154" s="99" t="s">
        <v>51</v>
      </c>
      <c r="C154" s="133" t="s">
        <v>214</v>
      </c>
      <c r="D154" s="133" t="s">
        <v>1338</v>
      </c>
      <c r="E154" s="130" t="s">
        <v>6414</v>
      </c>
      <c r="F154" s="980">
        <v>44703</v>
      </c>
      <c r="G154" s="133">
        <v>50</v>
      </c>
      <c r="H154" s="495"/>
      <c r="I154" s="31">
        <v>50</v>
      </c>
      <c r="J154" s="338" t="s">
        <v>473</v>
      </c>
    </row>
    <row r="155" spans="1:10" ht="15" customHeight="1">
      <c r="A155" s="134" t="s">
        <v>6415</v>
      </c>
      <c r="B155" s="134" t="s">
        <v>51</v>
      </c>
      <c r="C155" s="438" t="s">
        <v>6416</v>
      </c>
      <c r="D155" s="564" t="s">
        <v>6417</v>
      </c>
      <c r="E155" s="382" t="s">
        <v>6418</v>
      </c>
      <c r="F155" s="99"/>
      <c r="G155" s="134" t="s">
        <v>6419</v>
      </c>
      <c r="H155" s="495"/>
      <c r="I155" s="31">
        <v>100</v>
      </c>
      <c r="J155" s="338" t="s">
        <v>482</v>
      </c>
    </row>
    <row r="156" spans="1:10" ht="15" customHeight="1">
      <c r="A156" s="134" t="s">
        <v>6415</v>
      </c>
      <c r="B156" s="134" t="s">
        <v>51</v>
      </c>
      <c r="C156" s="134" t="s">
        <v>6420</v>
      </c>
      <c r="D156" s="564" t="s">
        <v>6421</v>
      </c>
      <c r="E156" s="382" t="s">
        <v>6422</v>
      </c>
      <c r="F156" s="139"/>
      <c r="G156" s="399" t="s">
        <v>6423</v>
      </c>
      <c r="H156" s="495" t="s">
        <v>6424</v>
      </c>
      <c r="I156" s="31">
        <v>100</v>
      </c>
      <c r="J156" s="338" t="s">
        <v>482</v>
      </c>
    </row>
    <row r="157" spans="1:10" ht="15" customHeight="1">
      <c r="A157" s="134" t="s">
        <v>6415</v>
      </c>
      <c r="B157" s="134" t="s">
        <v>51</v>
      </c>
      <c r="C157" s="138" t="s">
        <v>521</v>
      </c>
      <c r="D157" s="131" t="s">
        <v>6425</v>
      </c>
      <c r="E157" s="142" t="s">
        <v>6426</v>
      </c>
      <c r="F157" s="984" t="s">
        <v>6427</v>
      </c>
      <c r="G157" s="821">
        <v>50</v>
      </c>
      <c r="H157" s="797"/>
      <c r="I157" s="31">
        <v>50</v>
      </c>
      <c r="J157" s="338" t="s">
        <v>482</v>
      </c>
    </row>
    <row r="158" spans="1:10" ht="15" customHeight="1">
      <c r="A158" s="134" t="s">
        <v>6415</v>
      </c>
      <c r="B158" s="134" t="s">
        <v>51</v>
      </c>
      <c r="C158" s="138" t="s">
        <v>974</v>
      </c>
      <c r="D158" s="131" t="s">
        <v>6425</v>
      </c>
      <c r="E158" s="142" t="s">
        <v>6272</v>
      </c>
      <c r="F158" s="984">
        <v>44898</v>
      </c>
      <c r="G158" s="821">
        <v>50</v>
      </c>
      <c r="H158" s="797"/>
      <c r="I158" s="31">
        <v>50</v>
      </c>
      <c r="J158" s="338" t="s">
        <v>482</v>
      </c>
    </row>
    <row r="159" spans="1:10" ht="15" customHeight="1">
      <c r="A159" s="134" t="s">
        <v>6415</v>
      </c>
      <c r="B159" s="134" t="s">
        <v>51</v>
      </c>
      <c r="C159" s="138" t="s">
        <v>974</v>
      </c>
      <c r="D159" s="131" t="s">
        <v>6425</v>
      </c>
      <c r="E159" s="142" t="s">
        <v>6272</v>
      </c>
      <c r="F159" s="984">
        <v>44888</v>
      </c>
      <c r="G159" s="821">
        <v>50</v>
      </c>
      <c r="H159" s="797"/>
      <c r="I159" s="31">
        <v>50</v>
      </c>
      <c r="J159" s="338" t="s">
        <v>482</v>
      </c>
    </row>
    <row r="160" spans="1:10" ht="15" customHeight="1">
      <c r="A160" s="134" t="s">
        <v>6415</v>
      </c>
      <c r="B160" s="134" t="s">
        <v>51</v>
      </c>
      <c r="C160" s="138" t="s">
        <v>214</v>
      </c>
      <c r="D160" s="131" t="s">
        <v>6425</v>
      </c>
      <c r="E160" s="142" t="s">
        <v>6292</v>
      </c>
      <c r="F160" s="984">
        <v>44874</v>
      </c>
      <c r="G160" s="821">
        <v>50</v>
      </c>
      <c r="H160" s="797"/>
      <c r="I160" s="31">
        <v>50</v>
      </c>
      <c r="J160" s="338" t="s">
        <v>482</v>
      </c>
    </row>
    <row r="161" spans="1:10" ht="15" customHeight="1">
      <c r="A161" s="134" t="s">
        <v>6415</v>
      </c>
      <c r="B161" s="134" t="s">
        <v>51</v>
      </c>
      <c r="C161" s="138" t="s">
        <v>214</v>
      </c>
      <c r="D161" s="131" t="s">
        <v>6425</v>
      </c>
      <c r="E161" s="142" t="s">
        <v>6292</v>
      </c>
      <c r="F161" s="984">
        <v>44839</v>
      </c>
      <c r="G161" s="821">
        <v>50</v>
      </c>
      <c r="H161" s="797"/>
      <c r="I161" s="31">
        <v>50</v>
      </c>
      <c r="J161" s="338" t="s">
        <v>482</v>
      </c>
    </row>
    <row r="162" spans="1:10" ht="15" customHeight="1">
      <c r="A162" s="134" t="s">
        <v>6415</v>
      </c>
      <c r="B162" s="134" t="s">
        <v>51</v>
      </c>
      <c r="C162" s="138" t="s">
        <v>6242</v>
      </c>
      <c r="D162" s="131" t="s">
        <v>6425</v>
      </c>
      <c r="E162" s="142" t="s">
        <v>6340</v>
      </c>
      <c r="F162" s="984">
        <v>44823</v>
      </c>
      <c r="G162" s="821">
        <v>50</v>
      </c>
      <c r="H162" s="797"/>
      <c r="I162" s="31">
        <v>50</v>
      </c>
      <c r="J162" s="338" t="s">
        <v>482</v>
      </c>
    </row>
    <row r="163" spans="1:10" ht="15" customHeight="1">
      <c r="A163" s="134" t="s">
        <v>6415</v>
      </c>
      <c r="B163" s="134" t="s">
        <v>51</v>
      </c>
      <c r="C163" s="138" t="s">
        <v>214</v>
      </c>
      <c r="D163" s="131" t="s">
        <v>6425</v>
      </c>
      <c r="E163" s="142" t="s">
        <v>6292</v>
      </c>
      <c r="F163" s="984">
        <v>44820</v>
      </c>
      <c r="G163" s="821">
        <v>50</v>
      </c>
      <c r="H163" s="797"/>
      <c r="I163" s="31">
        <v>50</v>
      </c>
      <c r="J163" s="338" t="s">
        <v>482</v>
      </c>
    </row>
    <row r="164" spans="1:10" ht="15" customHeight="1">
      <c r="A164" s="134" t="s">
        <v>6415</v>
      </c>
      <c r="B164" s="134" t="s">
        <v>51</v>
      </c>
      <c r="C164" s="138" t="s">
        <v>974</v>
      </c>
      <c r="D164" s="131" t="s">
        <v>6425</v>
      </c>
      <c r="E164" s="142" t="s">
        <v>6272</v>
      </c>
      <c r="F164" s="984">
        <v>44807</v>
      </c>
      <c r="G164" s="821">
        <v>50</v>
      </c>
      <c r="H164" s="797"/>
      <c r="I164" s="31">
        <v>50</v>
      </c>
      <c r="J164" s="338" t="s">
        <v>482</v>
      </c>
    </row>
    <row r="165" spans="1:10" ht="15" customHeight="1">
      <c r="A165" s="134" t="s">
        <v>6415</v>
      </c>
      <c r="B165" s="134" t="s">
        <v>51</v>
      </c>
      <c r="C165" s="138" t="s">
        <v>214</v>
      </c>
      <c r="D165" s="131" t="s">
        <v>6425</v>
      </c>
      <c r="E165" s="142" t="s">
        <v>6292</v>
      </c>
      <c r="F165" s="984">
        <v>44741</v>
      </c>
      <c r="G165" s="821">
        <v>50</v>
      </c>
      <c r="H165" s="797"/>
      <c r="I165" s="31">
        <v>50</v>
      </c>
      <c r="J165" s="338" t="s">
        <v>482</v>
      </c>
    </row>
    <row r="166" spans="1:10" ht="15" customHeight="1">
      <c r="A166" s="134" t="s">
        <v>6415</v>
      </c>
      <c r="B166" s="134" t="s">
        <v>51</v>
      </c>
      <c r="C166" s="138" t="s">
        <v>6428</v>
      </c>
      <c r="D166" s="131" t="s">
        <v>6425</v>
      </c>
      <c r="E166" s="142" t="s">
        <v>6429</v>
      </c>
      <c r="F166" s="984">
        <v>44708</v>
      </c>
      <c r="G166" s="821">
        <v>50</v>
      </c>
      <c r="H166" s="797"/>
      <c r="I166" s="31">
        <v>50</v>
      </c>
      <c r="J166" s="338" t="s">
        <v>482</v>
      </c>
    </row>
    <row r="167" spans="1:10" ht="15" customHeight="1">
      <c r="A167" s="134" t="s">
        <v>6415</v>
      </c>
      <c r="B167" s="134" t="s">
        <v>51</v>
      </c>
      <c r="C167" s="138" t="s">
        <v>214</v>
      </c>
      <c r="D167" s="131" t="s">
        <v>6425</v>
      </c>
      <c r="E167" s="142" t="s">
        <v>6292</v>
      </c>
      <c r="F167" s="984">
        <v>44566</v>
      </c>
      <c r="G167" s="821">
        <v>50</v>
      </c>
      <c r="H167" s="797"/>
      <c r="I167" s="31">
        <v>50</v>
      </c>
      <c r="J167" s="338" t="s">
        <v>482</v>
      </c>
    </row>
    <row r="168" spans="1:10" ht="15" customHeight="1">
      <c r="A168" s="134" t="s">
        <v>6415</v>
      </c>
      <c r="B168" s="134" t="s">
        <v>51</v>
      </c>
      <c r="C168" s="808" t="s">
        <v>6430</v>
      </c>
      <c r="D168" s="131" t="s">
        <v>6425</v>
      </c>
      <c r="E168" s="993" t="s">
        <v>6431</v>
      </c>
      <c r="F168" s="994">
        <v>44682</v>
      </c>
      <c r="G168" s="821">
        <v>50</v>
      </c>
      <c r="H168" s="797"/>
      <c r="I168" s="31">
        <v>50</v>
      </c>
      <c r="J168" s="338" t="s">
        <v>482</v>
      </c>
    </row>
    <row r="169" spans="1:10" ht="15" customHeight="1">
      <c r="A169" s="134" t="s">
        <v>6415</v>
      </c>
      <c r="B169" s="134" t="s">
        <v>51</v>
      </c>
      <c r="C169" s="808" t="s">
        <v>6432</v>
      </c>
      <c r="D169" s="131" t="s">
        <v>6425</v>
      </c>
      <c r="E169" s="993" t="s">
        <v>6431</v>
      </c>
      <c r="F169" s="994">
        <v>44682</v>
      </c>
      <c r="G169" s="821">
        <v>50</v>
      </c>
      <c r="H169" s="797"/>
      <c r="I169" s="31">
        <v>50</v>
      </c>
      <c r="J169" s="338" t="s">
        <v>482</v>
      </c>
    </row>
    <row r="170" spans="1:10" ht="15" customHeight="1">
      <c r="A170" s="134" t="s">
        <v>6415</v>
      </c>
      <c r="B170" s="134" t="s">
        <v>51</v>
      </c>
      <c r="C170" s="808" t="s">
        <v>6433</v>
      </c>
      <c r="D170" s="131" t="s">
        <v>6425</v>
      </c>
      <c r="E170" s="993" t="s">
        <v>6431</v>
      </c>
      <c r="F170" s="994">
        <v>44682</v>
      </c>
      <c r="G170" s="821">
        <v>50</v>
      </c>
      <c r="H170" s="797"/>
      <c r="I170" s="31">
        <v>50</v>
      </c>
      <c r="J170" s="338" t="s">
        <v>482</v>
      </c>
    </row>
    <row r="171" spans="1:10" ht="15" customHeight="1">
      <c r="A171" s="134" t="s">
        <v>6415</v>
      </c>
      <c r="B171" s="134" t="s">
        <v>51</v>
      </c>
      <c r="C171" s="808" t="s">
        <v>6434</v>
      </c>
      <c r="D171" s="131" t="s">
        <v>6425</v>
      </c>
      <c r="E171" s="993" t="s">
        <v>6431</v>
      </c>
      <c r="F171" s="994">
        <v>44682</v>
      </c>
      <c r="G171" s="821">
        <v>50</v>
      </c>
      <c r="H171" s="797"/>
      <c r="I171" s="31">
        <v>50</v>
      </c>
      <c r="J171" s="338" t="s">
        <v>482</v>
      </c>
    </row>
    <row r="172" spans="1:10" ht="15" customHeight="1">
      <c r="A172" s="133" t="s">
        <v>6435</v>
      </c>
      <c r="B172" s="133" t="s">
        <v>51</v>
      </c>
      <c r="C172" s="133" t="s">
        <v>6420</v>
      </c>
      <c r="D172" s="133" t="s">
        <v>6421</v>
      </c>
      <c r="E172" s="240" t="s">
        <v>6422</v>
      </c>
      <c r="F172" s="133"/>
      <c r="G172" s="133" t="s">
        <v>6436</v>
      </c>
      <c r="H172" s="133"/>
      <c r="I172" s="133">
        <v>100</v>
      </c>
      <c r="J172" s="338" t="s">
        <v>2358</v>
      </c>
    </row>
    <row r="173" spans="1:10" ht="15" customHeight="1">
      <c r="A173" s="162" t="s">
        <v>2372</v>
      </c>
      <c r="B173" s="162" t="s">
        <v>51</v>
      </c>
      <c r="C173" s="451" t="s">
        <v>6437</v>
      </c>
      <c r="D173" s="365" t="s">
        <v>6438</v>
      </c>
      <c r="E173" s="809" t="s">
        <v>6439</v>
      </c>
      <c r="F173" s="162" t="s">
        <v>6440</v>
      </c>
      <c r="G173" s="451">
        <v>100</v>
      </c>
      <c r="H173" s="451" t="s">
        <v>6441</v>
      </c>
      <c r="I173" s="30">
        <v>100</v>
      </c>
      <c r="J173" s="338" t="s">
        <v>2372</v>
      </c>
    </row>
    <row r="174" spans="1:10" ht="15" customHeight="1">
      <c r="A174" s="995" t="s">
        <v>2372</v>
      </c>
      <c r="B174" s="995" t="s">
        <v>51</v>
      </c>
      <c r="C174" s="996" t="s">
        <v>6442</v>
      </c>
      <c r="D174" s="365" t="s">
        <v>6443</v>
      </c>
      <c r="E174" s="365" t="s">
        <v>6444</v>
      </c>
      <c r="F174" s="445" t="s">
        <v>6440</v>
      </c>
      <c r="G174" s="813">
        <v>150</v>
      </c>
      <c r="H174" s="997" t="s">
        <v>6445</v>
      </c>
      <c r="I174" s="30">
        <v>150</v>
      </c>
      <c r="J174" s="338" t="s">
        <v>2372</v>
      </c>
    </row>
    <row r="175" spans="1:10" ht="15" customHeight="1">
      <c r="A175" s="162" t="s">
        <v>2372</v>
      </c>
      <c r="B175" s="162" t="s">
        <v>51</v>
      </c>
      <c r="C175" s="218" t="s">
        <v>6446</v>
      </c>
      <c r="D175" s="365" t="s">
        <v>1338</v>
      </c>
      <c r="E175" s="998" t="s">
        <v>6447</v>
      </c>
      <c r="F175" s="999">
        <v>44807</v>
      </c>
      <c r="G175" s="815">
        <v>50</v>
      </c>
      <c r="H175" s="761"/>
      <c r="I175" s="30">
        <v>50</v>
      </c>
      <c r="J175" s="338" t="s">
        <v>2372</v>
      </c>
    </row>
    <row r="176" spans="1:10" ht="15" customHeight="1">
      <c r="A176" s="162" t="s">
        <v>2372</v>
      </c>
      <c r="B176" s="162" t="s">
        <v>51</v>
      </c>
      <c r="C176" s="218" t="s">
        <v>6446</v>
      </c>
      <c r="D176" s="365" t="s">
        <v>1338</v>
      </c>
      <c r="E176" s="1000" t="s">
        <v>6447</v>
      </c>
      <c r="F176" s="999">
        <v>44860</v>
      </c>
      <c r="G176" s="815">
        <v>50</v>
      </c>
      <c r="H176" s="761"/>
      <c r="I176" s="30">
        <v>50</v>
      </c>
      <c r="J176" s="338" t="s">
        <v>2372</v>
      </c>
    </row>
    <row r="177" spans="1:10" ht="15" customHeight="1">
      <c r="A177" s="995" t="s">
        <v>2372</v>
      </c>
      <c r="B177" s="995" t="s">
        <v>51</v>
      </c>
      <c r="C177" s="357" t="s">
        <v>6448</v>
      </c>
      <c r="D177" s="354" t="s">
        <v>1338</v>
      </c>
      <c r="E177" s="365" t="s">
        <v>6292</v>
      </c>
      <c r="F177" s="1001">
        <v>44916</v>
      </c>
      <c r="G177" s="1002">
        <v>50</v>
      </c>
      <c r="H177" s="799"/>
      <c r="I177" s="1003">
        <v>50</v>
      </c>
      <c r="J177" s="338" t="s">
        <v>2372</v>
      </c>
    </row>
    <row r="178" spans="1:10" ht="15" customHeight="1">
      <c r="A178" s="995" t="s">
        <v>2372</v>
      </c>
      <c r="B178" s="995" t="s">
        <v>51</v>
      </c>
      <c r="C178" s="479" t="s">
        <v>6449</v>
      </c>
      <c r="D178" s="354" t="s">
        <v>1338</v>
      </c>
      <c r="E178" s="1000" t="s">
        <v>6450</v>
      </c>
      <c r="F178" s="1004">
        <v>44703</v>
      </c>
      <c r="G178" s="1002">
        <v>50</v>
      </c>
      <c r="H178" s="799"/>
      <c r="I178" s="1003">
        <v>50</v>
      </c>
      <c r="J178" s="338" t="s">
        <v>2372</v>
      </c>
    </row>
    <row r="179" spans="1:10" ht="15" customHeight="1">
      <c r="A179" s="995" t="s">
        <v>2372</v>
      </c>
      <c r="B179" s="995" t="s">
        <v>51</v>
      </c>
      <c r="C179" s="996" t="s">
        <v>6442</v>
      </c>
      <c r="D179" s="365" t="s">
        <v>6443</v>
      </c>
      <c r="E179" s="365" t="s">
        <v>6444</v>
      </c>
      <c r="F179" s="999" t="s">
        <v>6451</v>
      </c>
      <c r="G179" s="1005" t="s">
        <v>6452</v>
      </c>
      <c r="H179" s="799"/>
      <c r="I179" s="30">
        <v>100</v>
      </c>
      <c r="J179" s="338" t="s">
        <v>2372</v>
      </c>
    </row>
    <row r="180" spans="1:10" ht="15" customHeight="1">
      <c r="A180" s="162" t="s">
        <v>2372</v>
      </c>
      <c r="B180" s="162" t="s">
        <v>51</v>
      </c>
      <c r="C180" s="451" t="s">
        <v>6437</v>
      </c>
      <c r="D180" s="365" t="s">
        <v>6438</v>
      </c>
      <c r="E180" s="809" t="s">
        <v>6439</v>
      </c>
      <c r="F180" s="999" t="s">
        <v>6453</v>
      </c>
      <c r="G180" s="1005">
        <v>10</v>
      </c>
      <c r="H180" s="799"/>
      <c r="I180" s="30">
        <v>10</v>
      </c>
      <c r="J180" s="338" t="s">
        <v>2372</v>
      </c>
    </row>
    <row r="181" spans="1:10" ht="15" customHeight="1">
      <c r="A181" s="162" t="s">
        <v>2372</v>
      </c>
      <c r="B181" s="162" t="s">
        <v>51</v>
      </c>
      <c r="C181" s="451" t="s">
        <v>6437</v>
      </c>
      <c r="D181" s="365" t="s">
        <v>6438</v>
      </c>
      <c r="E181" s="365" t="s">
        <v>6439</v>
      </c>
      <c r="F181" s="999" t="s">
        <v>6454</v>
      </c>
      <c r="G181" s="1005">
        <v>10</v>
      </c>
      <c r="H181" s="799"/>
      <c r="I181" s="30">
        <v>10</v>
      </c>
      <c r="J181" s="338" t="s">
        <v>2372</v>
      </c>
    </row>
    <row r="182" spans="1:10" ht="15" customHeight="1">
      <c r="A182" s="134" t="s">
        <v>488</v>
      </c>
      <c r="B182" s="99" t="s">
        <v>51</v>
      </c>
      <c r="C182" s="133" t="s">
        <v>6455</v>
      </c>
      <c r="D182" s="133" t="s">
        <v>1338</v>
      </c>
      <c r="E182" s="130" t="s">
        <v>6340</v>
      </c>
      <c r="F182" s="133" t="s">
        <v>6456</v>
      </c>
      <c r="G182" s="133">
        <v>50</v>
      </c>
      <c r="H182" s="495" t="s">
        <v>6285</v>
      </c>
      <c r="I182" s="31">
        <v>50</v>
      </c>
      <c r="J182" s="338" t="s">
        <v>488</v>
      </c>
    </row>
    <row r="183" spans="1:10" ht="15" customHeight="1">
      <c r="A183" s="134" t="s">
        <v>488</v>
      </c>
      <c r="B183" s="99" t="s">
        <v>51</v>
      </c>
      <c r="C183" s="138" t="s">
        <v>6457</v>
      </c>
      <c r="D183" s="131" t="s">
        <v>1338</v>
      </c>
      <c r="E183" s="142" t="s">
        <v>6329</v>
      </c>
      <c r="F183" s="131" t="s">
        <v>6458</v>
      </c>
      <c r="G183" s="133">
        <v>50</v>
      </c>
      <c r="H183" s="495" t="s">
        <v>6285</v>
      </c>
      <c r="I183" s="31">
        <v>50</v>
      </c>
      <c r="J183" s="338" t="s">
        <v>488</v>
      </c>
    </row>
    <row r="184" spans="1:10" ht="15" customHeight="1">
      <c r="A184" s="134" t="s">
        <v>488</v>
      </c>
      <c r="B184" s="99" t="s">
        <v>51</v>
      </c>
      <c r="C184" s="138" t="s">
        <v>6459</v>
      </c>
      <c r="D184" s="133" t="s">
        <v>1338</v>
      </c>
      <c r="E184" s="130" t="s">
        <v>6329</v>
      </c>
      <c r="F184" s="133" t="s">
        <v>6460</v>
      </c>
      <c r="G184" s="133">
        <v>50</v>
      </c>
      <c r="H184" s="495" t="s">
        <v>6285</v>
      </c>
      <c r="I184" s="31">
        <v>50</v>
      </c>
      <c r="J184" s="338" t="s">
        <v>488</v>
      </c>
    </row>
    <row r="185" spans="1:10" ht="15" customHeight="1">
      <c r="A185" s="134" t="s">
        <v>488</v>
      </c>
      <c r="B185" s="99" t="s">
        <v>51</v>
      </c>
      <c r="C185" s="138" t="s">
        <v>6461</v>
      </c>
      <c r="D185" s="133" t="s">
        <v>1338</v>
      </c>
      <c r="E185" s="130" t="s">
        <v>6292</v>
      </c>
      <c r="F185" s="133" t="s">
        <v>6462</v>
      </c>
      <c r="G185" s="133">
        <v>50</v>
      </c>
      <c r="H185" s="495" t="s">
        <v>6285</v>
      </c>
      <c r="I185" s="31">
        <v>50</v>
      </c>
      <c r="J185" s="338" t="s">
        <v>488</v>
      </c>
    </row>
    <row r="186" spans="1:10" ht="15" customHeight="1">
      <c r="A186" s="134" t="s">
        <v>488</v>
      </c>
      <c r="B186" s="99" t="s">
        <v>51</v>
      </c>
      <c r="C186" s="138" t="s">
        <v>6463</v>
      </c>
      <c r="D186" s="138" t="s">
        <v>1338</v>
      </c>
      <c r="E186" s="130" t="s">
        <v>6464</v>
      </c>
      <c r="F186" s="138" t="s">
        <v>6465</v>
      </c>
      <c r="G186" s="469">
        <v>50</v>
      </c>
      <c r="H186" s="495" t="s">
        <v>6281</v>
      </c>
      <c r="I186" s="31">
        <v>50</v>
      </c>
      <c r="J186" s="338" t="s">
        <v>488</v>
      </c>
    </row>
    <row r="187" spans="1:10" ht="15" customHeight="1">
      <c r="A187" s="134" t="s">
        <v>488</v>
      </c>
      <c r="B187" s="99" t="s">
        <v>51</v>
      </c>
      <c r="C187" s="138" t="s">
        <v>6466</v>
      </c>
      <c r="D187" s="138" t="s">
        <v>1338</v>
      </c>
      <c r="E187" s="130" t="s">
        <v>6340</v>
      </c>
      <c r="F187" s="138" t="s">
        <v>6467</v>
      </c>
      <c r="G187" s="133">
        <v>50</v>
      </c>
      <c r="H187" s="768" t="s">
        <v>6285</v>
      </c>
      <c r="I187" s="31">
        <v>50</v>
      </c>
      <c r="J187" s="338" t="s">
        <v>488</v>
      </c>
    </row>
    <row r="188" spans="1:10" ht="15" customHeight="1">
      <c r="A188" s="134" t="s">
        <v>488</v>
      </c>
      <c r="B188" s="99" t="s">
        <v>51</v>
      </c>
      <c r="C188" s="138" t="s">
        <v>6468</v>
      </c>
      <c r="D188" s="138" t="s">
        <v>1338</v>
      </c>
      <c r="E188" s="130" t="s">
        <v>6352</v>
      </c>
      <c r="F188" s="133" t="s">
        <v>6469</v>
      </c>
      <c r="G188" s="141">
        <v>50</v>
      </c>
      <c r="H188" s="768" t="s">
        <v>6281</v>
      </c>
      <c r="I188" s="31">
        <v>50</v>
      </c>
      <c r="J188" s="338" t="s">
        <v>488</v>
      </c>
    </row>
    <row r="189" spans="1:10" ht="15" customHeight="1">
      <c r="A189" s="134" t="s">
        <v>6233</v>
      </c>
      <c r="B189" s="99" t="s">
        <v>6234</v>
      </c>
      <c r="C189" s="99" t="s">
        <v>4731</v>
      </c>
      <c r="D189" s="133" t="s">
        <v>6235</v>
      </c>
      <c r="E189" s="133" t="s">
        <v>6236</v>
      </c>
      <c r="F189" s="133"/>
      <c r="G189" s="133">
        <v>50</v>
      </c>
      <c r="H189" s="495">
        <v>1</v>
      </c>
      <c r="I189" s="31">
        <v>50</v>
      </c>
      <c r="J189" s="338" t="s">
        <v>510</v>
      </c>
    </row>
    <row r="190" spans="1:10" ht="15" customHeight="1">
      <c r="A190" s="134" t="s">
        <v>1223</v>
      </c>
      <c r="B190" s="99" t="s">
        <v>6470</v>
      </c>
      <c r="C190" s="548" t="s">
        <v>6471</v>
      </c>
      <c r="D190" s="133" t="s">
        <v>6472</v>
      </c>
      <c r="E190" s="133" t="s">
        <v>6473</v>
      </c>
      <c r="F190" s="133"/>
      <c r="G190" s="133">
        <v>50</v>
      </c>
      <c r="H190" s="495">
        <v>1</v>
      </c>
      <c r="I190" s="31">
        <v>50</v>
      </c>
      <c r="J190" s="338" t="s">
        <v>510</v>
      </c>
    </row>
    <row r="191" spans="1:10" ht="15" customHeight="1">
      <c r="A191" s="134" t="s">
        <v>1223</v>
      </c>
      <c r="B191" s="99" t="s">
        <v>6470</v>
      </c>
      <c r="C191" s="548" t="s">
        <v>6471</v>
      </c>
      <c r="D191" s="133" t="s">
        <v>6472</v>
      </c>
      <c r="E191" s="133"/>
      <c r="F191" s="980">
        <v>44805</v>
      </c>
      <c r="G191" s="133">
        <v>50</v>
      </c>
      <c r="H191" s="495">
        <v>1</v>
      </c>
      <c r="I191" s="31">
        <v>50</v>
      </c>
      <c r="J191" s="338" t="s">
        <v>510</v>
      </c>
    </row>
    <row r="192" spans="1:10" ht="15" customHeight="1">
      <c r="A192" s="134" t="s">
        <v>1223</v>
      </c>
      <c r="B192" s="99" t="s">
        <v>6470</v>
      </c>
      <c r="C192" s="548" t="s">
        <v>6474</v>
      </c>
      <c r="D192" s="133" t="s">
        <v>6472</v>
      </c>
      <c r="E192" s="133"/>
      <c r="F192" s="980">
        <v>44701</v>
      </c>
      <c r="G192" s="133">
        <v>50</v>
      </c>
      <c r="H192" s="495">
        <v>1</v>
      </c>
      <c r="I192" s="31">
        <v>50</v>
      </c>
      <c r="J192" s="338" t="s">
        <v>510</v>
      </c>
    </row>
    <row r="193" spans="1:10" ht="15" customHeight="1">
      <c r="A193" s="134" t="s">
        <v>1223</v>
      </c>
      <c r="B193" s="99" t="s">
        <v>6470</v>
      </c>
      <c r="C193" s="548" t="s">
        <v>6471</v>
      </c>
      <c r="D193" s="133" t="s">
        <v>6472</v>
      </c>
      <c r="E193" s="133"/>
      <c r="F193" s="980">
        <v>44573</v>
      </c>
      <c r="G193" s="133">
        <v>50</v>
      </c>
      <c r="H193" s="495">
        <v>1</v>
      </c>
      <c r="I193" s="31">
        <v>50</v>
      </c>
      <c r="J193" s="338" t="s">
        <v>510</v>
      </c>
    </row>
    <row r="194" spans="1:10" ht="15" customHeight="1">
      <c r="A194" s="134" t="s">
        <v>1223</v>
      </c>
      <c r="B194" s="99" t="s">
        <v>6470</v>
      </c>
      <c r="C194" s="548" t="s">
        <v>6475</v>
      </c>
      <c r="D194" s="133" t="s">
        <v>1338</v>
      </c>
      <c r="E194" s="133"/>
      <c r="F194" s="1006">
        <v>44910.601145833331</v>
      </c>
      <c r="G194" s="133">
        <v>50</v>
      </c>
      <c r="H194" s="495">
        <v>1</v>
      </c>
      <c r="I194" s="31">
        <v>50</v>
      </c>
      <c r="J194" s="338" t="s">
        <v>510</v>
      </c>
    </row>
    <row r="195" spans="1:10" ht="15" customHeight="1">
      <c r="A195" s="134" t="s">
        <v>1223</v>
      </c>
      <c r="B195" s="99" t="s">
        <v>6470</v>
      </c>
      <c r="C195" s="548" t="s">
        <v>6476</v>
      </c>
      <c r="D195" s="133" t="s">
        <v>1338</v>
      </c>
      <c r="E195" s="133"/>
      <c r="F195" s="1006">
        <v>44890.371064814812</v>
      </c>
      <c r="G195" s="133">
        <v>50</v>
      </c>
      <c r="H195" s="495">
        <v>1</v>
      </c>
      <c r="I195" s="31">
        <v>50</v>
      </c>
      <c r="J195" s="338" t="s">
        <v>510</v>
      </c>
    </row>
    <row r="196" spans="1:10" ht="15" customHeight="1">
      <c r="A196" s="134" t="s">
        <v>1223</v>
      </c>
      <c r="B196" s="99" t="s">
        <v>51</v>
      </c>
      <c r="C196" s="548" t="s">
        <v>6477</v>
      </c>
      <c r="D196" s="133" t="s">
        <v>1338</v>
      </c>
      <c r="E196" s="133"/>
      <c r="F196" s="1006">
        <v>44880.64607638889</v>
      </c>
      <c r="G196" s="133">
        <v>50</v>
      </c>
      <c r="H196" s="495">
        <v>1</v>
      </c>
      <c r="I196" s="31">
        <v>50</v>
      </c>
      <c r="J196" s="338" t="s">
        <v>510</v>
      </c>
    </row>
    <row r="197" spans="1:10" ht="15" customHeight="1">
      <c r="A197" s="134" t="s">
        <v>1223</v>
      </c>
      <c r="B197" s="99" t="s">
        <v>51</v>
      </c>
      <c r="C197" s="548" t="s">
        <v>6478</v>
      </c>
      <c r="D197" s="133" t="s">
        <v>1338</v>
      </c>
      <c r="E197" s="133"/>
      <c r="F197" s="1006">
        <v>44834.399502314816</v>
      </c>
      <c r="G197" s="133">
        <v>50</v>
      </c>
      <c r="H197" s="495">
        <v>1</v>
      </c>
      <c r="I197" s="31">
        <v>50</v>
      </c>
      <c r="J197" s="338" t="s">
        <v>510</v>
      </c>
    </row>
    <row r="198" spans="1:10" ht="15" customHeight="1">
      <c r="A198" s="134" t="s">
        <v>1223</v>
      </c>
      <c r="B198" s="99" t="s">
        <v>51</v>
      </c>
      <c r="C198" s="548" t="s">
        <v>6476</v>
      </c>
      <c r="D198" s="133" t="s">
        <v>1338</v>
      </c>
      <c r="E198" s="133"/>
      <c r="F198" s="1006">
        <v>44812.668692129628</v>
      </c>
      <c r="G198" s="133">
        <v>50</v>
      </c>
      <c r="H198" s="495">
        <v>1</v>
      </c>
      <c r="I198" s="31">
        <v>50</v>
      </c>
      <c r="J198" s="338" t="s">
        <v>510</v>
      </c>
    </row>
    <row r="199" spans="1:10" ht="15" customHeight="1">
      <c r="A199" s="134" t="s">
        <v>1223</v>
      </c>
      <c r="B199" s="99" t="s">
        <v>51</v>
      </c>
      <c r="C199" s="548" t="s">
        <v>6478</v>
      </c>
      <c r="D199" s="133" t="s">
        <v>1338</v>
      </c>
      <c r="E199" s="133"/>
      <c r="F199" s="1006">
        <v>44789.748379629629</v>
      </c>
      <c r="G199" s="133">
        <v>50</v>
      </c>
      <c r="H199" s="495">
        <v>1</v>
      </c>
      <c r="I199" s="31">
        <v>50</v>
      </c>
      <c r="J199" s="338" t="s">
        <v>510</v>
      </c>
    </row>
    <row r="200" spans="1:10" ht="15" customHeight="1">
      <c r="A200" s="134" t="s">
        <v>1223</v>
      </c>
      <c r="B200" s="99" t="s">
        <v>51</v>
      </c>
      <c r="C200" s="548" t="s">
        <v>6479</v>
      </c>
      <c r="D200" s="133" t="s">
        <v>1338</v>
      </c>
      <c r="E200" s="133"/>
      <c r="F200" s="1006">
        <v>44764.405277777776</v>
      </c>
      <c r="G200" s="133">
        <v>50</v>
      </c>
      <c r="H200" s="495">
        <v>1</v>
      </c>
      <c r="I200" s="31">
        <v>50</v>
      </c>
      <c r="J200" s="338" t="s">
        <v>510</v>
      </c>
    </row>
    <row r="201" spans="1:10" ht="15" customHeight="1">
      <c r="A201" s="134" t="s">
        <v>1223</v>
      </c>
      <c r="B201" s="99" t="s">
        <v>51</v>
      </c>
      <c r="C201" s="548" t="s">
        <v>6478</v>
      </c>
      <c r="D201" s="133" t="s">
        <v>1338</v>
      </c>
      <c r="E201" s="133"/>
      <c r="F201" s="1006">
        <v>44743.325914351852</v>
      </c>
      <c r="G201" s="133">
        <v>50</v>
      </c>
      <c r="H201" s="495">
        <v>1</v>
      </c>
      <c r="I201" s="31">
        <v>50</v>
      </c>
      <c r="J201" s="338" t="s">
        <v>510</v>
      </c>
    </row>
    <row r="202" spans="1:10" ht="15" customHeight="1">
      <c r="A202" s="134" t="s">
        <v>1223</v>
      </c>
      <c r="B202" s="99" t="s">
        <v>51</v>
      </c>
      <c r="C202" s="548" t="s">
        <v>6478</v>
      </c>
      <c r="D202" s="133" t="s">
        <v>1338</v>
      </c>
      <c r="E202" s="133"/>
      <c r="F202" s="1006">
        <v>44728.635150462964</v>
      </c>
      <c r="G202" s="133">
        <v>50</v>
      </c>
      <c r="H202" s="495">
        <v>1</v>
      </c>
      <c r="I202" s="31">
        <v>50</v>
      </c>
      <c r="J202" s="338" t="s">
        <v>510</v>
      </c>
    </row>
    <row r="203" spans="1:10" ht="15" customHeight="1">
      <c r="A203" s="134" t="s">
        <v>1223</v>
      </c>
      <c r="B203" s="99" t="s">
        <v>51</v>
      </c>
      <c r="C203" s="548" t="s">
        <v>6475</v>
      </c>
      <c r="D203" s="133" t="s">
        <v>1338</v>
      </c>
      <c r="E203" s="133"/>
      <c r="F203" s="1006">
        <v>44690.802268518521</v>
      </c>
      <c r="G203" s="133">
        <v>50</v>
      </c>
      <c r="H203" s="495">
        <v>1</v>
      </c>
      <c r="I203" s="31">
        <v>50</v>
      </c>
      <c r="J203" s="338" t="s">
        <v>510</v>
      </c>
    </row>
    <row r="204" spans="1:10" ht="15" customHeight="1">
      <c r="A204" s="134" t="s">
        <v>1223</v>
      </c>
      <c r="B204" s="99" t="s">
        <v>51</v>
      </c>
      <c r="C204" s="548" t="s">
        <v>6475</v>
      </c>
      <c r="D204" s="133" t="s">
        <v>1338</v>
      </c>
      <c r="E204" s="133"/>
      <c r="F204" s="1006">
        <v>44665.382395833331</v>
      </c>
      <c r="G204" s="133">
        <v>50</v>
      </c>
      <c r="H204" s="495">
        <v>1</v>
      </c>
      <c r="I204" s="31">
        <v>50</v>
      </c>
      <c r="J204" s="338" t="s">
        <v>510</v>
      </c>
    </row>
    <row r="205" spans="1:10" ht="15" customHeight="1">
      <c r="A205" s="134" t="s">
        <v>1223</v>
      </c>
      <c r="B205" s="99" t="s">
        <v>51</v>
      </c>
      <c r="C205" s="548" t="s">
        <v>6475</v>
      </c>
      <c r="D205" s="133" t="s">
        <v>1338</v>
      </c>
      <c r="E205" s="133"/>
      <c r="F205" s="1006">
        <v>44627.35429398148</v>
      </c>
      <c r="G205" s="133">
        <v>50</v>
      </c>
      <c r="H205" s="495">
        <v>1</v>
      </c>
      <c r="I205" s="31">
        <v>50</v>
      </c>
      <c r="J205" s="338" t="s">
        <v>510</v>
      </c>
    </row>
    <row r="206" spans="1:10" ht="15" customHeight="1">
      <c r="A206" s="134" t="s">
        <v>1223</v>
      </c>
      <c r="B206" s="99" t="s">
        <v>51</v>
      </c>
      <c r="C206" s="548" t="s">
        <v>6479</v>
      </c>
      <c r="D206" s="133" t="s">
        <v>1338</v>
      </c>
      <c r="E206" s="133"/>
      <c r="F206" s="1006">
        <v>44597.426412037035</v>
      </c>
      <c r="G206" s="133">
        <v>50</v>
      </c>
      <c r="H206" s="495">
        <v>1</v>
      </c>
      <c r="I206" s="31">
        <v>50</v>
      </c>
      <c r="J206" s="338" t="s">
        <v>510</v>
      </c>
    </row>
    <row r="207" spans="1:10" ht="15" customHeight="1">
      <c r="A207" s="134" t="s">
        <v>1223</v>
      </c>
      <c r="B207" s="99" t="s">
        <v>51</v>
      </c>
      <c r="C207" s="548" t="s">
        <v>6480</v>
      </c>
      <c r="D207" s="133" t="s">
        <v>1338</v>
      </c>
      <c r="E207" s="133"/>
      <c r="F207" s="1006">
        <v>44557.949583333335</v>
      </c>
      <c r="G207" s="133">
        <v>50</v>
      </c>
      <c r="H207" s="495">
        <v>1</v>
      </c>
      <c r="I207" s="31">
        <v>50</v>
      </c>
      <c r="J207" s="338" t="s">
        <v>510</v>
      </c>
    </row>
    <row r="208" spans="1:10" ht="15" customHeight="1">
      <c r="A208" s="134" t="s">
        <v>1223</v>
      </c>
      <c r="B208" s="99" t="s">
        <v>51</v>
      </c>
      <c r="C208" s="548" t="s">
        <v>6477</v>
      </c>
      <c r="D208" s="133" t="s">
        <v>1338</v>
      </c>
      <c r="E208" s="133"/>
      <c r="F208" s="1006">
        <v>44496.669259259259</v>
      </c>
      <c r="G208" s="133">
        <v>50</v>
      </c>
      <c r="H208" s="495">
        <v>1</v>
      </c>
      <c r="I208" s="31">
        <v>50</v>
      </c>
      <c r="J208" s="338" t="s">
        <v>510</v>
      </c>
    </row>
    <row r="209" spans="1:10" ht="15" customHeight="1">
      <c r="A209" s="134" t="s">
        <v>2514</v>
      </c>
      <c r="B209" s="99" t="s">
        <v>401</v>
      </c>
      <c r="C209" s="99" t="s">
        <v>6213</v>
      </c>
      <c r="D209" s="133" t="s">
        <v>6214</v>
      </c>
      <c r="E209" s="130" t="s">
        <v>6481</v>
      </c>
      <c r="F209" s="133"/>
      <c r="G209" s="133">
        <v>50</v>
      </c>
      <c r="H209" s="495" t="s">
        <v>6394</v>
      </c>
      <c r="I209" s="31">
        <v>200</v>
      </c>
      <c r="J209" s="338" t="s">
        <v>2514</v>
      </c>
    </row>
    <row r="210" spans="1:10" ht="15" customHeight="1">
      <c r="A210" s="134" t="s">
        <v>2520</v>
      </c>
      <c r="B210" s="99" t="s">
        <v>51</v>
      </c>
      <c r="C210" s="99" t="s">
        <v>6482</v>
      </c>
      <c r="D210" s="564" t="s">
        <v>6483</v>
      </c>
      <c r="E210" s="133" t="s">
        <v>6484</v>
      </c>
      <c r="F210" s="1007" t="s">
        <v>588</v>
      </c>
      <c r="G210" s="133">
        <v>50</v>
      </c>
      <c r="H210" s="495">
        <v>50</v>
      </c>
      <c r="I210" s="31">
        <f>2*H210</f>
        <v>100</v>
      </c>
      <c r="J210" s="338" t="s">
        <v>2520</v>
      </c>
    </row>
    <row r="211" spans="1:10" ht="15" customHeight="1">
      <c r="A211" s="134" t="s">
        <v>2520</v>
      </c>
      <c r="B211" s="228" t="s">
        <v>51</v>
      </c>
      <c r="C211" s="138" t="s">
        <v>6485</v>
      </c>
      <c r="D211" s="666" t="s">
        <v>6486</v>
      </c>
      <c r="E211" s="131" t="s">
        <v>6487</v>
      </c>
      <c r="F211" s="1007" t="s">
        <v>588</v>
      </c>
      <c r="G211" s="821">
        <v>50</v>
      </c>
      <c r="H211" s="797">
        <v>50</v>
      </c>
      <c r="I211" s="31">
        <f>50</f>
        <v>50</v>
      </c>
      <c r="J211" s="338" t="s">
        <v>2520</v>
      </c>
    </row>
    <row r="212" spans="1:10" ht="15" customHeight="1">
      <c r="A212" s="134" t="s">
        <v>547</v>
      </c>
      <c r="B212" s="99" t="s">
        <v>51</v>
      </c>
      <c r="C212" s="99" t="s">
        <v>6488</v>
      </c>
      <c r="D212" s="133" t="s">
        <v>1338</v>
      </c>
      <c r="E212" s="133" t="s">
        <v>6489</v>
      </c>
      <c r="F212" s="99" t="s">
        <v>6490</v>
      </c>
      <c r="G212" s="99">
        <v>50</v>
      </c>
      <c r="H212" s="99"/>
      <c r="I212" s="99">
        <v>50</v>
      </c>
      <c r="J212" s="338" t="s">
        <v>547</v>
      </c>
    </row>
    <row r="213" spans="1:10" ht="15" customHeight="1">
      <c r="A213" s="484" t="s">
        <v>580</v>
      </c>
      <c r="B213" s="1008" t="s">
        <v>51</v>
      </c>
      <c r="C213" s="478" t="s">
        <v>6491</v>
      </c>
      <c r="D213" s="478" t="s">
        <v>1821</v>
      </c>
      <c r="E213" s="365" t="s">
        <v>6492</v>
      </c>
      <c r="F213" s="1009">
        <v>44904</v>
      </c>
      <c r="G213" s="478">
        <v>50</v>
      </c>
      <c r="H213" s="1010" t="s">
        <v>6493</v>
      </c>
      <c r="I213" s="1011">
        <f>5*10</f>
        <v>50</v>
      </c>
      <c r="J213" s="338" t="s">
        <v>580</v>
      </c>
    </row>
    <row r="214" spans="1:10" ht="15" customHeight="1">
      <c r="A214" s="1012" t="s">
        <v>6494</v>
      </c>
      <c r="B214" s="1012" t="s">
        <v>51</v>
      </c>
      <c r="C214" s="1012" t="s">
        <v>6495</v>
      </c>
      <c r="D214" s="1013" t="s">
        <v>6496</v>
      </c>
      <c r="E214" s="1014" t="s">
        <v>6366</v>
      </c>
      <c r="F214" s="1012" t="s">
        <v>588</v>
      </c>
      <c r="G214" s="1015">
        <v>100</v>
      </c>
      <c r="H214" s="1015" t="s">
        <v>6394</v>
      </c>
      <c r="I214" s="1016">
        <f>100*2</f>
        <v>200</v>
      </c>
      <c r="J214" s="338" t="s">
        <v>608</v>
      </c>
    </row>
    <row r="215" spans="1:10" ht="15" customHeight="1">
      <c r="A215" s="1017" t="s">
        <v>6494</v>
      </c>
      <c r="B215" s="1017" t="s">
        <v>51</v>
      </c>
      <c r="C215" s="1017" t="s">
        <v>6497</v>
      </c>
      <c r="D215" s="1018" t="s">
        <v>6498</v>
      </c>
      <c r="E215" s="1019" t="s">
        <v>6499</v>
      </c>
      <c r="F215" s="1020" t="s">
        <v>588</v>
      </c>
      <c r="G215" s="1021">
        <v>50</v>
      </c>
      <c r="H215" s="1021" t="s">
        <v>6500</v>
      </c>
      <c r="I215" s="1022">
        <f>50*1.5</f>
        <v>75</v>
      </c>
      <c r="J215" s="338" t="s">
        <v>608</v>
      </c>
    </row>
    <row r="216" spans="1:10" ht="15" customHeight="1">
      <c r="A216" s="1012" t="s">
        <v>6494</v>
      </c>
      <c r="B216" s="1012" t="s">
        <v>51</v>
      </c>
      <c r="C216" s="1012" t="s">
        <v>6501</v>
      </c>
      <c r="D216" s="1013" t="s">
        <v>6502</v>
      </c>
      <c r="E216" s="1023" t="s">
        <v>6503</v>
      </c>
      <c r="F216" s="1012" t="s">
        <v>588</v>
      </c>
      <c r="G216" s="1024">
        <v>50</v>
      </c>
      <c r="H216" s="1024" t="s">
        <v>6394</v>
      </c>
      <c r="I216" s="1016">
        <f>50*2</f>
        <v>100</v>
      </c>
      <c r="J216" s="338" t="s">
        <v>608</v>
      </c>
    </row>
    <row r="217" spans="1:10" ht="15" customHeight="1">
      <c r="A217" s="133" t="s">
        <v>6494</v>
      </c>
      <c r="B217" s="1017" t="s">
        <v>51</v>
      </c>
      <c r="C217" s="1025" t="s">
        <v>6504</v>
      </c>
      <c r="D217" s="1013" t="s">
        <v>6505</v>
      </c>
      <c r="E217" s="1023" t="s">
        <v>6506</v>
      </c>
      <c r="F217" s="1012" t="s">
        <v>588</v>
      </c>
      <c r="G217" s="1024">
        <v>50</v>
      </c>
      <c r="H217" s="1024" t="s">
        <v>6500</v>
      </c>
      <c r="I217" s="1016">
        <f>50*1.5</f>
        <v>75</v>
      </c>
      <c r="J217" s="338" t="s">
        <v>608</v>
      </c>
    </row>
    <row r="218" spans="1:10" ht="15" customHeight="1">
      <c r="A218" s="133" t="s">
        <v>6494</v>
      </c>
      <c r="B218" s="133" t="s">
        <v>51</v>
      </c>
      <c r="C218" s="133" t="s">
        <v>6507</v>
      </c>
      <c r="D218" s="1026" t="s">
        <v>6508</v>
      </c>
      <c r="E218" s="130" t="s">
        <v>6509</v>
      </c>
      <c r="F218" s="133" t="s">
        <v>588</v>
      </c>
      <c r="G218" s="1024">
        <v>50</v>
      </c>
      <c r="H218" s="1024" t="s">
        <v>6401</v>
      </c>
      <c r="I218" s="1016">
        <f>50*3</f>
        <v>150</v>
      </c>
      <c r="J218" s="338" t="s">
        <v>608</v>
      </c>
    </row>
    <row r="219" spans="1:10" ht="15" customHeight="1">
      <c r="A219" s="133" t="s">
        <v>6494</v>
      </c>
      <c r="B219" s="133" t="s">
        <v>51</v>
      </c>
      <c r="C219" s="133" t="s">
        <v>6510</v>
      </c>
      <c r="D219" s="1026" t="s">
        <v>6511</v>
      </c>
      <c r="E219" s="240" t="s">
        <v>6512</v>
      </c>
      <c r="F219" s="133" t="s">
        <v>588</v>
      </c>
      <c r="G219" s="1024">
        <v>50</v>
      </c>
      <c r="H219" s="1024" t="s">
        <v>6394</v>
      </c>
      <c r="I219" s="1016">
        <f>50*2</f>
        <v>100</v>
      </c>
      <c r="J219" s="338" t="s">
        <v>608</v>
      </c>
    </row>
    <row r="220" spans="1:10" ht="15" customHeight="1">
      <c r="A220" s="133" t="s">
        <v>6494</v>
      </c>
      <c r="B220" s="133" t="s">
        <v>51</v>
      </c>
      <c r="C220" s="133" t="s">
        <v>6513</v>
      </c>
      <c r="D220" s="1026" t="s">
        <v>6514</v>
      </c>
      <c r="E220" s="240" t="s">
        <v>6515</v>
      </c>
      <c r="F220" s="133" t="s">
        <v>588</v>
      </c>
      <c r="G220" s="1024">
        <v>50</v>
      </c>
      <c r="H220" s="1024" t="s">
        <v>6500</v>
      </c>
      <c r="I220" s="1027">
        <f>50*1.5</f>
        <v>75</v>
      </c>
      <c r="J220" s="338" t="s">
        <v>608</v>
      </c>
    </row>
    <row r="221" spans="1:10" ht="15" customHeight="1">
      <c r="A221" s="133" t="s">
        <v>6494</v>
      </c>
      <c r="B221" s="133" t="s">
        <v>51</v>
      </c>
      <c r="C221" s="133" t="s">
        <v>6516</v>
      </c>
      <c r="D221" s="135" t="s">
        <v>6517</v>
      </c>
      <c r="E221" s="240" t="s">
        <v>6518</v>
      </c>
      <c r="F221" s="141" t="s">
        <v>588</v>
      </c>
      <c r="G221" s="1024">
        <v>50</v>
      </c>
      <c r="H221" s="1024" t="s">
        <v>6220</v>
      </c>
      <c r="I221" s="1016">
        <f>50*3</f>
        <v>150</v>
      </c>
      <c r="J221" s="338" t="s">
        <v>608</v>
      </c>
    </row>
    <row r="222" spans="1:10" ht="15" customHeight="1">
      <c r="A222" s="133" t="s">
        <v>6494</v>
      </c>
      <c r="B222" s="133" t="s">
        <v>51</v>
      </c>
      <c r="C222" s="133" t="s">
        <v>6519</v>
      </c>
      <c r="D222" s="135" t="s">
        <v>6520</v>
      </c>
      <c r="E222" s="240" t="s">
        <v>6521</v>
      </c>
      <c r="F222" s="141" t="s">
        <v>588</v>
      </c>
      <c r="G222" s="1024">
        <v>50</v>
      </c>
      <c r="H222" s="1024" t="s">
        <v>6500</v>
      </c>
      <c r="I222" s="1016">
        <f t="shared" ref="I222:I223" si="5">50*1.5</f>
        <v>75</v>
      </c>
      <c r="J222" s="338" t="s">
        <v>608</v>
      </c>
    </row>
    <row r="223" spans="1:10" ht="15" customHeight="1">
      <c r="A223" s="133" t="s">
        <v>6494</v>
      </c>
      <c r="B223" s="133" t="s">
        <v>51</v>
      </c>
      <c r="C223" s="133" t="s">
        <v>6522</v>
      </c>
      <c r="D223" s="135" t="s">
        <v>6523</v>
      </c>
      <c r="E223" s="240" t="s">
        <v>6524</v>
      </c>
      <c r="F223" s="141" t="s">
        <v>588</v>
      </c>
      <c r="G223" s="1024">
        <v>50</v>
      </c>
      <c r="H223" s="1024" t="s">
        <v>6500</v>
      </c>
      <c r="I223" s="1016">
        <f t="shared" si="5"/>
        <v>75</v>
      </c>
      <c r="J223" s="338" t="s">
        <v>608</v>
      </c>
    </row>
    <row r="224" spans="1:10" ht="15" customHeight="1">
      <c r="A224" s="133" t="s">
        <v>6494</v>
      </c>
      <c r="B224" s="133" t="s">
        <v>51</v>
      </c>
      <c r="C224" s="133" t="s">
        <v>6525</v>
      </c>
      <c r="D224" s="135" t="s">
        <v>6526</v>
      </c>
      <c r="E224" s="240" t="s">
        <v>6527</v>
      </c>
      <c r="F224" s="141" t="s">
        <v>588</v>
      </c>
      <c r="G224" s="1024">
        <v>50</v>
      </c>
      <c r="H224" s="1024" t="s">
        <v>6394</v>
      </c>
      <c r="I224" s="1016">
        <v>100</v>
      </c>
      <c r="J224" s="338" t="s">
        <v>608</v>
      </c>
    </row>
    <row r="225" spans="1:26" ht="15" customHeight="1">
      <c r="A225" s="133" t="s">
        <v>6494</v>
      </c>
      <c r="B225" s="133" t="s">
        <v>51</v>
      </c>
      <c r="C225" s="133" t="s">
        <v>6528</v>
      </c>
      <c r="D225" s="135" t="s">
        <v>6529</v>
      </c>
      <c r="E225" s="240" t="s">
        <v>6530</v>
      </c>
      <c r="F225" s="141" t="s">
        <v>588</v>
      </c>
      <c r="G225" s="1024">
        <v>50</v>
      </c>
      <c r="H225" s="1024" t="s">
        <v>6394</v>
      </c>
      <c r="I225" s="1016">
        <v>100</v>
      </c>
      <c r="J225" s="338" t="s">
        <v>608</v>
      </c>
    </row>
    <row r="226" spans="1:26" ht="15" customHeight="1">
      <c r="A226" s="133" t="s">
        <v>6494</v>
      </c>
      <c r="B226" s="133" t="s">
        <v>51</v>
      </c>
      <c r="C226" s="133" t="s">
        <v>6531</v>
      </c>
      <c r="D226" s="135" t="s">
        <v>6532</v>
      </c>
      <c r="E226" s="240" t="s">
        <v>6533</v>
      </c>
      <c r="F226" s="141" t="s">
        <v>588</v>
      </c>
      <c r="G226" s="1024">
        <v>50</v>
      </c>
      <c r="H226" s="1024" t="s">
        <v>6500</v>
      </c>
      <c r="I226" s="1016">
        <f>50*1.5</f>
        <v>75</v>
      </c>
      <c r="J226" s="338" t="s">
        <v>608</v>
      </c>
    </row>
    <row r="227" spans="1:26" ht="15" customHeight="1">
      <c r="A227" s="133" t="s">
        <v>6494</v>
      </c>
      <c r="B227" s="133" t="s">
        <v>51</v>
      </c>
      <c r="C227" s="133" t="s">
        <v>421</v>
      </c>
      <c r="D227" s="135" t="s">
        <v>2133</v>
      </c>
      <c r="E227" s="130" t="s">
        <v>6290</v>
      </c>
      <c r="F227" s="141" t="s">
        <v>6534</v>
      </c>
      <c r="G227" s="1024" t="s">
        <v>6535</v>
      </c>
      <c r="H227" s="1024"/>
      <c r="I227" s="1016">
        <v>50</v>
      </c>
      <c r="J227" s="338" t="s">
        <v>608</v>
      </c>
    </row>
    <row r="228" spans="1:26" ht="15" customHeight="1">
      <c r="A228" s="133" t="s">
        <v>6494</v>
      </c>
      <c r="B228" s="133" t="s">
        <v>51</v>
      </c>
      <c r="C228" s="133" t="s">
        <v>6536</v>
      </c>
      <c r="D228" s="135" t="s">
        <v>6537</v>
      </c>
      <c r="E228" s="130" t="s">
        <v>6538</v>
      </c>
      <c r="F228" s="141" t="s">
        <v>6539</v>
      </c>
      <c r="G228" s="1024" t="s">
        <v>6535</v>
      </c>
      <c r="H228" s="1024"/>
      <c r="I228" s="1016">
        <v>50</v>
      </c>
      <c r="J228" s="338" t="s">
        <v>608</v>
      </c>
    </row>
    <row r="229" spans="1:26" ht="15" customHeight="1">
      <c r="A229" s="133" t="s">
        <v>6494</v>
      </c>
      <c r="B229" s="133" t="s">
        <v>51</v>
      </c>
      <c r="C229" s="133" t="s">
        <v>601</v>
      </c>
      <c r="D229" s="135" t="s">
        <v>2133</v>
      </c>
      <c r="E229" s="130" t="s">
        <v>6279</v>
      </c>
      <c r="F229" s="141" t="s">
        <v>6540</v>
      </c>
      <c r="G229" s="1024" t="s">
        <v>6535</v>
      </c>
      <c r="H229" s="1024"/>
      <c r="I229" s="1016">
        <v>50</v>
      </c>
      <c r="J229" s="338" t="s">
        <v>608</v>
      </c>
    </row>
    <row r="230" spans="1:26" ht="15" customHeight="1">
      <c r="A230" s="133" t="s">
        <v>6494</v>
      </c>
      <c r="B230" s="133" t="s">
        <v>51</v>
      </c>
      <c r="C230" s="133" t="s">
        <v>456</v>
      </c>
      <c r="D230" s="135" t="s">
        <v>2133</v>
      </c>
      <c r="E230" s="130" t="s">
        <v>6316</v>
      </c>
      <c r="F230" s="141" t="s">
        <v>6541</v>
      </c>
      <c r="G230" s="1024" t="s">
        <v>6535</v>
      </c>
      <c r="H230" s="1024"/>
      <c r="I230" s="1016">
        <v>50</v>
      </c>
      <c r="J230" s="338" t="s">
        <v>608</v>
      </c>
    </row>
    <row r="231" spans="1:26" ht="15" customHeight="1">
      <c r="A231" s="133" t="s">
        <v>6494</v>
      </c>
      <c r="B231" s="133" t="s">
        <v>51</v>
      </c>
      <c r="C231" s="133" t="s">
        <v>6542</v>
      </c>
      <c r="D231" s="135" t="s">
        <v>2133</v>
      </c>
      <c r="E231" s="548" t="s">
        <v>6543</v>
      </c>
      <c r="F231" s="141" t="s">
        <v>6544</v>
      </c>
      <c r="G231" s="1024" t="s">
        <v>6535</v>
      </c>
      <c r="H231" s="1024"/>
      <c r="I231" s="1016">
        <v>50</v>
      </c>
      <c r="J231" s="338" t="s">
        <v>608</v>
      </c>
    </row>
    <row r="232" spans="1:26" ht="15" customHeight="1">
      <c r="A232" s="133" t="s">
        <v>6494</v>
      </c>
      <c r="B232" s="133" t="s">
        <v>51</v>
      </c>
      <c r="C232" s="133" t="s">
        <v>1014</v>
      </c>
      <c r="D232" s="135" t="s">
        <v>2133</v>
      </c>
      <c r="E232" s="130" t="s">
        <v>6326</v>
      </c>
      <c r="F232" s="141" t="s">
        <v>6545</v>
      </c>
      <c r="G232" s="1024" t="s">
        <v>6535</v>
      </c>
      <c r="H232" s="1024"/>
      <c r="I232" s="1016">
        <v>50</v>
      </c>
      <c r="J232" s="338" t="s">
        <v>608</v>
      </c>
    </row>
    <row r="233" spans="1:26" ht="15" customHeight="1">
      <c r="A233" s="133" t="s">
        <v>6494</v>
      </c>
      <c r="B233" s="133" t="s">
        <v>51</v>
      </c>
      <c r="C233" s="133" t="s">
        <v>6546</v>
      </c>
      <c r="D233" s="135" t="s">
        <v>2133</v>
      </c>
      <c r="E233" s="130" t="s">
        <v>6329</v>
      </c>
      <c r="F233" s="135" t="s">
        <v>6547</v>
      </c>
      <c r="G233" s="1024" t="s">
        <v>6535</v>
      </c>
      <c r="H233" s="1024"/>
      <c r="I233" s="1028">
        <v>50</v>
      </c>
      <c r="J233" s="338" t="s">
        <v>608</v>
      </c>
    </row>
    <row r="234" spans="1:26" ht="15" customHeight="1">
      <c r="A234" s="133" t="s">
        <v>6494</v>
      </c>
      <c r="B234" s="133" t="s">
        <v>51</v>
      </c>
      <c r="C234" s="133" t="s">
        <v>6548</v>
      </c>
      <c r="D234" s="135" t="s">
        <v>2133</v>
      </c>
      <c r="E234" s="130" t="s">
        <v>6549</v>
      </c>
      <c r="F234" s="141" t="s">
        <v>6550</v>
      </c>
      <c r="G234" s="1024" t="s">
        <v>6535</v>
      </c>
      <c r="H234" s="1024"/>
      <c r="I234" s="1016">
        <v>50</v>
      </c>
      <c r="J234" s="338" t="s">
        <v>608</v>
      </c>
    </row>
    <row r="235" spans="1:26" ht="15" customHeight="1">
      <c r="A235" s="133" t="s">
        <v>6494</v>
      </c>
      <c r="B235" s="133" t="s">
        <v>51</v>
      </c>
      <c r="C235" s="133" t="s">
        <v>601</v>
      </c>
      <c r="D235" s="135" t="s">
        <v>2133</v>
      </c>
      <c r="E235" s="130" t="s">
        <v>6551</v>
      </c>
      <c r="F235" s="141" t="s">
        <v>6552</v>
      </c>
      <c r="G235" s="1024"/>
      <c r="H235" s="1024"/>
      <c r="I235" s="1016">
        <v>50</v>
      </c>
      <c r="J235" s="338" t="s">
        <v>608</v>
      </c>
    </row>
    <row r="236" spans="1:26" ht="15.75" customHeight="1">
      <c r="A236" s="134" t="s">
        <v>739</v>
      </c>
      <c r="B236" s="99" t="s">
        <v>141</v>
      </c>
      <c r="C236" s="99" t="s">
        <v>6553</v>
      </c>
      <c r="D236" s="133" t="s">
        <v>1338</v>
      </c>
      <c r="E236" s="130" t="s">
        <v>6554</v>
      </c>
      <c r="F236" s="133"/>
      <c r="G236" s="133" t="s">
        <v>6555</v>
      </c>
      <c r="H236" s="495" t="s">
        <v>6401</v>
      </c>
      <c r="I236" s="31">
        <v>300</v>
      </c>
      <c r="J236" s="216" t="str">
        <f t="shared" ref="J236:J242" si="6">A236</f>
        <v>Brad Remus</v>
      </c>
      <c r="K236" s="216"/>
      <c r="L236" s="216"/>
      <c r="M236" s="216"/>
      <c r="N236" s="216"/>
      <c r="O236" s="216"/>
      <c r="P236" s="216"/>
      <c r="Q236" s="216"/>
      <c r="R236" s="216"/>
      <c r="S236" s="216"/>
      <c r="T236" s="216"/>
      <c r="U236" s="216"/>
      <c r="V236" s="216"/>
      <c r="W236" s="216"/>
      <c r="X236" s="216"/>
      <c r="Y236" s="216"/>
      <c r="Z236" s="216"/>
    </row>
    <row r="237" spans="1:26" ht="15.75" customHeight="1">
      <c r="A237" s="438" t="s">
        <v>739</v>
      </c>
      <c r="B237" s="228" t="s">
        <v>141</v>
      </c>
      <c r="C237" s="138" t="s">
        <v>4637</v>
      </c>
      <c r="D237" s="133" t="s">
        <v>4640</v>
      </c>
      <c r="E237" s="130" t="s">
        <v>6556</v>
      </c>
      <c r="F237" s="133" t="s">
        <v>6557</v>
      </c>
      <c r="G237" s="141">
        <v>50</v>
      </c>
      <c r="H237" s="768" t="s">
        <v>6558</v>
      </c>
      <c r="I237" s="31">
        <v>50</v>
      </c>
      <c r="J237" s="216" t="str">
        <f t="shared" si="6"/>
        <v>Brad Remus</v>
      </c>
      <c r="K237" s="216"/>
      <c r="L237" s="216"/>
      <c r="M237" s="216"/>
      <c r="N237" s="216"/>
      <c r="O237" s="216"/>
      <c r="P237" s="216"/>
      <c r="Q237" s="216"/>
      <c r="R237" s="216"/>
      <c r="S237" s="216"/>
      <c r="T237" s="216"/>
      <c r="U237" s="216"/>
      <c r="V237" s="216"/>
      <c r="W237" s="216"/>
      <c r="X237" s="216"/>
      <c r="Y237" s="216"/>
      <c r="Z237" s="216"/>
    </row>
    <row r="238" spans="1:26" ht="15.75" customHeight="1">
      <c r="A238" s="134" t="s">
        <v>739</v>
      </c>
      <c r="B238" s="99" t="s">
        <v>141</v>
      </c>
      <c r="C238" s="138" t="s">
        <v>6559</v>
      </c>
      <c r="D238" s="131" t="s">
        <v>1868</v>
      </c>
      <c r="E238" s="142" t="s">
        <v>6560</v>
      </c>
      <c r="F238" s="131" t="s">
        <v>6561</v>
      </c>
      <c r="G238" s="785" t="s">
        <v>6562</v>
      </c>
      <c r="H238" s="820" t="s">
        <v>6401</v>
      </c>
      <c r="I238" s="31">
        <v>50</v>
      </c>
      <c r="J238" s="216" t="str">
        <f t="shared" si="6"/>
        <v>Brad Remus</v>
      </c>
      <c r="K238" s="216"/>
      <c r="L238" s="216"/>
      <c r="M238" s="216"/>
      <c r="N238" s="216"/>
      <c r="O238" s="216"/>
      <c r="P238" s="216"/>
      <c r="Q238" s="216"/>
      <c r="R238" s="216"/>
      <c r="S238" s="216"/>
      <c r="T238" s="216"/>
      <c r="U238" s="216"/>
      <c r="V238" s="216"/>
      <c r="W238" s="216"/>
      <c r="X238" s="216"/>
      <c r="Y238" s="216"/>
      <c r="Z238" s="216"/>
    </row>
    <row r="239" spans="1:26" ht="15.75" customHeight="1">
      <c r="A239" s="134" t="s">
        <v>739</v>
      </c>
      <c r="B239" s="99" t="s">
        <v>141</v>
      </c>
      <c r="C239" s="138" t="s">
        <v>6563</v>
      </c>
      <c r="D239" s="131" t="s">
        <v>1338</v>
      </c>
      <c r="E239" s="142" t="s">
        <v>6564</v>
      </c>
      <c r="F239" s="131" t="s">
        <v>6565</v>
      </c>
      <c r="G239" s="785" t="s">
        <v>6562</v>
      </c>
      <c r="H239" s="820" t="s">
        <v>6401</v>
      </c>
      <c r="I239" s="31">
        <v>50</v>
      </c>
      <c r="J239" s="216" t="str">
        <f t="shared" si="6"/>
        <v>Brad Remus</v>
      </c>
      <c r="K239" s="216"/>
      <c r="L239" s="216"/>
      <c r="M239" s="216"/>
      <c r="N239" s="216"/>
      <c r="O239" s="216"/>
      <c r="P239" s="216"/>
      <c r="Q239" s="216"/>
      <c r="R239" s="216"/>
      <c r="S239" s="216"/>
      <c r="T239" s="216"/>
      <c r="U239" s="216"/>
      <c r="V239" s="216"/>
      <c r="W239" s="216"/>
      <c r="X239" s="216"/>
      <c r="Y239" s="216"/>
      <c r="Z239" s="216"/>
    </row>
    <row r="240" spans="1:26" ht="15.75" customHeight="1">
      <c r="A240" s="134" t="s">
        <v>739</v>
      </c>
      <c r="B240" s="99" t="s">
        <v>141</v>
      </c>
      <c r="C240" s="138" t="s">
        <v>6566</v>
      </c>
      <c r="D240" s="138" t="s">
        <v>1338</v>
      </c>
      <c r="E240" s="130" t="s">
        <v>6567</v>
      </c>
      <c r="F240" s="138" t="s">
        <v>6568</v>
      </c>
      <c r="G240" s="785" t="s">
        <v>6562</v>
      </c>
      <c r="H240" s="820" t="s">
        <v>6401</v>
      </c>
      <c r="I240" s="31">
        <v>50</v>
      </c>
      <c r="J240" s="216" t="str">
        <f t="shared" si="6"/>
        <v>Brad Remus</v>
      </c>
      <c r="K240" s="216"/>
      <c r="L240" s="216"/>
      <c r="M240" s="216"/>
      <c r="N240" s="216"/>
      <c r="O240" s="216"/>
      <c r="P240" s="216"/>
      <c r="Q240" s="216"/>
      <c r="R240" s="216"/>
      <c r="S240" s="216"/>
      <c r="T240" s="216"/>
      <c r="U240" s="216"/>
      <c r="V240" s="216"/>
      <c r="W240" s="216"/>
      <c r="X240" s="216"/>
      <c r="Y240" s="216"/>
      <c r="Z240" s="216"/>
    </row>
    <row r="241" spans="1:26" ht="15.75" customHeight="1">
      <c r="A241" s="134" t="s">
        <v>739</v>
      </c>
      <c r="B241" s="99" t="s">
        <v>141</v>
      </c>
      <c r="C241" s="138" t="s">
        <v>6569</v>
      </c>
      <c r="D241" s="138" t="s">
        <v>1338</v>
      </c>
      <c r="E241" s="130" t="s">
        <v>6570</v>
      </c>
      <c r="F241" s="138" t="s">
        <v>6571</v>
      </c>
      <c r="G241" s="785" t="s">
        <v>6562</v>
      </c>
      <c r="H241" s="820" t="s">
        <v>6401</v>
      </c>
      <c r="I241" s="31">
        <v>50</v>
      </c>
      <c r="J241" s="216" t="str">
        <f t="shared" si="6"/>
        <v>Brad Remus</v>
      </c>
      <c r="K241" s="216"/>
      <c r="L241" s="216"/>
      <c r="M241" s="216"/>
      <c r="N241" s="216"/>
      <c r="O241" s="216"/>
      <c r="P241" s="216"/>
      <c r="Q241" s="216"/>
      <c r="R241" s="216"/>
      <c r="S241" s="216"/>
      <c r="T241" s="216"/>
      <c r="U241" s="216"/>
      <c r="V241" s="216"/>
      <c r="W241" s="216"/>
      <c r="X241" s="216"/>
      <c r="Y241" s="216"/>
      <c r="Z241" s="216"/>
    </row>
    <row r="242" spans="1:26" ht="15.75" customHeight="1">
      <c r="A242" s="134" t="s">
        <v>6572</v>
      </c>
      <c r="B242" s="99" t="s">
        <v>141</v>
      </c>
      <c r="C242" s="99" t="s">
        <v>4640</v>
      </c>
      <c r="D242" s="99" t="s">
        <v>4644</v>
      </c>
      <c r="E242" s="130" t="s">
        <v>6573</v>
      </c>
      <c r="F242" s="133"/>
      <c r="G242" s="99">
        <v>50</v>
      </c>
      <c r="H242" s="500">
        <v>1</v>
      </c>
      <c r="I242" s="803">
        <v>50</v>
      </c>
      <c r="J242" s="216" t="str">
        <f t="shared" si="6"/>
        <v>BREAZU Macarie</v>
      </c>
      <c r="K242" s="216"/>
      <c r="L242" s="216"/>
      <c r="M242" s="216"/>
      <c r="N242" s="216"/>
      <c r="O242" s="216"/>
      <c r="P242" s="216"/>
      <c r="Q242" s="216"/>
      <c r="R242" s="216"/>
      <c r="S242" s="216"/>
      <c r="T242" s="216"/>
      <c r="U242" s="216"/>
      <c r="V242" s="216"/>
      <c r="W242" s="216"/>
      <c r="X242" s="216"/>
      <c r="Y242" s="216"/>
      <c r="Z242" s="216"/>
    </row>
    <row r="243" spans="1:26" ht="15.75" customHeight="1">
      <c r="A243" s="134" t="s">
        <v>759</v>
      </c>
      <c r="B243" s="99" t="s">
        <v>141</v>
      </c>
      <c r="C243" s="1029" t="s">
        <v>6574</v>
      </c>
      <c r="D243" s="133" t="s">
        <v>1868</v>
      </c>
      <c r="E243" s="1030" t="s">
        <v>6575</v>
      </c>
      <c r="F243" s="1031">
        <v>44768.367569444446</v>
      </c>
      <c r="G243" s="398">
        <v>10</v>
      </c>
      <c r="H243" s="495"/>
      <c r="I243" s="31">
        <v>50</v>
      </c>
      <c r="J243" s="216" t="str">
        <f>A244</f>
        <v>Cofaru Ileana Ioana</v>
      </c>
      <c r="K243" s="216"/>
      <c r="L243" s="216"/>
      <c r="M243" s="216"/>
      <c r="N243" s="216"/>
      <c r="O243" s="216"/>
      <c r="P243" s="216"/>
      <c r="Q243" s="216"/>
      <c r="R243" s="216"/>
      <c r="S243" s="216"/>
      <c r="T243" s="216"/>
      <c r="U243" s="216"/>
      <c r="V243" s="216"/>
      <c r="W243" s="216"/>
      <c r="X243" s="216"/>
      <c r="Y243" s="216"/>
      <c r="Z243" s="216"/>
    </row>
    <row r="244" spans="1:26" ht="15.75" customHeight="1">
      <c r="A244" s="134" t="s">
        <v>759</v>
      </c>
      <c r="B244" s="99" t="s">
        <v>141</v>
      </c>
      <c r="C244" s="1029" t="s">
        <v>6576</v>
      </c>
      <c r="D244" s="131" t="s">
        <v>1868</v>
      </c>
      <c r="E244" s="131" t="s">
        <v>6577</v>
      </c>
      <c r="F244" s="1032">
        <v>44690.489247685182</v>
      </c>
      <c r="G244" s="778">
        <v>10</v>
      </c>
      <c r="H244" s="797"/>
      <c r="I244" s="31">
        <v>50</v>
      </c>
      <c r="J244" s="216" t="s">
        <v>759</v>
      </c>
      <c r="K244" s="216"/>
      <c r="L244" s="216"/>
      <c r="M244" s="216"/>
      <c r="N244" s="216"/>
      <c r="O244" s="216"/>
      <c r="P244" s="216"/>
      <c r="Q244" s="216"/>
      <c r="R244" s="216"/>
      <c r="S244" s="216"/>
      <c r="T244" s="216"/>
      <c r="U244" s="216"/>
      <c r="V244" s="216"/>
      <c r="W244" s="216"/>
      <c r="X244" s="216"/>
      <c r="Y244" s="216"/>
      <c r="Z244" s="216"/>
    </row>
    <row r="245" spans="1:26" ht="15.75" customHeight="1">
      <c r="A245" s="134" t="s">
        <v>6578</v>
      </c>
      <c r="B245" s="99" t="s">
        <v>141</v>
      </c>
      <c r="C245" s="99" t="s">
        <v>4640</v>
      </c>
      <c r="D245" s="1033" t="s">
        <v>6579</v>
      </c>
      <c r="E245" s="130" t="s">
        <v>6573</v>
      </c>
      <c r="F245" s="1034"/>
      <c r="G245" s="99">
        <v>100</v>
      </c>
      <c r="H245" s="500">
        <v>1</v>
      </c>
      <c r="I245" s="803">
        <v>100</v>
      </c>
      <c r="J245" s="216" t="str">
        <f t="shared" ref="J245:J276" si="7">A245</f>
        <v>CRETULESCU Radu</v>
      </c>
      <c r="K245" s="216"/>
      <c r="L245" s="216"/>
      <c r="M245" s="216"/>
      <c r="N245" s="216"/>
      <c r="O245" s="216"/>
      <c r="P245" s="216"/>
      <c r="Q245" s="216"/>
      <c r="R245" s="216"/>
      <c r="S245" s="216"/>
      <c r="T245" s="216"/>
      <c r="U245" s="216"/>
      <c r="V245" s="216"/>
      <c r="W245" s="216"/>
      <c r="X245" s="216"/>
      <c r="Y245" s="216"/>
      <c r="Z245" s="216"/>
    </row>
    <row r="246" spans="1:26" ht="15.75" customHeight="1">
      <c r="A246" s="134" t="s">
        <v>798</v>
      </c>
      <c r="B246" s="99" t="s">
        <v>141</v>
      </c>
      <c r="C246" s="133" t="s">
        <v>6580</v>
      </c>
      <c r="D246" s="564" t="s">
        <v>6581</v>
      </c>
      <c r="E246" s="1035" t="s">
        <v>6582</v>
      </c>
      <c r="F246" s="133"/>
      <c r="G246" s="162">
        <f t="shared" ref="G246:G247" si="8">2*50</f>
        <v>100</v>
      </c>
      <c r="H246" s="162" t="s">
        <v>6298</v>
      </c>
      <c r="I246" s="162">
        <f t="shared" ref="I246:I248" si="9">G246</f>
        <v>100</v>
      </c>
      <c r="J246" s="216" t="str">
        <f t="shared" si="7"/>
        <v>Florea Adrian</v>
      </c>
      <c r="K246" s="216"/>
      <c r="L246" s="216"/>
      <c r="M246" s="216"/>
      <c r="N246" s="216"/>
      <c r="O246" s="216"/>
      <c r="P246" s="216"/>
      <c r="Q246" s="216"/>
      <c r="R246" s="216"/>
      <c r="S246" s="216"/>
      <c r="T246" s="216"/>
      <c r="U246" s="216"/>
      <c r="V246" s="216"/>
      <c r="W246" s="216"/>
      <c r="X246" s="216"/>
      <c r="Y246" s="216"/>
      <c r="Z246" s="216"/>
    </row>
    <row r="247" spans="1:26" ht="15.75" customHeight="1">
      <c r="A247" s="134" t="s">
        <v>798</v>
      </c>
      <c r="B247" s="99" t="s">
        <v>141</v>
      </c>
      <c r="C247" s="438" t="s">
        <v>6583</v>
      </c>
      <c r="D247" s="438" t="s">
        <v>6584</v>
      </c>
      <c r="E247" s="1035" t="s">
        <v>6585</v>
      </c>
      <c r="F247" s="131"/>
      <c r="G247" s="162">
        <f t="shared" si="8"/>
        <v>100</v>
      </c>
      <c r="H247" s="162" t="s">
        <v>6298</v>
      </c>
      <c r="I247" s="162">
        <f t="shared" si="9"/>
        <v>100</v>
      </c>
      <c r="J247" s="216" t="str">
        <f t="shared" si="7"/>
        <v>Florea Adrian</v>
      </c>
      <c r="K247" s="216"/>
      <c r="L247" s="216"/>
      <c r="M247" s="216"/>
      <c r="N247" s="216"/>
      <c r="O247" s="216"/>
      <c r="P247" s="216"/>
      <c r="Q247" s="216"/>
      <c r="R247" s="216"/>
      <c r="S247" s="216"/>
      <c r="T247" s="216"/>
      <c r="U247" s="216"/>
      <c r="V247" s="216"/>
      <c r="W247" s="216"/>
      <c r="X247" s="216"/>
      <c r="Y247" s="216"/>
      <c r="Z247" s="216"/>
    </row>
    <row r="248" spans="1:26" ht="15.75" customHeight="1">
      <c r="A248" s="256" t="s">
        <v>798</v>
      </c>
      <c r="B248" s="177" t="s">
        <v>141</v>
      </c>
      <c r="C248" s="256" t="s">
        <v>6586</v>
      </c>
      <c r="D248" s="256" t="s">
        <v>6587</v>
      </c>
      <c r="E248" s="1036" t="s">
        <v>6588</v>
      </c>
      <c r="F248" s="469"/>
      <c r="G248" s="995">
        <f>50</f>
        <v>50</v>
      </c>
      <c r="H248" s="995" t="s">
        <v>6589</v>
      </c>
      <c r="I248" s="995">
        <f t="shared" si="9"/>
        <v>50</v>
      </c>
      <c r="J248" s="216" t="str">
        <f t="shared" si="7"/>
        <v>Florea Adrian</v>
      </c>
      <c r="K248" s="216"/>
      <c r="L248" s="216"/>
      <c r="M248" s="216"/>
      <c r="N248" s="216"/>
      <c r="O248" s="216"/>
      <c r="P248" s="216"/>
      <c r="Q248" s="216"/>
      <c r="R248" s="216"/>
      <c r="S248" s="216"/>
      <c r="T248" s="216"/>
      <c r="U248" s="216"/>
      <c r="V248" s="216"/>
      <c r="W248" s="216"/>
      <c r="X248" s="216"/>
      <c r="Y248" s="216"/>
      <c r="Z248" s="216"/>
    </row>
    <row r="249" spans="1:26" ht="15.75" customHeight="1">
      <c r="A249" s="1037" t="s">
        <v>798</v>
      </c>
      <c r="B249" s="1038" t="s">
        <v>141</v>
      </c>
      <c r="C249" s="1039" t="s">
        <v>4731</v>
      </c>
      <c r="D249" s="1039" t="s">
        <v>6590</v>
      </c>
      <c r="E249" s="1040" t="s">
        <v>6591</v>
      </c>
      <c r="F249" s="1039"/>
      <c r="G249" s="1038">
        <v>50</v>
      </c>
      <c r="H249" s="1038" t="s">
        <v>6589</v>
      </c>
      <c r="I249" s="1038">
        <f>50</f>
        <v>50</v>
      </c>
      <c r="J249" s="216" t="str">
        <f t="shared" si="7"/>
        <v>Florea Adrian</v>
      </c>
      <c r="K249" s="216"/>
      <c r="L249" s="216"/>
      <c r="M249" s="216"/>
      <c r="N249" s="216"/>
      <c r="O249" s="216"/>
      <c r="P249" s="216"/>
      <c r="Q249" s="216"/>
      <c r="R249" s="216"/>
      <c r="S249" s="216"/>
      <c r="T249" s="216"/>
      <c r="U249" s="216"/>
      <c r="V249" s="216"/>
      <c r="W249" s="216"/>
      <c r="X249" s="216"/>
      <c r="Y249" s="216"/>
      <c r="Z249" s="216"/>
    </row>
    <row r="250" spans="1:26" ht="15.75" customHeight="1">
      <c r="A250" s="1039" t="s">
        <v>798</v>
      </c>
      <c r="B250" s="1041" t="s">
        <v>141</v>
      </c>
      <c r="C250" s="1042" t="s">
        <v>6592</v>
      </c>
      <c r="D250" s="1039" t="s">
        <v>6593</v>
      </c>
      <c r="E250" s="1040" t="s">
        <v>6594</v>
      </c>
      <c r="F250" s="1042"/>
      <c r="G250" s="1038">
        <f>100*2</f>
        <v>200</v>
      </c>
      <c r="H250" s="1038" t="s">
        <v>6298</v>
      </c>
      <c r="I250" s="1038">
        <f t="shared" ref="I250:I259" si="10">G250</f>
        <v>200</v>
      </c>
      <c r="J250" s="216" t="str">
        <f t="shared" si="7"/>
        <v>Florea Adrian</v>
      </c>
      <c r="K250" s="216"/>
      <c r="L250" s="216"/>
      <c r="M250" s="216"/>
      <c r="N250" s="216"/>
      <c r="O250" s="216"/>
      <c r="P250" s="216"/>
      <c r="Q250" s="216"/>
      <c r="R250" s="216"/>
      <c r="S250" s="216"/>
      <c r="T250" s="216"/>
      <c r="U250" s="216"/>
      <c r="V250" s="216"/>
      <c r="W250" s="216"/>
      <c r="X250" s="216"/>
      <c r="Y250" s="216"/>
      <c r="Z250" s="216"/>
    </row>
    <row r="251" spans="1:26" ht="15.75" customHeight="1">
      <c r="A251" s="284" t="s">
        <v>798</v>
      </c>
      <c r="B251" s="187" t="s">
        <v>141</v>
      </c>
      <c r="C251" s="976" t="s">
        <v>6595</v>
      </c>
      <c r="D251" s="976" t="s">
        <v>4655</v>
      </c>
      <c r="E251" s="1043" t="s">
        <v>6556</v>
      </c>
      <c r="F251" s="976"/>
      <c r="G251" s="457">
        <f>1.5*50</f>
        <v>75</v>
      </c>
      <c r="H251" s="457" t="s">
        <v>6596</v>
      </c>
      <c r="I251" s="457">
        <f t="shared" si="10"/>
        <v>75</v>
      </c>
      <c r="J251" s="216" t="str">
        <f t="shared" si="7"/>
        <v>Florea Adrian</v>
      </c>
      <c r="K251" s="216"/>
      <c r="L251" s="216"/>
      <c r="M251" s="216"/>
      <c r="N251" s="216"/>
      <c r="O251" s="216"/>
      <c r="P251" s="216"/>
      <c r="Q251" s="216"/>
      <c r="R251" s="216"/>
      <c r="S251" s="216"/>
      <c r="T251" s="216"/>
      <c r="U251" s="216"/>
      <c r="V251" s="216"/>
      <c r="W251" s="216"/>
      <c r="X251" s="216"/>
      <c r="Y251" s="216"/>
      <c r="Z251" s="216"/>
    </row>
    <row r="252" spans="1:26" ht="15.75" customHeight="1">
      <c r="A252" s="134" t="s">
        <v>156</v>
      </c>
      <c r="B252" s="99" t="s">
        <v>141</v>
      </c>
      <c r="C252" s="133" t="s">
        <v>6597</v>
      </c>
      <c r="D252" s="133" t="s">
        <v>1338</v>
      </c>
      <c r="E252" s="130" t="s">
        <v>6598</v>
      </c>
      <c r="F252" s="138" t="s">
        <v>6599</v>
      </c>
      <c r="G252" s="162">
        <f t="shared" ref="G252:G259" si="11">5*10</f>
        <v>50</v>
      </c>
      <c r="H252" s="799"/>
      <c r="I252" s="162">
        <f t="shared" si="10"/>
        <v>50</v>
      </c>
      <c r="J252" s="216" t="str">
        <f t="shared" si="7"/>
        <v>FLOREA ADRIAN</v>
      </c>
      <c r="K252" s="216"/>
      <c r="L252" s="216"/>
      <c r="M252" s="216"/>
      <c r="N252" s="216"/>
      <c r="O252" s="216"/>
      <c r="P252" s="216"/>
      <c r="Q252" s="216"/>
      <c r="R252" s="216"/>
      <c r="S252" s="216"/>
      <c r="T252" s="216"/>
      <c r="U252" s="216"/>
      <c r="V252" s="216"/>
      <c r="W252" s="216"/>
      <c r="X252" s="216"/>
      <c r="Y252" s="216"/>
      <c r="Z252" s="216"/>
    </row>
    <row r="253" spans="1:26" ht="15.75" customHeight="1">
      <c r="A253" s="134" t="s">
        <v>156</v>
      </c>
      <c r="B253" s="99" t="s">
        <v>141</v>
      </c>
      <c r="C253" s="133" t="s">
        <v>6600</v>
      </c>
      <c r="D253" s="133" t="s">
        <v>1338</v>
      </c>
      <c r="E253" s="130" t="s">
        <v>6601</v>
      </c>
      <c r="F253" s="138" t="s">
        <v>6602</v>
      </c>
      <c r="G253" s="162">
        <f t="shared" si="11"/>
        <v>50</v>
      </c>
      <c r="H253" s="799"/>
      <c r="I253" s="162">
        <f t="shared" si="10"/>
        <v>50</v>
      </c>
      <c r="J253" s="216" t="str">
        <f t="shared" si="7"/>
        <v>FLOREA ADRIAN</v>
      </c>
      <c r="K253" s="216"/>
      <c r="L253" s="216"/>
      <c r="M253" s="216"/>
      <c r="N253" s="216"/>
      <c r="O253" s="216"/>
      <c r="P253" s="216"/>
      <c r="Q253" s="216"/>
      <c r="R253" s="216"/>
      <c r="S253" s="216"/>
      <c r="T253" s="216"/>
      <c r="U253" s="216"/>
      <c r="V253" s="216"/>
      <c r="W253" s="216"/>
      <c r="X253" s="216"/>
      <c r="Y253" s="216"/>
      <c r="Z253" s="216"/>
    </row>
    <row r="254" spans="1:26" ht="15.75" customHeight="1">
      <c r="A254" s="134" t="s">
        <v>156</v>
      </c>
      <c r="B254" s="99" t="s">
        <v>141</v>
      </c>
      <c r="C254" s="133" t="s">
        <v>6603</v>
      </c>
      <c r="D254" s="133" t="s">
        <v>635</v>
      </c>
      <c r="E254" s="130" t="s">
        <v>6604</v>
      </c>
      <c r="F254" s="138" t="s">
        <v>6605</v>
      </c>
      <c r="G254" s="162">
        <f t="shared" si="11"/>
        <v>50</v>
      </c>
      <c r="H254" s="799"/>
      <c r="I254" s="162">
        <f t="shared" si="10"/>
        <v>50</v>
      </c>
      <c r="J254" s="216" t="str">
        <f t="shared" si="7"/>
        <v>FLOREA ADRIAN</v>
      </c>
      <c r="K254" s="216"/>
      <c r="L254" s="216"/>
      <c r="M254" s="216"/>
      <c r="N254" s="216"/>
      <c r="O254" s="216"/>
      <c r="P254" s="216"/>
      <c r="Q254" s="216"/>
      <c r="R254" s="216"/>
      <c r="S254" s="216"/>
      <c r="T254" s="216"/>
      <c r="U254" s="216"/>
      <c r="V254" s="216"/>
      <c r="W254" s="216"/>
      <c r="X254" s="216"/>
      <c r="Y254" s="216"/>
      <c r="Z254" s="216"/>
    </row>
    <row r="255" spans="1:26" ht="15.75" customHeight="1">
      <c r="A255" s="134" t="s">
        <v>156</v>
      </c>
      <c r="B255" s="99" t="s">
        <v>141</v>
      </c>
      <c r="C255" s="133" t="s">
        <v>6606</v>
      </c>
      <c r="D255" s="133" t="s">
        <v>635</v>
      </c>
      <c r="E255" s="130" t="s">
        <v>6607</v>
      </c>
      <c r="F255" s="138" t="s">
        <v>6608</v>
      </c>
      <c r="G255" s="162">
        <f t="shared" si="11"/>
        <v>50</v>
      </c>
      <c r="H255" s="799"/>
      <c r="I255" s="162">
        <f t="shared" si="10"/>
        <v>50</v>
      </c>
      <c r="J255" s="216" t="str">
        <f t="shared" si="7"/>
        <v>FLOREA ADRIAN</v>
      </c>
      <c r="K255" s="216"/>
      <c r="L255" s="216"/>
      <c r="M255" s="216"/>
      <c r="N255" s="216"/>
      <c r="O255" s="216"/>
      <c r="P255" s="216"/>
      <c r="Q255" s="216"/>
      <c r="R255" s="216"/>
      <c r="S255" s="216"/>
      <c r="T255" s="216"/>
      <c r="U255" s="216"/>
      <c r="V255" s="216"/>
      <c r="W255" s="216"/>
      <c r="X255" s="216"/>
      <c r="Y255" s="216"/>
      <c r="Z255" s="216"/>
    </row>
    <row r="256" spans="1:26" ht="15.75" customHeight="1">
      <c r="A256" s="256" t="s">
        <v>156</v>
      </c>
      <c r="B256" s="177" t="s">
        <v>141</v>
      </c>
      <c r="C256" s="469" t="s">
        <v>284</v>
      </c>
      <c r="D256" s="469" t="s">
        <v>1338</v>
      </c>
      <c r="E256" s="255" t="s">
        <v>6609</v>
      </c>
      <c r="F256" s="138" t="s">
        <v>6610</v>
      </c>
      <c r="G256" s="162">
        <f t="shared" si="11"/>
        <v>50</v>
      </c>
      <c r="H256" s="799"/>
      <c r="I256" s="162">
        <f t="shared" si="10"/>
        <v>50</v>
      </c>
      <c r="J256" s="216" t="str">
        <f t="shared" si="7"/>
        <v>FLOREA ADRIAN</v>
      </c>
      <c r="K256" s="216"/>
      <c r="L256" s="216"/>
      <c r="M256" s="216"/>
      <c r="N256" s="216"/>
      <c r="O256" s="216"/>
      <c r="P256" s="216"/>
      <c r="Q256" s="216"/>
      <c r="R256" s="216"/>
      <c r="S256" s="216"/>
      <c r="T256" s="216"/>
      <c r="U256" s="216"/>
      <c r="V256" s="216"/>
      <c r="W256" s="216"/>
      <c r="X256" s="216"/>
      <c r="Y256" s="216"/>
      <c r="Z256" s="216"/>
    </row>
    <row r="257" spans="1:26" ht="15.75" customHeight="1">
      <c r="A257" s="256" t="s">
        <v>156</v>
      </c>
      <c r="B257" s="177" t="s">
        <v>141</v>
      </c>
      <c r="C257" s="1044" t="s">
        <v>6611</v>
      </c>
      <c r="D257" s="469" t="s">
        <v>1338</v>
      </c>
      <c r="E257" s="130" t="s">
        <v>6612</v>
      </c>
      <c r="F257" s="183" t="s">
        <v>6613</v>
      </c>
      <c r="G257" s="162">
        <f t="shared" si="11"/>
        <v>50</v>
      </c>
      <c r="H257" s="799"/>
      <c r="I257" s="162">
        <f t="shared" si="10"/>
        <v>50</v>
      </c>
      <c r="J257" s="216" t="str">
        <f t="shared" si="7"/>
        <v>FLOREA ADRIAN</v>
      </c>
      <c r="K257" s="216"/>
      <c r="L257" s="216"/>
      <c r="M257" s="216"/>
      <c r="N257" s="216"/>
      <c r="O257" s="216"/>
      <c r="P257" s="216"/>
      <c r="Q257" s="216"/>
      <c r="R257" s="216"/>
      <c r="S257" s="216"/>
      <c r="T257" s="216"/>
      <c r="U257" s="216"/>
      <c r="V257" s="216"/>
      <c r="W257" s="216"/>
      <c r="X257" s="216"/>
      <c r="Y257" s="216"/>
      <c r="Z257" s="216"/>
    </row>
    <row r="258" spans="1:26" ht="15.75" customHeight="1">
      <c r="A258" s="256" t="s">
        <v>156</v>
      </c>
      <c r="B258" s="177" t="s">
        <v>141</v>
      </c>
      <c r="C258" s="133" t="s">
        <v>214</v>
      </c>
      <c r="D258" s="469" t="s">
        <v>1338</v>
      </c>
      <c r="E258" s="130" t="s">
        <v>6292</v>
      </c>
      <c r="F258" s="183" t="s">
        <v>6614</v>
      </c>
      <c r="G258" s="162">
        <f t="shared" si="11"/>
        <v>50</v>
      </c>
      <c r="H258" s="799"/>
      <c r="I258" s="162">
        <f t="shared" si="10"/>
        <v>50</v>
      </c>
      <c r="J258" s="216" t="str">
        <f t="shared" si="7"/>
        <v>FLOREA ADRIAN</v>
      </c>
      <c r="K258" s="216"/>
      <c r="L258" s="216"/>
      <c r="M258" s="216"/>
      <c r="N258" s="216"/>
      <c r="O258" s="216"/>
      <c r="P258" s="216"/>
      <c r="Q258" s="216"/>
      <c r="R258" s="216"/>
      <c r="S258" s="216"/>
      <c r="T258" s="216"/>
      <c r="U258" s="216"/>
      <c r="V258" s="216"/>
      <c r="W258" s="216"/>
      <c r="X258" s="216"/>
      <c r="Y258" s="216"/>
      <c r="Z258" s="216"/>
    </row>
    <row r="259" spans="1:26" ht="15.75" customHeight="1">
      <c r="A259" s="256" t="s">
        <v>156</v>
      </c>
      <c r="B259" s="177" t="s">
        <v>141</v>
      </c>
      <c r="C259" s="133" t="s">
        <v>6615</v>
      </c>
      <c r="D259" s="133" t="s">
        <v>1338</v>
      </c>
      <c r="E259" s="130" t="s">
        <v>6616</v>
      </c>
      <c r="F259" s="183" t="s">
        <v>6617</v>
      </c>
      <c r="G259" s="162">
        <f t="shared" si="11"/>
        <v>50</v>
      </c>
      <c r="H259" s="799"/>
      <c r="I259" s="162">
        <f t="shared" si="10"/>
        <v>50</v>
      </c>
      <c r="J259" s="216" t="str">
        <f t="shared" si="7"/>
        <v>FLOREA ADRIAN</v>
      </c>
      <c r="K259" s="216"/>
      <c r="L259" s="216"/>
      <c r="M259" s="216"/>
      <c r="N259" s="216"/>
      <c r="O259" s="216"/>
      <c r="P259" s="216"/>
      <c r="Q259" s="216"/>
      <c r="R259" s="216"/>
      <c r="S259" s="216"/>
      <c r="T259" s="216"/>
      <c r="U259" s="216"/>
      <c r="V259" s="216"/>
      <c r="W259" s="216"/>
      <c r="X259" s="216"/>
      <c r="Y259" s="216"/>
      <c r="Z259" s="216"/>
    </row>
    <row r="260" spans="1:26" ht="15.75" customHeight="1">
      <c r="A260" s="134" t="s">
        <v>829</v>
      </c>
      <c r="B260" s="134" t="s">
        <v>141</v>
      </c>
      <c r="C260" s="134" t="s">
        <v>6580</v>
      </c>
      <c r="D260" s="564" t="s">
        <v>6618</v>
      </c>
      <c r="E260" s="1035" t="s">
        <v>6582</v>
      </c>
      <c r="F260" s="133">
        <v>2022</v>
      </c>
      <c r="G260" s="767">
        <v>200</v>
      </c>
      <c r="H260" s="767" t="s">
        <v>6394</v>
      </c>
      <c r="I260" s="767">
        <v>200</v>
      </c>
      <c r="J260" s="216" t="str">
        <f t="shared" si="7"/>
        <v>Gellert Arpad</v>
      </c>
      <c r="K260" s="216"/>
      <c r="L260" s="216"/>
      <c r="M260" s="216"/>
      <c r="N260" s="216"/>
      <c r="O260" s="216"/>
      <c r="P260" s="216"/>
      <c r="Q260" s="216"/>
      <c r="R260" s="216"/>
      <c r="S260" s="216"/>
      <c r="T260" s="216"/>
      <c r="U260" s="216"/>
      <c r="V260" s="216"/>
      <c r="W260" s="216"/>
      <c r="X260" s="216"/>
      <c r="Y260" s="216"/>
      <c r="Z260" s="216"/>
    </row>
    <row r="261" spans="1:26" ht="15.75" customHeight="1">
      <c r="A261" s="134" t="s">
        <v>829</v>
      </c>
      <c r="B261" s="134" t="s">
        <v>141</v>
      </c>
      <c r="C261" s="134" t="s">
        <v>6592</v>
      </c>
      <c r="D261" s="564" t="s">
        <v>6619</v>
      </c>
      <c r="E261" s="382" t="s">
        <v>6620</v>
      </c>
      <c r="F261" s="131">
        <v>2022</v>
      </c>
      <c r="G261" s="767">
        <v>100</v>
      </c>
      <c r="H261" s="767" t="s">
        <v>6394</v>
      </c>
      <c r="I261" s="767">
        <v>100</v>
      </c>
      <c r="J261" s="216" t="str">
        <f t="shared" si="7"/>
        <v>Gellert Arpad</v>
      </c>
      <c r="K261" s="216"/>
      <c r="L261" s="216"/>
      <c r="M261" s="216"/>
      <c r="N261" s="216"/>
      <c r="O261" s="216"/>
      <c r="P261" s="216"/>
      <c r="Q261" s="216"/>
      <c r="R261" s="216"/>
      <c r="S261" s="216"/>
      <c r="T261" s="216"/>
      <c r="U261" s="216"/>
      <c r="V261" s="216"/>
      <c r="W261" s="216"/>
      <c r="X261" s="216"/>
      <c r="Y261" s="216"/>
      <c r="Z261" s="216"/>
    </row>
    <row r="262" spans="1:26" ht="15.75" customHeight="1">
      <c r="A262" s="134" t="s">
        <v>829</v>
      </c>
      <c r="B262" s="134" t="s">
        <v>141</v>
      </c>
      <c r="C262" s="134" t="s">
        <v>6621</v>
      </c>
      <c r="D262" s="564" t="s">
        <v>6622</v>
      </c>
      <c r="E262" s="382" t="s">
        <v>6623</v>
      </c>
      <c r="F262" s="133">
        <v>2022</v>
      </c>
      <c r="G262" s="767">
        <v>200</v>
      </c>
      <c r="H262" s="767" t="s">
        <v>6624</v>
      </c>
      <c r="I262" s="767">
        <v>200</v>
      </c>
      <c r="J262" s="216" t="str">
        <f t="shared" si="7"/>
        <v>Gellert Arpad</v>
      </c>
      <c r="K262" s="216"/>
      <c r="L262" s="216"/>
      <c r="M262" s="216"/>
      <c r="N262" s="216"/>
      <c r="O262" s="216"/>
      <c r="P262" s="216"/>
      <c r="Q262" s="216"/>
      <c r="R262" s="216"/>
      <c r="S262" s="216"/>
      <c r="T262" s="216"/>
      <c r="U262" s="216"/>
      <c r="V262" s="216"/>
      <c r="W262" s="216"/>
      <c r="X262" s="216"/>
      <c r="Y262" s="216"/>
      <c r="Z262" s="216"/>
    </row>
    <row r="263" spans="1:26" ht="15.75" customHeight="1">
      <c r="A263" s="438" t="s">
        <v>829</v>
      </c>
      <c r="B263" s="138" t="s">
        <v>141</v>
      </c>
      <c r="C263" s="138" t="s">
        <v>6428</v>
      </c>
      <c r="D263" s="133" t="s">
        <v>1338</v>
      </c>
      <c r="E263" s="130" t="s">
        <v>6429</v>
      </c>
      <c r="F263" s="133" t="s">
        <v>6625</v>
      </c>
      <c r="G263" s="767">
        <v>50</v>
      </c>
      <c r="H263" s="767" t="s">
        <v>6626</v>
      </c>
      <c r="I263" s="767">
        <v>50</v>
      </c>
      <c r="J263" s="216" t="str">
        <f t="shared" si="7"/>
        <v>Gellert Arpad</v>
      </c>
      <c r="K263" s="216"/>
      <c r="L263" s="216"/>
      <c r="M263" s="216"/>
      <c r="N263" s="216"/>
      <c r="O263" s="216"/>
      <c r="P263" s="216"/>
      <c r="Q263" s="216"/>
      <c r="R263" s="216"/>
      <c r="S263" s="216"/>
      <c r="T263" s="216"/>
      <c r="U263" s="216"/>
      <c r="V263" s="216"/>
      <c r="W263" s="216"/>
      <c r="X263" s="216"/>
      <c r="Y263" s="216"/>
      <c r="Z263" s="216"/>
    </row>
    <row r="264" spans="1:26" ht="15.75" customHeight="1">
      <c r="A264" s="438" t="s">
        <v>829</v>
      </c>
      <c r="B264" s="138" t="s">
        <v>141</v>
      </c>
      <c r="C264" s="138" t="s">
        <v>496</v>
      </c>
      <c r="D264" s="133" t="s">
        <v>1338</v>
      </c>
      <c r="E264" s="130" t="s">
        <v>6312</v>
      </c>
      <c r="F264" s="133" t="s">
        <v>6627</v>
      </c>
      <c r="G264" s="767">
        <v>50</v>
      </c>
      <c r="H264" s="1045" t="s">
        <v>6626</v>
      </c>
      <c r="I264" s="767">
        <v>50</v>
      </c>
      <c r="J264" s="216" t="str">
        <f t="shared" si="7"/>
        <v>Gellert Arpad</v>
      </c>
      <c r="K264" s="216"/>
      <c r="L264" s="216"/>
      <c r="M264" s="216"/>
      <c r="N264" s="216"/>
      <c r="O264" s="216"/>
      <c r="P264" s="216"/>
      <c r="Q264" s="216"/>
      <c r="R264" s="216"/>
      <c r="S264" s="216"/>
      <c r="T264" s="216"/>
      <c r="U264" s="216"/>
      <c r="V264" s="216"/>
      <c r="W264" s="216"/>
      <c r="X264" s="216"/>
      <c r="Y264" s="216"/>
      <c r="Z264" s="216"/>
    </row>
    <row r="265" spans="1:26" ht="15.75" customHeight="1">
      <c r="A265" s="438" t="s">
        <v>829</v>
      </c>
      <c r="B265" s="138" t="s">
        <v>141</v>
      </c>
      <c r="C265" s="138" t="s">
        <v>6628</v>
      </c>
      <c r="D265" s="138" t="s">
        <v>1338</v>
      </c>
      <c r="E265" s="130" t="s">
        <v>6629</v>
      </c>
      <c r="F265" s="138" t="s">
        <v>6630</v>
      </c>
      <c r="G265" s="1045">
        <v>50</v>
      </c>
      <c r="H265" s="1045" t="s">
        <v>6631</v>
      </c>
      <c r="I265" s="1045">
        <v>50</v>
      </c>
      <c r="J265" s="216" t="str">
        <f t="shared" si="7"/>
        <v>Gellert Arpad</v>
      </c>
      <c r="K265" s="216"/>
      <c r="L265" s="216"/>
      <c r="M265" s="216"/>
      <c r="N265" s="216"/>
      <c r="O265" s="216"/>
      <c r="P265" s="216"/>
      <c r="Q265" s="216"/>
      <c r="R265" s="216"/>
      <c r="S265" s="216"/>
      <c r="T265" s="216"/>
      <c r="U265" s="216"/>
      <c r="V265" s="216"/>
      <c r="W265" s="216"/>
      <c r="X265" s="216"/>
      <c r="Y265" s="216"/>
      <c r="Z265" s="216"/>
    </row>
    <row r="266" spans="1:26" ht="15.75" customHeight="1">
      <c r="A266" s="134" t="s">
        <v>3249</v>
      </c>
      <c r="B266" s="99" t="s">
        <v>141</v>
      </c>
      <c r="C266" s="99" t="s">
        <v>4640</v>
      </c>
      <c r="D266" s="133" t="s">
        <v>6632</v>
      </c>
      <c r="E266" s="133" t="s">
        <v>6633</v>
      </c>
      <c r="F266" s="133"/>
      <c r="G266" s="133">
        <v>50</v>
      </c>
      <c r="H266" s="495">
        <v>1</v>
      </c>
      <c r="I266" s="31">
        <v>50</v>
      </c>
      <c r="J266" s="216" t="str">
        <f t="shared" si="7"/>
        <v>Morariu Daniel</v>
      </c>
      <c r="K266" s="216"/>
      <c r="L266" s="216"/>
      <c r="M266" s="216"/>
      <c r="N266" s="216"/>
      <c r="O266" s="216"/>
      <c r="P266" s="216"/>
      <c r="Q266" s="216"/>
      <c r="R266" s="216"/>
      <c r="S266" s="216"/>
      <c r="T266" s="216"/>
      <c r="U266" s="216"/>
      <c r="V266" s="216"/>
      <c r="W266" s="216"/>
      <c r="X266" s="216"/>
      <c r="Y266" s="216"/>
      <c r="Z266" s="216"/>
    </row>
    <row r="267" spans="1:26" ht="15.75" customHeight="1">
      <c r="A267" s="438" t="s">
        <v>3249</v>
      </c>
      <c r="B267" s="228" t="s">
        <v>141</v>
      </c>
      <c r="C267" s="138" t="s">
        <v>6634</v>
      </c>
      <c r="D267" s="131" t="s">
        <v>2072</v>
      </c>
      <c r="E267" s="142" t="s">
        <v>6635</v>
      </c>
      <c r="F267" s="131" t="s">
        <v>6636</v>
      </c>
      <c r="G267" s="821">
        <v>10</v>
      </c>
      <c r="H267" s="797">
        <v>1</v>
      </c>
      <c r="I267" s="31">
        <v>10</v>
      </c>
      <c r="J267" s="216" t="str">
        <f t="shared" si="7"/>
        <v>Morariu Daniel</v>
      </c>
      <c r="K267" s="216"/>
      <c r="L267" s="216"/>
      <c r="M267" s="216"/>
      <c r="N267" s="216"/>
      <c r="O267" s="216"/>
      <c r="P267" s="216"/>
      <c r="Q267" s="216"/>
      <c r="R267" s="216"/>
      <c r="S267" s="216"/>
      <c r="T267" s="216"/>
      <c r="U267" s="216"/>
      <c r="V267" s="216"/>
      <c r="W267" s="216"/>
      <c r="X267" s="216"/>
      <c r="Y267" s="216"/>
      <c r="Z267" s="216"/>
    </row>
    <row r="268" spans="1:26" ht="15.75" customHeight="1">
      <c r="A268" s="438" t="s">
        <v>3249</v>
      </c>
      <c r="B268" s="228" t="s">
        <v>141</v>
      </c>
      <c r="C268" s="138" t="s">
        <v>6637</v>
      </c>
      <c r="D268" s="131" t="s">
        <v>2072</v>
      </c>
      <c r="E268" s="142" t="s">
        <v>6635</v>
      </c>
      <c r="F268" s="131" t="s">
        <v>6636</v>
      </c>
      <c r="G268" s="821">
        <v>10</v>
      </c>
      <c r="H268" s="797">
        <v>1</v>
      </c>
      <c r="I268" s="31">
        <v>10</v>
      </c>
      <c r="J268" s="216" t="str">
        <f t="shared" si="7"/>
        <v>Morariu Daniel</v>
      </c>
      <c r="K268" s="216"/>
      <c r="L268" s="216"/>
      <c r="M268" s="216"/>
      <c r="N268" s="216"/>
      <c r="O268" s="216"/>
      <c r="P268" s="216"/>
      <c r="Q268" s="216"/>
      <c r="R268" s="216"/>
      <c r="S268" s="216"/>
      <c r="T268" s="216"/>
      <c r="U268" s="216"/>
      <c r="V268" s="216"/>
      <c r="W268" s="216"/>
      <c r="X268" s="216"/>
      <c r="Y268" s="216"/>
      <c r="Z268" s="216"/>
    </row>
    <row r="269" spans="1:26" ht="15.75" customHeight="1">
      <c r="A269" s="438" t="s">
        <v>3249</v>
      </c>
      <c r="B269" s="228" t="s">
        <v>141</v>
      </c>
      <c r="C269" s="138" t="s">
        <v>6638</v>
      </c>
      <c r="D269" s="131" t="s">
        <v>6632</v>
      </c>
      <c r="E269" s="142" t="s">
        <v>6633</v>
      </c>
      <c r="F269" s="131" t="s">
        <v>6639</v>
      </c>
      <c r="G269" s="821">
        <v>10</v>
      </c>
      <c r="H269" s="797">
        <v>1</v>
      </c>
      <c r="I269" s="31">
        <v>10</v>
      </c>
      <c r="J269" s="216" t="str">
        <f t="shared" si="7"/>
        <v>Morariu Daniel</v>
      </c>
      <c r="K269" s="216"/>
      <c r="L269" s="216"/>
      <c r="M269" s="216"/>
      <c r="N269" s="216"/>
      <c r="O269" s="216"/>
      <c r="P269" s="216"/>
      <c r="Q269" s="216"/>
      <c r="R269" s="216"/>
      <c r="S269" s="216"/>
      <c r="T269" s="216"/>
      <c r="U269" s="216"/>
      <c r="V269" s="216"/>
      <c r="W269" s="216"/>
      <c r="X269" s="216"/>
      <c r="Y269" s="216"/>
      <c r="Z269" s="216"/>
    </row>
    <row r="270" spans="1:26" ht="15.75" customHeight="1">
      <c r="A270" s="438" t="s">
        <v>3249</v>
      </c>
      <c r="B270" s="228" t="s">
        <v>141</v>
      </c>
      <c r="C270" s="138" t="s">
        <v>6640</v>
      </c>
      <c r="D270" s="131" t="s">
        <v>6632</v>
      </c>
      <c r="E270" s="142" t="s">
        <v>6633</v>
      </c>
      <c r="F270" s="131" t="s">
        <v>6639</v>
      </c>
      <c r="G270" s="821">
        <v>10</v>
      </c>
      <c r="H270" s="797">
        <v>1</v>
      </c>
      <c r="I270" s="31">
        <v>10</v>
      </c>
      <c r="J270" s="216" t="str">
        <f t="shared" si="7"/>
        <v>Morariu Daniel</v>
      </c>
      <c r="K270" s="216"/>
      <c r="L270" s="216"/>
      <c r="M270" s="216"/>
      <c r="N270" s="216"/>
      <c r="O270" s="216"/>
      <c r="P270" s="216"/>
      <c r="Q270" s="216"/>
      <c r="R270" s="216"/>
      <c r="S270" s="216"/>
      <c r="T270" s="216"/>
      <c r="U270" s="216"/>
      <c r="V270" s="216"/>
      <c r="W270" s="216"/>
      <c r="X270" s="216"/>
      <c r="Y270" s="216"/>
      <c r="Z270" s="216"/>
    </row>
    <row r="271" spans="1:26" ht="15.75" customHeight="1">
      <c r="A271" s="134" t="s">
        <v>1261</v>
      </c>
      <c r="B271" s="99" t="s">
        <v>141</v>
      </c>
      <c r="C271" s="1046" t="s">
        <v>6641</v>
      </c>
      <c r="D271" s="133" t="s">
        <v>1338</v>
      </c>
      <c r="E271" s="133" t="s">
        <v>6642</v>
      </c>
      <c r="F271" s="133" t="s">
        <v>6643</v>
      </c>
      <c r="G271" s="99">
        <v>50</v>
      </c>
      <c r="H271" s="495"/>
      <c r="I271" s="31">
        <v>50</v>
      </c>
      <c r="J271" s="216" t="str">
        <f t="shared" si="7"/>
        <v>Neghină Cătălina</v>
      </c>
      <c r="K271" s="216"/>
      <c r="L271" s="216"/>
      <c r="M271" s="216"/>
      <c r="N271" s="216"/>
      <c r="O271" s="216"/>
      <c r="P271" s="216"/>
      <c r="Q271" s="216"/>
      <c r="R271" s="216"/>
      <c r="S271" s="216"/>
      <c r="T271" s="216"/>
      <c r="U271" s="216"/>
      <c r="V271" s="216"/>
      <c r="W271" s="216"/>
      <c r="X271" s="216"/>
      <c r="Y271" s="216"/>
      <c r="Z271" s="216"/>
    </row>
    <row r="272" spans="1:26" ht="15.75" customHeight="1">
      <c r="A272" s="438" t="s">
        <v>1261</v>
      </c>
      <c r="B272" s="228" t="s">
        <v>141</v>
      </c>
      <c r="C272" s="138" t="s">
        <v>6641</v>
      </c>
      <c r="D272" s="131" t="s">
        <v>1338</v>
      </c>
      <c r="E272" s="133" t="s">
        <v>6642</v>
      </c>
      <c r="F272" s="131" t="s">
        <v>6644</v>
      </c>
      <c r="G272" s="796">
        <v>50</v>
      </c>
      <c r="H272" s="797"/>
      <c r="I272" s="31">
        <v>50</v>
      </c>
      <c r="J272" s="216" t="str">
        <f t="shared" si="7"/>
        <v>Neghină Cătălina</v>
      </c>
      <c r="K272" s="216"/>
      <c r="L272" s="216"/>
      <c r="M272" s="216"/>
      <c r="N272" s="216"/>
      <c r="O272" s="216"/>
      <c r="P272" s="216"/>
      <c r="Q272" s="216"/>
      <c r="R272" s="216"/>
      <c r="S272" s="216"/>
      <c r="T272" s="216"/>
      <c r="U272" s="216"/>
      <c r="V272" s="216"/>
      <c r="W272" s="216"/>
      <c r="X272" s="216"/>
      <c r="Y272" s="216"/>
      <c r="Z272" s="216"/>
    </row>
    <row r="273" spans="1:26" ht="15.75" customHeight="1">
      <c r="A273" s="134" t="s">
        <v>1273</v>
      </c>
      <c r="B273" s="99" t="s">
        <v>141</v>
      </c>
      <c r="C273" s="99" t="s">
        <v>6645</v>
      </c>
      <c r="D273" s="130" t="s">
        <v>6646</v>
      </c>
      <c r="E273" s="133"/>
      <c r="F273" s="133" t="s">
        <v>6647</v>
      </c>
      <c r="G273" s="133"/>
      <c r="H273" s="495">
        <v>10</v>
      </c>
      <c r="I273" s="495">
        <v>50</v>
      </c>
      <c r="J273" s="216" t="str">
        <f t="shared" si="7"/>
        <v>Mihai Neghina</v>
      </c>
      <c r="K273" s="216"/>
      <c r="L273" s="216"/>
      <c r="M273" s="216"/>
      <c r="N273" s="216"/>
      <c r="O273" s="216"/>
      <c r="P273" s="216"/>
      <c r="Q273" s="216"/>
      <c r="R273" s="216"/>
      <c r="S273" s="216"/>
      <c r="T273" s="216"/>
      <c r="U273" s="216"/>
      <c r="V273" s="216"/>
      <c r="W273" s="216"/>
      <c r="X273" s="216"/>
      <c r="Y273" s="216"/>
      <c r="Z273" s="216"/>
    </row>
    <row r="274" spans="1:26" ht="15.75" customHeight="1">
      <c r="A274" s="134" t="s">
        <v>1273</v>
      </c>
      <c r="B274" s="99" t="s">
        <v>141</v>
      </c>
      <c r="C274" s="138" t="s">
        <v>6648</v>
      </c>
      <c r="D274" s="142" t="s">
        <v>6649</v>
      </c>
      <c r="E274" s="131"/>
      <c r="F274" s="131" t="s">
        <v>6650</v>
      </c>
      <c r="G274" s="821"/>
      <c r="H274" s="495">
        <v>10</v>
      </c>
      <c r="I274" s="495">
        <v>50</v>
      </c>
      <c r="J274" s="216" t="str">
        <f t="shared" si="7"/>
        <v>Mihai Neghina</v>
      </c>
      <c r="K274" s="216"/>
      <c r="L274" s="216"/>
      <c r="M274" s="216"/>
      <c r="N274" s="216"/>
      <c r="O274" s="216"/>
      <c r="P274" s="216"/>
      <c r="Q274" s="216"/>
      <c r="R274" s="216"/>
      <c r="S274" s="216"/>
      <c r="T274" s="216"/>
      <c r="U274" s="216"/>
      <c r="V274" s="216"/>
      <c r="W274" s="216"/>
      <c r="X274" s="216"/>
      <c r="Y274" s="216"/>
      <c r="Z274" s="216"/>
    </row>
    <row r="275" spans="1:26" ht="15.75" customHeight="1">
      <c r="A275" s="134" t="s">
        <v>906</v>
      </c>
      <c r="B275" s="99" t="s">
        <v>141</v>
      </c>
      <c r="C275" s="99" t="s">
        <v>6428</v>
      </c>
      <c r="D275" s="133" t="s">
        <v>6651</v>
      </c>
      <c r="E275" s="130" t="s">
        <v>6429</v>
      </c>
      <c r="F275" s="133" t="s">
        <v>6250</v>
      </c>
      <c r="G275" s="133" t="s">
        <v>6652</v>
      </c>
      <c r="H275" s="495"/>
      <c r="I275" s="31">
        <v>50</v>
      </c>
      <c r="J275" s="216" t="str">
        <f t="shared" si="7"/>
        <v>Vintan Maria</v>
      </c>
      <c r="K275" s="216"/>
      <c r="L275" s="216"/>
      <c r="M275" s="216"/>
      <c r="N275" s="216"/>
      <c r="O275" s="216"/>
      <c r="P275" s="216"/>
      <c r="Q275" s="216"/>
      <c r="R275" s="216"/>
      <c r="S275" s="216"/>
      <c r="T275" s="216"/>
      <c r="U275" s="216"/>
      <c r="V275" s="216"/>
      <c r="W275" s="216"/>
      <c r="X275" s="216"/>
      <c r="Y275" s="216"/>
      <c r="Z275" s="216"/>
    </row>
    <row r="276" spans="1:26" ht="15.75" customHeight="1">
      <c r="A276" s="134" t="s">
        <v>6653</v>
      </c>
      <c r="B276" s="99" t="s">
        <v>141</v>
      </c>
      <c r="C276" s="99" t="s">
        <v>4640</v>
      </c>
      <c r="D276" s="133" t="s">
        <v>6579</v>
      </c>
      <c r="E276" s="130" t="s">
        <v>6573</v>
      </c>
      <c r="F276" s="133"/>
      <c r="G276" s="99">
        <v>100</v>
      </c>
      <c r="H276" s="500">
        <v>1</v>
      </c>
      <c r="I276" s="803">
        <v>100</v>
      </c>
      <c r="J276" s="216" t="str">
        <f t="shared" si="7"/>
        <v>VOLOVICI Daniel</v>
      </c>
      <c r="K276" s="216"/>
      <c r="L276" s="216"/>
      <c r="M276" s="216"/>
      <c r="N276" s="216"/>
      <c r="O276" s="216"/>
      <c r="P276" s="216"/>
      <c r="Q276" s="216"/>
      <c r="R276" s="216"/>
      <c r="S276" s="216"/>
      <c r="T276" s="216"/>
      <c r="U276" s="216"/>
      <c r="V276" s="216"/>
      <c r="W276" s="216"/>
      <c r="X276" s="216"/>
      <c r="Y276" s="216"/>
      <c r="Z276" s="216"/>
    </row>
    <row r="277" spans="1:26" ht="15.75" customHeight="1">
      <c r="A277" s="134" t="s">
        <v>6654</v>
      </c>
      <c r="B277" s="99" t="s">
        <v>141</v>
      </c>
      <c r="C277" s="99" t="s">
        <v>496</v>
      </c>
      <c r="D277" s="133" t="s">
        <v>1338</v>
      </c>
      <c r="E277" s="130" t="s">
        <v>6312</v>
      </c>
      <c r="F277" s="133" t="s">
        <v>6655</v>
      </c>
      <c r="G277" s="99">
        <v>50</v>
      </c>
      <c r="H277" s="500" t="s">
        <v>6656</v>
      </c>
      <c r="I277" s="803">
        <v>50</v>
      </c>
      <c r="J277" s="216" t="s">
        <v>147</v>
      </c>
      <c r="K277" s="216"/>
      <c r="L277" s="216"/>
      <c r="M277" s="216"/>
      <c r="N277" s="216"/>
      <c r="O277" s="216"/>
      <c r="P277" s="216"/>
      <c r="Q277" s="216"/>
      <c r="R277" s="216"/>
      <c r="S277" s="216"/>
      <c r="T277" s="216"/>
      <c r="U277" s="216"/>
      <c r="V277" s="216"/>
      <c r="W277" s="216"/>
      <c r="X277" s="216"/>
      <c r="Y277" s="216"/>
      <c r="Z277" s="216"/>
    </row>
    <row r="278" spans="1:26" ht="15.75" customHeight="1">
      <c r="A278" s="134" t="s">
        <v>6654</v>
      </c>
      <c r="B278" s="99" t="s">
        <v>141</v>
      </c>
      <c r="C278" s="99" t="s">
        <v>496</v>
      </c>
      <c r="D278" s="133" t="s">
        <v>1338</v>
      </c>
      <c r="E278" s="130" t="s">
        <v>6312</v>
      </c>
      <c r="F278" s="133" t="s">
        <v>6657</v>
      </c>
      <c r="G278" s="99">
        <v>50</v>
      </c>
      <c r="H278" s="500" t="s">
        <v>6656</v>
      </c>
      <c r="I278" s="803">
        <v>50</v>
      </c>
      <c r="J278" s="216" t="s">
        <v>147</v>
      </c>
      <c r="K278" s="216"/>
      <c r="L278" s="216"/>
      <c r="M278" s="216"/>
      <c r="N278" s="216"/>
      <c r="O278" s="216"/>
      <c r="P278" s="216"/>
      <c r="Q278" s="216"/>
      <c r="R278" s="216"/>
      <c r="S278" s="216"/>
      <c r="T278" s="216"/>
      <c r="U278" s="216"/>
      <c r="V278" s="216"/>
      <c r="W278" s="216"/>
      <c r="X278" s="216"/>
      <c r="Y278" s="216"/>
      <c r="Z278" s="216"/>
    </row>
    <row r="279" spans="1:26" ht="15.75" customHeight="1">
      <c r="A279" s="134" t="s">
        <v>6654</v>
      </c>
      <c r="B279" s="99" t="s">
        <v>141</v>
      </c>
      <c r="C279" s="99" t="s">
        <v>496</v>
      </c>
      <c r="D279" s="133" t="s">
        <v>1338</v>
      </c>
      <c r="E279" s="130" t="s">
        <v>6312</v>
      </c>
      <c r="F279" s="133" t="s">
        <v>6658</v>
      </c>
      <c r="G279" s="99">
        <v>50</v>
      </c>
      <c r="H279" s="500" t="s">
        <v>6656</v>
      </c>
      <c r="I279" s="803">
        <v>50</v>
      </c>
      <c r="J279" s="216" t="s">
        <v>147</v>
      </c>
      <c r="K279" s="216"/>
      <c r="L279" s="216"/>
      <c r="M279" s="216"/>
      <c r="N279" s="216"/>
      <c r="O279" s="216"/>
      <c r="P279" s="216"/>
      <c r="Q279" s="216"/>
      <c r="R279" s="216"/>
      <c r="S279" s="216"/>
      <c r="T279" s="216"/>
      <c r="U279" s="216"/>
      <c r="V279" s="216"/>
      <c r="W279" s="216"/>
      <c r="X279" s="216"/>
      <c r="Y279" s="216"/>
      <c r="Z279" s="216"/>
    </row>
    <row r="280" spans="1:26" ht="15.75" customHeight="1">
      <c r="A280" s="134" t="s">
        <v>6654</v>
      </c>
      <c r="B280" s="99" t="s">
        <v>141</v>
      </c>
      <c r="C280" s="99" t="s">
        <v>496</v>
      </c>
      <c r="D280" s="133" t="s">
        <v>1338</v>
      </c>
      <c r="E280" s="130" t="s">
        <v>6312</v>
      </c>
      <c r="F280" s="133" t="s">
        <v>6659</v>
      </c>
      <c r="G280" s="99">
        <v>50</v>
      </c>
      <c r="H280" s="500" t="s">
        <v>6656</v>
      </c>
      <c r="I280" s="803">
        <v>50</v>
      </c>
      <c r="J280" s="216" t="s">
        <v>147</v>
      </c>
      <c r="K280" s="216"/>
      <c r="L280" s="216"/>
      <c r="M280" s="216"/>
      <c r="N280" s="216"/>
      <c r="O280" s="216"/>
      <c r="P280" s="216"/>
      <c r="Q280" s="216"/>
      <c r="R280" s="216"/>
      <c r="S280" s="216"/>
      <c r="T280" s="216"/>
      <c r="U280" s="216"/>
      <c r="V280" s="216"/>
      <c r="W280" s="216"/>
      <c r="X280" s="216"/>
      <c r="Y280" s="216"/>
      <c r="Z280" s="216"/>
    </row>
    <row r="281" spans="1:26" ht="15.75" customHeight="1">
      <c r="A281" s="134" t="s">
        <v>6654</v>
      </c>
      <c r="B281" s="99" t="s">
        <v>141</v>
      </c>
      <c r="C281" s="99" t="s">
        <v>6428</v>
      </c>
      <c r="D281" s="133" t="s">
        <v>1338</v>
      </c>
      <c r="E281" s="130" t="s">
        <v>6429</v>
      </c>
      <c r="F281" s="133" t="s">
        <v>6660</v>
      </c>
      <c r="G281" s="99">
        <v>50</v>
      </c>
      <c r="H281" s="500" t="s">
        <v>6656</v>
      </c>
      <c r="I281" s="803">
        <v>50</v>
      </c>
      <c r="J281" s="216" t="s">
        <v>147</v>
      </c>
      <c r="K281" s="216"/>
      <c r="L281" s="216"/>
      <c r="M281" s="216"/>
      <c r="N281" s="216"/>
      <c r="O281" s="216"/>
      <c r="P281" s="216"/>
      <c r="Q281" s="216"/>
      <c r="R281" s="216"/>
      <c r="S281" s="216"/>
      <c r="T281" s="216"/>
      <c r="U281" s="216"/>
      <c r="V281" s="216"/>
      <c r="W281" s="216"/>
      <c r="X281" s="216"/>
      <c r="Y281" s="216"/>
      <c r="Z281" s="216"/>
    </row>
    <row r="282" spans="1:26" ht="15.75" customHeight="1">
      <c r="A282" s="134" t="s">
        <v>6654</v>
      </c>
      <c r="B282" s="99" t="s">
        <v>141</v>
      </c>
      <c r="C282" s="99" t="s">
        <v>6428</v>
      </c>
      <c r="D282" s="133" t="s">
        <v>1338</v>
      </c>
      <c r="E282" s="130" t="s">
        <v>6429</v>
      </c>
      <c r="F282" s="133" t="s">
        <v>6661</v>
      </c>
      <c r="G282" s="99">
        <v>50</v>
      </c>
      <c r="H282" s="500" t="s">
        <v>6656</v>
      </c>
      <c r="I282" s="803">
        <v>50</v>
      </c>
      <c r="J282" s="216" t="s">
        <v>147</v>
      </c>
      <c r="K282" s="216"/>
      <c r="L282" s="216"/>
      <c r="M282" s="216"/>
      <c r="N282" s="216"/>
      <c r="O282" s="216"/>
      <c r="P282" s="216"/>
      <c r="Q282" s="216"/>
      <c r="R282" s="216"/>
      <c r="S282" s="216"/>
      <c r="T282" s="216"/>
      <c r="U282" s="216"/>
      <c r="V282" s="216"/>
      <c r="W282" s="216"/>
      <c r="X282" s="216"/>
      <c r="Y282" s="216"/>
      <c r="Z282" s="216"/>
    </row>
    <row r="283" spans="1:26" ht="15.75" customHeight="1">
      <c r="A283" s="134" t="s">
        <v>6654</v>
      </c>
      <c r="B283" s="99" t="s">
        <v>141</v>
      </c>
      <c r="C283" s="99" t="s">
        <v>6428</v>
      </c>
      <c r="D283" s="133" t="s">
        <v>1338</v>
      </c>
      <c r="E283" s="130" t="s">
        <v>6429</v>
      </c>
      <c r="F283" s="133" t="s">
        <v>6662</v>
      </c>
      <c r="G283" s="99">
        <v>50</v>
      </c>
      <c r="H283" s="500" t="s">
        <v>6656</v>
      </c>
      <c r="I283" s="803">
        <v>50</v>
      </c>
      <c r="J283" s="216" t="s">
        <v>147</v>
      </c>
      <c r="K283" s="216"/>
      <c r="L283" s="216"/>
      <c r="M283" s="216"/>
      <c r="N283" s="216"/>
      <c r="O283" s="216"/>
      <c r="P283" s="216"/>
      <c r="Q283" s="216"/>
      <c r="R283" s="216"/>
      <c r="S283" s="216"/>
      <c r="T283" s="216"/>
      <c r="U283" s="216"/>
      <c r="V283" s="216"/>
      <c r="W283" s="216"/>
      <c r="X283" s="216"/>
      <c r="Y283" s="216"/>
      <c r="Z283" s="216"/>
    </row>
    <row r="284" spans="1:26" ht="15.75" customHeight="1">
      <c r="A284" s="134" t="s">
        <v>6654</v>
      </c>
      <c r="B284" s="99" t="s">
        <v>141</v>
      </c>
      <c r="C284" s="99" t="s">
        <v>6663</v>
      </c>
      <c r="D284" s="133" t="s">
        <v>1338</v>
      </c>
      <c r="E284" s="130" t="s">
        <v>6664</v>
      </c>
      <c r="F284" s="133" t="s">
        <v>6665</v>
      </c>
      <c r="G284" s="99">
        <v>50</v>
      </c>
      <c r="H284" s="500" t="s">
        <v>6656</v>
      </c>
      <c r="I284" s="803">
        <v>50</v>
      </c>
      <c r="J284" s="216" t="s">
        <v>147</v>
      </c>
      <c r="K284" s="216"/>
      <c r="L284" s="216"/>
      <c r="M284" s="216"/>
      <c r="N284" s="216"/>
      <c r="O284" s="216"/>
      <c r="P284" s="216"/>
      <c r="Q284" s="216"/>
      <c r="R284" s="216"/>
      <c r="S284" s="216"/>
      <c r="T284" s="216"/>
      <c r="U284" s="216"/>
      <c r="V284" s="216"/>
      <c r="W284" s="216"/>
      <c r="X284" s="216"/>
      <c r="Y284" s="216"/>
      <c r="Z284" s="216"/>
    </row>
    <row r="285" spans="1:26" ht="15.75" customHeight="1">
      <c r="A285" s="134" t="s">
        <v>6654</v>
      </c>
      <c r="B285" s="99" t="s">
        <v>141</v>
      </c>
      <c r="C285" s="99" t="s">
        <v>6663</v>
      </c>
      <c r="D285" s="133" t="s">
        <v>1338</v>
      </c>
      <c r="E285" s="130" t="s">
        <v>6664</v>
      </c>
      <c r="F285" s="133" t="s">
        <v>6666</v>
      </c>
      <c r="G285" s="99">
        <v>50</v>
      </c>
      <c r="H285" s="500" t="s">
        <v>6656</v>
      </c>
      <c r="I285" s="803">
        <v>50</v>
      </c>
      <c r="J285" s="216" t="s">
        <v>147</v>
      </c>
      <c r="K285" s="216"/>
      <c r="L285" s="216"/>
      <c r="M285" s="216"/>
      <c r="N285" s="216"/>
      <c r="O285" s="216"/>
      <c r="P285" s="216"/>
      <c r="Q285" s="216"/>
      <c r="R285" s="216"/>
      <c r="S285" s="216"/>
      <c r="T285" s="216"/>
      <c r="U285" s="216"/>
      <c r="V285" s="216"/>
      <c r="W285" s="216"/>
      <c r="X285" s="216"/>
      <c r="Y285" s="216"/>
      <c r="Z285" s="216"/>
    </row>
    <row r="286" spans="1:26" ht="15.75" customHeight="1">
      <c r="A286" s="134" t="s">
        <v>6654</v>
      </c>
      <c r="B286" s="99" t="s">
        <v>141</v>
      </c>
      <c r="C286" s="99" t="s">
        <v>6667</v>
      </c>
      <c r="D286" s="133" t="s">
        <v>1338</v>
      </c>
      <c r="E286" s="130" t="s">
        <v>6642</v>
      </c>
      <c r="F286" s="133" t="s">
        <v>6668</v>
      </c>
      <c r="G286" s="99">
        <v>50</v>
      </c>
      <c r="H286" s="500" t="s">
        <v>6656</v>
      </c>
      <c r="I286" s="803">
        <v>50</v>
      </c>
      <c r="J286" s="216" t="s">
        <v>147</v>
      </c>
      <c r="K286" s="216"/>
      <c r="L286" s="216"/>
      <c r="M286" s="216"/>
      <c r="N286" s="216"/>
      <c r="O286" s="216"/>
      <c r="P286" s="216"/>
      <c r="Q286" s="216"/>
      <c r="R286" s="216"/>
      <c r="S286" s="216"/>
      <c r="T286" s="216"/>
      <c r="U286" s="216"/>
      <c r="V286" s="216"/>
      <c r="W286" s="216"/>
      <c r="X286" s="216"/>
      <c r="Y286" s="216"/>
      <c r="Z286" s="216"/>
    </row>
    <row r="287" spans="1:26" ht="15" customHeight="1">
      <c r="A287" s="133" t="s">
        <v>6669</v>
      </c>
      <c r="B287" s="133" t="s">
        <v>105</v>
      </c>
      <c r="C287" s="133" t="s">
        <v>909</v>
      </c>
      <c r="D287" s="469" t="s">
        <v>635</v>
      </c>
      <c r="E287" s="130" t="s">
        <v>6403</v>
      </c>
      <c r="F287" s="718">
        <v>44567</v>
      </c>
      <c r="G287" s="495">
        <v>50</v>
      </c>
      <c r="H287" s="1047" t="s">
        <v>588</v>
      </c>
      <c r="I287" s="398">
        <v>50</v>
      </c>
      <c r="J287" s="338" t="s">
        <v>931</v>
      </c>
      <c r="K287" s="216"/>
      <c r="L287" s="216"/>
      <c r="M287" s="216"/>
      <c r="N287" s="216"/>
      <c r="O287" s="216"/>
      <c r="P287" s="216"/>
      <c r="Q287" s="216"/>
      <c r="R287" s="216"/>
      <c r="S287" s="216"/>
      <c r="T287" s="216"/>
      <c r="U287" s="216"/>
      <c r="V287" s="216"/>
      <c r="W287" s="216"/>
      <c r="X287" s="216"/>
      <c r="Y287" s="216"/>
      <c r="Z287" s="216"/>
    </row>
    <row r="288" spans="1:26" ht="15" customHeight="1">
      <c r="A288" s="134" t="s">
        <v>6669</v>
      </c>
      <c r="B288" s="133" t="s">
        <v>105</v>
      </c>
      <c r="C288" s="586" t="s">
        <v>909</v>
      </c>
      <c r="D288" s="469" t="s">
        <v>635</v>
      </c>
      <c r="E288" s="182" t="s">
        <v>6670</v>
      </c>
      <c r="F288" s="718">
        <v>44583</v>
      </c>
      <c r="G288" s="495">
        <v>50</v>
      </c>
      <c r="H288" s="1047" t="s">
        <v>588</v>
      </c>
      <c r="I288" s="398">
        <v>50</v>
      </c>
      <c r="J288" s="338" t="s">
        <v>931</v>
      </c>
      <c r="K288" s="216"/>
      <c r="L288" s="216"/>
      <c r="M288" s="216"/>
      <c r="N288" s="216"/>
      <c r="O288" s="216"/>
      <c r="P288" s="216"/>
      <c r="Q288" s="216"/>
      <c r="R288" s="216"/>
      <c r="S288" s="216"/>
      <c r="T288" s="216"/>
      <c r="U288" s="216"/>
      <c r="V288" s="216"/>
      <c r="W288" s="216"/>
      <c r="X288" s="216"/>
      <c r="Y288" s="216"/>
      <c r="Z288" s="216"/>
    </row>
    <row r="289" spans="1:26" ht="15" customHeight="1">
      <c r="A289" s="134" t="s">
        <v>6669</v>
      </c>
      <c r="B289" s="133" t="s">
        <v>105</v>
      </c>
      <c r="C289" s="1048" t="s">
        <v>6671</v>
      </c>
      <c r="D289" s="469" t="s">
        <v>1338</v>
      </c>
      <c r="E289" s="182" t="s">
        <v>6672</v>
      </c>
      <c r="F289" s="718">
        <v>44588</v>
      </c>
      <c r="G289" s="495">
        <v>50</v>
      </c>
      <c r="H289" s="1047" t="s">
        <v>588</v>
      </c>
      <c r="I289" s="398">
        <v>50</v>
      </c>
      <c r="J289" s="338" t="s">
        <v>931</v>
      </c>
      <c r="K289" s="216"/>
      <c r="L289" s="216"/>
      <c r="M289" s="216"/>
      <c r="N289" s="216"/>
      <c r="O289" s="216"/>
      <c r="P289" s="216"/>
      <c r="Q289" s="216"/>
      <c r="R289" s="216"/>
      <c r="S289" s="216"/>
      <c r="T289" s="216"/>
      <c r="U289" s="216"/>
      <c r="V289" s="216"/>
      <c r="W289" s="216"/>
      <c r="X289" s="216"/>
      <c r="Y289" s="216"/>
      <c r="Z289" s="216"/>
    </row>
    <row r="290" spans="1:26" ht="15" customHeight="1">
      <c r="A290" s="134" t="s">
        <v>6669</v>
      </c>
      <c r="B290" s="133" t="s">
        <v>105</v>
      </c>
      <c r="C290" s="586" t="s">
        <v>909</v>
      </c>
      <c r="D290" s="469" t="s">
        <v>635</v>
      </c>
      <c r="E290" s="182" t="s">
        <v>6670</v>
      </c>
      <c r="F290" s="718">
        <v>44594</v>
      </c>
      <c r="G290" s="495">
        <v>50</v>
      </c>
      <c r="H290" s="1047" t="s">
        <v>588</v>
      </c>
      <c r="I290" s="398">
        <v>50</v>
      </c>
      <c r="J290" s="338" t="s">
        <v>931</v>
      </c>
      <c r="K290" s="216"/>
      <c r="L290" s="216"/>
      <c r="M290" s="216"/>
      <c r="N290" s="216"/>
      <c r="O290" s="216"/>
      <c r="P290" s="216"/>
      <c r="Q290" s="216"/>
      <c r="R290" s="216"/>
      <c r="S290" s="216"/>
      <c r="T290" s="216"/>
      <c r="U290" s="216"/>
      <c r="V290" s="216"/>
      <c r="W290" s="216"/>
      <c r="X290" s="216"/>
      <c r="Y290" s="216"/>
      <c r="Z290" s="216"/>
    </row>
    <row r="291" spans="1:26" ht="15" customHeight="1">
      <c r="A291" s="134" t="s">
        <v>6669</v>
      </c>
      <c r="B291" s="133" t="s">
        <v>105</v>
      </c>
      <c r="C291" s="586" t="s">
        <v>909</v>
      </c>
      <c r="D291" s="469" t="s">
        <v>635</v>
      </c>
      <c r="E291" s="182" t="s">
        <v>6670</v>
      </c>
      <c r="F291" s="718">
        <v>44600</v>
      </c>
      <c r="G291" s="495">
        <v>50</v>
      </c>
      <c r="H291" s="1047" t="s">
        <v>588</v>
      </c>
      <c r="I291" s="398">
        <v>50</v>
      </c>
      <c r="J291" s="338" t="s">
        <v>931</v>
      </c>
      <c r="K291" s="216"/>
      <c r="L291" s="216"/>
      <c r="M291" s="216"/>
      <c r="N291" s="216"/>
      <c r="O291" s="216"/>
      <c r="P291" s="216"/>
      <c r="Q291" s="216"/>
      <c r="R291" s="216"/>
      <c r="S291" s="216"/>
      <c r="T291" s="216"/>
      <c r="U291" s="216"/>
      <c r="V291" s="216"/>
      <c r="W291" s="216"/>
      <c r="X291" s="216"/>
      <c r="Y291" s="216"/>
      <c r="Z291" s="216"/>
    </row>
    <row r="292" spans="1:26" ht="15" customHeight="1">
      <c r="A292" s="134" t="s">
        <v>6669</v>
      </c>
      <c r="B292" s="133" t="s">
        <v>105</v>
      </c>
      <c r="C292" s="586" t="s">
        <v>909</v>
      </c>
      <c r="D292" s="469" t="s">
        <v>635</v>
      </c>
      <c r="E292" s="182" t="s">
        <v>6670</v>
      </c>
      <c r="F292" s="718">
        <v>44609</v>
      </c>
      <c r="G292" s="495">
        <v>50</v>
      </c>
      <c r="H292" s="1047" t="s">
        <v>588</v>
      </c>
      <c r="I292" s="398">
        <v>50</v>
      </c>
      <c r="J292" s="338" t="s">
        <v>931</v>
      </c>
      <c r="K292" s="216"/>
      <c r="L292" s="216"/>
      <c r="M292" s="216"/>
      <c r="N292" s="216"/>
      <c r="O292" s="216"/>
      <c r="P292" s="216"/>
      <c r="Q292" s="216"/>
      <c r="R292" s="216"/>
      <c r="S292" s="216"/>
      <c r="T292" s="216"/>
      <c r="U292" s="216"/>
      <c r="V292" s="216"/>
      <c r="W292" s="216"/>
      <c r="X292" s="216"/>
      <c r="Y292" s="216"/>
      <c r="Z292" s="216"/>
    </row>
    <row r="293" spans="1:26" ht="15" customHeight="1">
      <c r="A293" s="134" t="s">
        <v>6669</v>
      </c>
      <c r="B293" s="133" t="s">
        <v>105</v>
      </c>
      <c r="C293" s="1048" t="s">
        <v>6673</v>
      </c>
      <c r="D293" s="469" t="s">
        <v>1338</v>
      </c>
      <c r="E293" s="182" t="s">
        <v>6312</v>
      </c>
      <c r="F293" s="718">
        <v>44622</v>
      </c>
      <c r="G293" s="495">
        <v>50</v>
      </c>
      <c r="H293" s="1047" t="s">
        <v>588</v>
      </c>
      <c r="I293" s="398">
        <v>50</v>
      </c>
      <c r="J293" s="338" t="s">
        <v>931</v>
      </c>
      <c r="K293" s="216"/>
      <c r="L293" s="216"/>
      <c r="M293" s="216"/>
      <c r="N293" s="216"/>
      <c r="O293" s="216"/>
      <c r="P293" s="216"/>
      <c r="Q293" s="216"/>
      <c r="R293" s="216"/>
      <c r="S293" s="216"/>
      <c r="T293" s="216"/>
      <c r="U293" s="216"/>
      <c r="V293" s="216"/>
      <c r="W293" s="216"/>
      <c r="X293" s="216"/>
      <c r="Y293" s="216"/>
      <c r="Z293" s="216"/>
    </row>
    <row r="294" spans="1:26" ht="15" customHeight="1">
      <c r="A294" s="134" t="s">
        <v>6669</v>
      </c>
      <c r="B294" s="133" t="s">
        <v>105</v>
      </c>
      <c r="C294" s="586" t="s">
        <v>909</v>
      </c>
      <c r="D294" s="469" t="s">
        <v>635</v>
      </c>
      <c r="E294" s="182" t="s">
        <v>6670</v>
      </c>
      <c r="F294" s="718">
        <v>44628</v>
      </c>
      <c r="G294" s="495">
        <v>50</v>
      </c>
      <c r="H294" s="1047" t="s">
        <v>588</v>
      </c>
      <c r="I294" s="398">
        <v>50</v>
      </c>
      <c r="J294" s="338" t="s">
        <v>931</v>
      </c>
      <c r="K294" s="216"/>
      <c r="L294" s="216"/>
      <c r="M294" s="216"/>
      <c r="N294" s="216"/>
      <c r="O294" s="216"/>
      <c r="P294" s="216"/>
      <c r="Q294" s="216"/>
      <c r="R294" s="216"/>
      <c r="S294" s="216"/>
      <c r="T294" s="216"/>
      <c r="U294" s="216"/>
      <c r="V294" s="216"/>
      <c r="W294" s="216"/>
      <c r="X294" s="216"/>
      <c r="Y294" s="216"/>
      <c r="Z294" s="216"/>
    </row>
    <row r="295" spans="1:26" ht="15" customHeight="1">
      <c r="A295" s="134" t="s">
        <v>6669</v>
      </c>
      <c r="B295" s="133" t="s">
        <v>105</v>
      </c>
      <c r="C295" s="1048" t="s">
        <v>6673</v>
      </c>
      <c r="D295" s="469" t="s">
        <v>1338</v>
      </c>
      <c r="E295" s="182" t="s">
        <v>6312</v>
      </c>
      <c r="F295" s="718">
        <v>44628</v>
      </c>
      <c r="G295" s="495">
        <v>50</v>
      </c>
      <c r="H295" s="1047" t="s">
        <v>588</v>
      </c>
      <c r="I295" s="398">
        <v>50</v>
      </c>
      <c r="J295" s="338" t="s">
        <v>931</v>
      </c>
      <c r="K295" s="216"/>
      <c r="L295" s="216"/>
      <c r="M295" s="216"/>
      <c r="N295" s="216"/>
      <c r="O295" s="216"/>
      <c r="P295" s="216"/>
      <c r="Q295" s="216"/>
      <c r="R295" s="216"/>
      <c r="S295" s="216"/>
      <c r="T295" s="216"/>
      <c r="U295" s="216"/>
      <c r="V295" s="216"/>
      <c r="W295" s="216"/>
      <c r="X295" s="216"/>
      <c r="Y295" s="216"/>
      <c r="Z295" s="216"/>
    </row>
    <row r="296" spans="1:26" ht="15" customHeight="1">
      <c r="A296" s="134" t="s">
        <v>6669</v>
      </c>
      <c r="B296" s="133" t="s">
        <v>105</v>
      </c>
      <c r="C296" s="1048" t="s">
        <v>6674</v>
      </c>
      <c r="D296" s="469" t="s">
        <v>1338</v>
      </c>
      <c r="E296" s="182" t="s">
        <v>6675</v>
      </c>
      <c r="F296" s="718">
        <v>44661</v>
      </c>
      <c r="G296" s="495">
        <v>50</v>
      </c>
      <c r="H296" s="1047" t="s">
        <v>588</v>
      </c>
      <c r="I296" s="398">
        <v>50</v>
      </c>
      <c r="J296" s="338" t="s">
        <v>931</v>
      </c>
      <c r="K296" s="216"/>
      <c r="L296" s="216"/>
      <c r="M296" s="216"/>
      <c r="N296" s="216"/>
      <c r="O296" s="216"/>
      <c r="P296" s="216"/>
      <c r="Q296" s="216"/>
      <c r="R296" s="216"/>
      <c r="S296" s="216"/>
      <c r="T296" s="216"/>
      <c r="U296" s="216"/>
      <c r="V296" s="216"/>
      <c r="W296" s="216"/>
      <c r="X296" s="216"/>
      <c r="Y296" s="216"/>
      <c r="Z296" s="216"/>
    </row>
    <row r="297" spans="1:26" ht="15" customHeight="1">
      <c r="A297" s="134" t="s">
        <v>6669</v>
      </c>
      <c r="B297" s="133" t="s">
        <v>105</v>
      </c>
      <c r="C297" s="1048" t="s">
        <v>6676</v>
      </c>
      <c r="D297" s="469" t="s">
        <v>1338</v>
      </c>
      <c r="E297" s="182" t="s">
        <v>6329</v>
      </c>
      <c r="F297" s="718">
        <v>44689</v>
      </c>
      <c r="G297" s="495">
        <v>50</v>
      </c>
      <c r="H297" s="1047" t="s">
        <v>588</v>
      </c>
      <c r="I297" s="398">
        <v>50</v>
      </c>
      <c r="J297" s="338" t="s">
        <v>931</v>
      </c>
      <c r="K297" s="216"/>
      <c r="L297" s="216"/>
      <c r="M297" s="216"/>
      <c r="N297" s="216"/>
      <c r="O297" s="216"/>
      <c r="P297" s="216"/>
      <c r="Q297" s="216"/>
      <c r="R297" s="216"/>
      <c r="S297" s="216"/>
      <c r="T297" s="216"/>
      <c r="U297" s="216"/>
      <c r="V297" s="216"/>
      <c r="W297" s="216"/>
      <c r="X297" s="216"/>
      <c r="Y297" s="216"/>
      <c r="Z297" s="216"/>
    </row>
    <row r="298" spans="1:26" ht="15" customHeight="1">
      <c r="A298" s="134" t="s">
        <v>6669</v>
      </c>
      <c r="B298" s="133" t="s">
        <v>105</v>
      </c>
      <c r="C298" s="1048" t="s">
        <v>6677</v>
      </c>
      <c r="D298" s="469" t="s">
        <v>1338</v>
      </c>
      <c r="E298" s="182" t="s">
        <v>6340</v>
      </c>
      <c r="F298" s="718">
        <v>44747</v>
      </c>
      <c r="G298" s="495">
        <v>50</v>
      </c>
      <c r="H298" s="1047" t="s">
        <v>588</v>
      </c>
      <c r="I298" s="398">
        <v>50</v>
      </c>
      <c r="J298" s="338" t="s">
        <v>931</v>
      </c>
      <c r="K298" s="216"/>
      <c r="L298" s="216"/>
      <c r="M298" s="216"/>
      <c r="N298" s="216"/>
      <c r="O298" s="216"/>
      <c r="P298" s="216"/>
      <c r="Q298" s="216"/>
      <c r="R298" s="216"/>
      <c r="S298" s="216"/>
      <c r="T298" s="216"/>
      <c r="U298" s="216"/>
      <c r="V298" s="216"/>
      <c r="W298" s="216"/>
      <c r="X298" s="216"/>
      <c r="Y298" s="216"/>
      <c r="Z298" s="216"/>
    </row>
    <row r="299" spans="1:26" ht="15" customHeight="1">
      <c r="A299" s="134" t="s">
        <v>6669</v>
      </c>
      <c r="B299" s="133" t="s">
        <v>105</v>
      </c>
      <c r="C299" s="1048" t="s">
        <v>6678</v>
      </c>
      <c r="D299" s="469" t="s">
        <v>1338</v>
      </c>
      <c r="E299" s="182" t="s">
        <v>6679</v>
      </c>
      <c r="F299" s="718">
        <v>44810</v>
      </c>
      <c r="G299" s="495">
        <v>50</v>
      </c>
      <c r="H299" s="1047" t="s">
        <v>588</v>
      </c>
      <c r="I299" s="398">
        <v>50</v>
      </c>
      <c r="J299" s="338" t="s">
        <v>931</v>
      </c>
      <c r="K299" s="216"/>
      <c r="L299" s="216"/>
      <c r="M299" s="216"/>
      <c r="N299" s="216"/>
      <c r="O299" s="216"/>
      <c r="P299" s="216"/>
      <c r="Q299" s="216"/>
      <c r="R299" s="216"/>
      <c r="S299" s="216"/>
      <c r="T299" s="216"/>
      <c r="U299" s="216"/>
      <c r="V299" s="216"/>
      <c r="W299" s="216"/>
      <c r="X299" s="216"/>
      <c r="Y299" s="216"/>
      <c r="Z299" s="216"/>
    </row>
    <row r="300" spans="1:26" ht="15" customHeight="1">
      <c r="A300" s="134" t="s">
        <v>6669</v>
      </c>
      <c r="B300" s="133" t="s">
        <v>105</v>
      </c>
      <c r="C300" s="489" t="s">
        <v>6680</v>
      </c>
      <c r="D300" s="469" t="s">
        <v>4585</v>
      </c>
      <c r="E300" s="264" t="s">
        <v>6681</v>
      </c>
      <c r="F300" s="718">
        <v>44810</v>
      </c>
      <c r="G300" s="495">
        <v>10</v>
      </c>
      <c r="H300" s="1047" t="s">
        <v>588</v>
      </c>
      <c r="I300" s="398">
        <v>10</v>
      </c>
      <c r="J300" s="338" t="s">
        <v>931</v>
      </c>
      <c r="K300" s="216"/>
      <c r="L300" s="216"/>
      <c r="M300" s="216"/>
      <c r="N300" s="216"/>
      <c r="O300" s="216"/>
      <c r="P300" s="216"/>
      <c r="Q300" s="216"/>
      <c r="R300" s="216"/>
      <c r="S300" s="216"/>
      <c r="T300" s="216"/>
      <c r="U300" s="216"/>
      <c r="V300" s="216"/>
      <c r="W300" s="216"/>
      <c r="X300" s="216"/>
      <c r="Y300" s="216"/>
      <c r="Z300" s="216"/>
    </row>
    <row r="301" spans="1:26" ht="15" customHeight="1">
      <c r="A301" s="134" t="s">
        <v>6669</v>
      </c>
      <c r="B301" s="133" t="s">
        <v>105</v>
      </c>
      <c r="C301" s="1048" t="s">
        <v>6671</v>
      </c>
      <c r="D301" s="469" t="s">
        <v>1338</v>
      </c>
      <c r="E301" s="182" t="s">
        <v>6672</v>
      </c>
      <c r="F301" s="718">
        <v>44846</v>
      </c>
      <c r="G301" s="495">
        <v>50</v>
      </c>
      <c r="H301" s="1047" t="s">
        <v>588</v>
      </c>
      <c r="I301" s="398">
        <v>50</v>
      </c>
      <c r="J301" s="338" t="s">
        <v>931</v>
      </c>
      <c r="K301" s="216"/>
      <c r="L301" s="216"/>
      <c r="M301" s="216"/>
      <c r="N301" s="216"/>
      <c r="O301" s="216"/>
      <c r="P301" s="216"/>
      <c r="Q301" s="216"/>
      <c r="R301" s="216"/>
      <c r="S301" s="216"/>
      <c r="T301" s="216"/>
      <c r="U301" s="216"/>
      <c r="V301" s="216"/>
      <c r="W301" s="216"/>
      <c r="X301" s="216"/>
      <c r="Y301" s="216"/>
      <c r="Z301" s="216"/>
    </row>
    <row r="302" spans="1:26" ht="15" customHeight="1">
      <c r="A302" s="134" t="s">
        <v>6669</v>
      </c>
      <c r="B302" s="133" t="s">
        <v>105</v>
      </c>
      <c r="C302" s="1048" t="s">
        <v>6676</v>
      </c>
      <c r="D302" s="469" t="s">
        <v>1338</v>
      </c>
      <c r="E302" s="182" t="s">
        <v>6329</v>
      </c>
      <c r="F302" s="718">
        <v>44868</v>
      </c>
      <c r="G302" s="495">
        <v>50</v>
      </c>
      <c r="H302" s="1047" t="s">
        <v>588</v>
      </c>
      <c r="I302" s="398">
        <v>50</v>
      </c>
      <c r="J302" s="338" t="s">
        <v>931</v>
      </c>
      <c r="K302" s="216"/>
      <c r="L302" s="216"/>
      <c r="M302" s="216"/>
      <c r="N302" s="216"/>
      <c r="O302" s="216"/>
      <c r="P302" s="216"/>
      <c r="Q302" s="216"/>
      <c r="R302" s="216"/>
      <c r="S302" s="216"/>
      <c r="T302" s="216"/>
      <c r="U302" s="216"/>
      <c r="V302" s="216"/>
      <c r="W302" s="216"/>
      <c r="X302" s="216"/>
      <c r="Y302" s="216"/>
      <c r="Z302" s="216"/>
    </row>
    <row r="303" spans="1:26" ht="15" customHeight="1">
      <c r="A303" s="134" t="s">
        <v>6669</v>
      </c>
      <c r="B303" s="133" t="s">
        <v>105</v>
      </c>
      <c r="C303" s="1048" t="s">
        <v>6676</v>
      </c>
      <c r="D303" s="133" t="s">
        <v>1338</v>
      </c>
      <c r="E303" s="182" t="s">
        <v>6329</v>
      </c>
      <c r="F303" s="718">
        <v>44909</v>
      </c>
      <c r="G303" s="495">
        <v>50</v>
      </c>
      <c r="H303" s="1047" t="s">
        <v>588</v>
      </c>
      <c r="I303" s="398">
        <v>50</v>
      </c>
      <c r="J303" s="338" t="s">
        <v>931</v>
      </c>
      <c r="K303" s="216"/>
      <c r="L303" s="216"/>
      <c r="M303" s="216"/>
      <c r="N303" s="216"/>
      <c r="O303" s="216"/>
      <c r="P303" s="216"/>
      <c r="Q303" s="216"/>
      <c r="R303" s="216"/>
      <c r="S303" s="216"/>
      <c r="T303" s="216"/>
      <c r="U303" s="216"/>
      <c r="V303" s="216"/>
      <c r="W303" s="216"/>
      <c r="X303" s="216"/>
      <c r="Y303" s="216"/>
      <c r="Z303" s="216"/>
    </row>
    <row r="304" spans="1:26" ht="15" customHeight="1">
      <c r="A304" s="99" t="s">
        <v>952</v>
      </c>
      <c r="B304" s="99" t="s">
        <v>105</v>
      </c>
      <c r="C304" s="99" t="s">
        <v>6682</v>
      </c>
      <c r="D304" s="99" t="s">
        <v>6683</v>
      </c>
      <c r="E304" s="465" t="s">
        <v>6684</v>
      </c>
      <c r="F304" s="718" t="s">
        <v>6685</v>
      </c>
      <c r="G304" s="99">
        <v>10</v>
      </c>
      <c r="H304" s="99">
        <v>12</v>
      </c>
      <c r="I304" s="119">
        <v>10</v>
      </c>
      <c r="J304" s="338" t="s">
        <v>952</v>
      </c>
      <c r="K304" s="216"/>
      <c r="L304" s="216"/>
      <c r="M304" s="216"/>
      <c r="N304" s="216"/>
      <c r="O304" s="216"/>
      <c r="P304" s="216"/>
      <c r="Q304" s="216"/>
      <c r="R304" s="216"/>
      <c r="S304" s="216"/>
      <c r="T304" s="216"/>
      <c r="U304" s="216"/>
      <c r="V304" s="216"/>
      <c r="W304" s="216"/>
      <c r="X304" s="216"/>
      <c r="Y304" s="216"/>
      <c r="Z304" s="216"/>
    </row>
    <row r="305" spans="1:26" ht="15" customHeight="1">
      <c r="A305" s="99" t="s">
        <v>952</v>
      </c>
      <c r="B305" s="99" t="s">
        <v>105</v>
      </c>
      <c r="C305" s="99" t="s">
        <v>6686</v>
      </c>
      <c r="D305" s="99" t="s">
        <v>6687</v>
      </c>
      <c r="E305" s="465" t="s">
        <v>6684</v>
      </c>
      <c r="F305" s="99" t="s">
        <v>6659</v>
      </c>
      <c r="G305" s="99">
        <v>10</v>
      </c>
      <c r="H305" s="99">
        <v>12</v>
      </c>
      <c r="I305" s="119">
        <v>10</v>
      </c>
      <c r="J305" s="338" t="s">
        <v>952</v>
      </c>
      <c r="K305" s="216"/>
      <c r="L305" s="216"/>
      <c r="M305" s="216"/>
      <c r="N305" s="216"/>
      <c r="O305" s="216"/>
      <c r="P305" s="216"/>
      <c r="Q305" s="216"/>
      <c r="R305" s="216"/>
      <c r="S305" s="216"/>
      <c r="T305" s="216"/>
      <c r="U305" s="216"/>
      <c r="V305" s="216"/>
      <c r="W305" s="216"/>
      <c r="X305" s="216"/>
      <c r="Y305" s="216"/>
      <c r="Z305" s="216"/>
    </row>
    <row r="306" spans="1:26" ht="15" customHeight="1">
      <c r="A306" s="99" t="s">
        <v>952</v>
      </c>
      <c r="B306" s="99" t="s">
        <v>105</v>
      </c>
      <c r="C306" s="99" t="s">
        <v>6688</v>
      </c>
      <c r="D306" s="99" t="s">
        <v>6689</v>
      </c>
      <c r="E306" s="465" t="s">
        <v>6329</v>
      </c>
      <c r="F306" s="718">
        <v>44652</v>
      </c>
      <c r="G306" s="99">
        <v>50</v>
      </c>
      <c r="H306" s="99">
        <v>24</v>
      </c>
      <c r="I306" s="99">
        <v>50</v>
      </c>
      <c r="J306" s="338" t="s">
        <v>952</v>
      </c>
      <c r="K306" s="216"/>
      <c r="L306" s="216"/>
      <c r="M306" s="216"/>
      <c r="N306" s="216"/>
      <c r="O306" s="216"/>
      <c r="P306" s="216"/>
      <c r="Q306" s="216"/>
      <c r="R306" s="216"/>
      <c r="S306" s="216"/>
      <c r="T306" s="216"/>
      <c r="U306" s="216"/>
      <c r="V306" s="216"/>
      <c r="W306" s="216"/>
      <c r="X306" s="216"/>
      <c r="Y306" s="216"/>
      <c r="Z306" s="216"/>
    </row>
    <row r="307" spans="1:26" ht="15" customHeight="1">
      <c r="A307" s="99" t="s">
        <v>952</v>
      </c>
      <c r="B307" s="99" t="s">
        <v>105</v>
      </c>
      <c r="C307" s="99" t="s">
        <v>6690</v>
      </c>
      <c r="D307" s="99" t="s">
        <v>6691</v>
      </c>
      <c r="E307" s="380" t="s">
        <v>6290</v>
      </c>
      <c r="F307" s="99" t="s">
        <v>6692</v>
      </c>
      <c r="G307" s="99">
        <v>50</v>
      </c>
      <c r="H307" s="99">
        <v>24</v>
      </c>
      <c r="I307" s="99">
        <v>50</v>
      </c>
      <c r="J307" s="338" t="s">
        <v>952</v>
      </c>
      <c r="K307" s="216"/>
      <c r="L307" s="216"/>
      <c r="M307" s="216"/>
      <c r="N307" s="216"/>
      <c r="O307" s="216"/>
      <c r="P307" s="216"/>
      <c r="Q307" s="216"/>
      <c r="R307" s="216"/>
      <c r="S307" s="216"/>
      <c r="T307" s="216"/>
      <c r="U307" s="216"/>
      <c r="V307" s="216"/>
      <c r="W307" s="216"/>
      <c r="X307" s="216"/>
      <c r="Y307" s="216"/>
      <c r="Z307" s="216"/>
    </row>
    <row r="308" spans="1:26" ht="15" customHeight="1">
      <c r="A308" s="99" t="s">
        <v>952</v>
      </c>
      <c r="B308" s="99" t="s">
        <v>105</v>
      </c>
      <c r="C308" s="99" t="s">
        <v>6693</v>
      </c>
      <c r="D308" s="99" t="s">
        <v>6689</v>
      </c>
      <c r="E308" s="465" t="s">
        <v>6329</v>
      </c>
      <c r="F308" s="99" t="s">
        <v>6694</v>
      </c>
      <c r="G308" s="99">
        <v>50</v>
      </c>
      <c r="H308" s="99">
        <v>24</v>
      </c>
      <c r="I308" s="99">
        <v>50</v>
      </c>
      <c r="J308" s="338" t="s">
        <v>952</v>
      </c>
      <c r="K308" s="216"/>
      <c r="L308" s="216"/>
      <c r="M308" s="216"/>
      <c r="N308" s="216"/>
      <c r="O308" s="216"/>
      <c r="P308" s="216"/>
      <c r="Q308" s="216"/>
      <c r="R308" s="216"/>
      <c r="S308" s="216"/>
      <c r="T308" s="216"/>
      <c r="U308" s="216"/>
      <c r="V308" s="216"/>
      <c r="W308" s="216"/>
      <c r="X308" s="216"/>
      <c r="Y308" s="216"/>
      <c r="Z308" s="216"/>
    </row>
    <row r="309" spans="1:26" ht="15" customHeight="1">
      <c r="A309" s="99" t="s">
        <v>952</v>
      </c>
      <c r="B309" s="99" t="s">
        <v>105</v>
      </c>
      <c r="C309" s="99" t="s">
        <v>6695</v>
      </c>
      <c r="D309" s="99" t="s">
        <v>6696</v>
      </c>
      <c r="E309" s="380" t="s">
        <v>6697</v>
      </c>
      <c r="F309" s="99" t="s">
        <v>6698</v>
      </c>
      <c r="G309" s="99">
        <v>50</v>
      </c>
      <c r="H309" s="99">
        <v>12</v>
      </c>
      <c r="I309" s="99">
        <v>50</v>
      </c>
      <c r="J309" s="338" t="s">
        <v>952</v>
      </c>
      <c r="K309" s="216"/>
      <c r="L309" s="216"/>
      <c r="M309" s="216"/>
      <c r="N309" s="216"/>
      <c r="O309" s="216"/>
      <c r="P309" s="216"/>
      <c r="Q309" s="216"/>
      <c r="R309" s="216"/>
      <c r="S309" s="216"/>
      <c r="T309" s="216"/>
      <c r="U309" s="216"/>
      <c r="V309" s="216"/>
      <c r="W309" s="216"/>
      <c r="X309" s="216"/>
      <c r="Y309" s="216"/>
      <c r="Z309" s="216"/>
    </row>
    <row r="310" spans="1:26" ht="15" customHeight="1">
      <c r="A310" s="99" t="s">
        <v>952</v>
      </c>
      <c r="B310" s="99" t="s">
        <v>105</v>
      </c>
      <c r="C310" s="99" t="s">
        <v>6699</v>
      </c>
      <c r="D310" s="99" t="s">
        <v>6700</v>
      </c>
      <c r="E310" s="465" t="s">
        <v>6352</v>
      </c>
      <c r="F310" s="718">
        <v>44845</v>
      </c>
      <c r="G310" s="99">
        <v>50</v>
      </c>
      <c r="H310" s="99">
        <v>12</v>
      </c>
      <c r="I310" s="99">
        <v>50</v>
      </c>
      <c r="J310" s="338" t="s">
        <v>952</v>
      </c>
      <c r="K310" s="216"/>
      <c r="L310" s="216"/>
      <c r="M310" s="216"/>
      <c r="N310" s="216"/>
      <c r="O310" s="216"/>
      <c r="P310" s="216"/>
      <c r="Q310" s="216"/>
      <c r="R310" s="216"/>
      <c r="S310" s="216"/>
      <c r="T310" s="216"/>
      <c r="U310" s="216"/>
      <c r="V310" s="216"/>
      <c r="W310" s="216"/>
      <c r="X310" s="216"/>
      <c r="Y310" s="216"/>
      <c r="Z310" s="216"/>
    </row>
    <row r="311" spans="1:26" ht="15" customHeight="1">
      <c r="A311" s="99" t="s">
        <v>952</v>
      </c>
      <c r="B311" s="99" t="s">
        <v>105</v>
      </c>
      <c r="C311" s="99" t="s">
        <v>6701</v>
      </c>
      <c r="D311" s="99" t="s">
        <v>6702</v>
      </c>
      <c r="E311" s="1049" t="s">
        <v>6340</v>
      </c>
      <c r="F311" s="1050">
        <v>44884</v>
      </c>
      <c r="G311" s="99">
        <v>50</v>
      </c>
      <c r="H311" s="99">
        <v>24</v>
      </c>
      <c r="I311" s="187">
        <v>50</v>
      </c>
      <c r="J311" s="338" t="s">
        <v>952</v>
      </c>
      <c r="K311" s="216"/>
      <c r="L311" s="216"/>
      <c r="M311" s="216"/>
      <c r="N311" s="216"/>
      <c r="O311" s="216"/>
      <c r="P311" s="216"/>
      <c r="Q311" s="216"/>
      <c r="R311" s="216"/>
      <c r="S311" s="216"/>
      <c r="T311" s="216"/>
      <c r="U311" s="216"/>
      <c r="V311" s="216"/>
      <c r="W311" s="216"/>
      <c r="X311" s="216"/>
      <c r="Y311" s="216"/>
      <c r="Z311" s="216"/>
    </row>
    <row r="312" spans="1:26" ht="15" customHeight="1">
      <c r="A312" s="99" t="s">
        <v>952</v>
      </c>
      <c r="B312" s="99" t="s">
        <v>105</v>
      </c>
      <c r="C312" s="99" t="s">
        <v>6703</v>
      </c>
      <c r="D312" s="99" t="s">
        <v>6702</v>
      </c>
      <c r="E312" s="380" t="s">
        <v>6340</v>
      </c>
      <c r="F312" s="718">
        <v>44908</v>
      </c>
      <c r="G312" s="99">
        <v>50</v>
      </c>
      <c r="H312" s="99">
        <v>24</v>
      </c>
      <c r="I312" s="99">
        <v>50</v>
      </c>
      <c r="J312" s="338" t="s">
        <v>952</v>
      </c>
      <c r="K312" s="216"/>
      <c r="L312" s="216"/>
      <c r="M312" s="216"/>
      <c r="N312" s="216"/>
      <c r="O312" s="216"/>
      <c r="P312" s="216"/>
      <c r="Q312" s="216"/>
      <c r="R312" s="216"/>
      <c r="S312" s="216"/>
      <c r="T312" s="216"/>
      <c r="U312" s="216"/>
      <c r="V312" s="216"/>
      <c r="W312" s="216"/>
      <c r="X312" s="216"/>
      <c r="Y312" s="216"/>
      <c r="Z312" s="216"/>
    </row>
    <row r="313" spans="1:26" ht="15" customHeight="1">
      <c r="A313" s="134" t="s">
        <v>123</v>
      </c>
      <c r="B313" s="99" t="s">
        <v>105</v>
      </c>
      <c r="C313" s="133" t="s">
        <v>6704</v>
      </c>
      <c r="D313" s="133" t="s">
        <v>5698</v>
      </c>
      <c r="E313" s="130" t="s">
        <v>6705</v>
      </c>
      <c r="F313" s="133" t="s">
        <v>6706</v>
      </c>
      <c r="G313" s="99">
        <v>50</v>
      </c>
      <c r="H313" s="500">
        <v>2</v>
      </c>
      <c r="I313" s="803">
        <f>1.5*50</f>
        <v>75</v>
      </c>
      <c r="J313" s="338" t="s">
        <v>123</v>
      </c>
      <c r="K313" s="216"/>
      <c r="L313" s="216"/>
      <c r="M313" s="216"/>
      <c r="N313" s="216"/>
      <c r="O313" s="216"/>
      <c r="P313" s="216"/>
      <c r="Q313" s="216"/>
      <c r="R313" s="216"/>
      <c r="S313" s="216"/>
      <c r="T313" s="216"/>
      <c r="U313" s="216"/>
      <c r="V313" s="216"/>
      <c r="W313" s="216"/>
      <c r="X313" s="216"/>
      <c r="Y313" s="216"/>
      <c r="Z313" s="216"/>
    </row>
    <row r="314" spans="1:26" ht="15" customHeight="1">
      <c r="A314" s="134" t="s">
        <v>123</v>
      </c>
      <c r="B314" s="99" t="s">
        <v>105</v>
      </c>
      <c r="C314" s="138" t="s">
        <v>6707</v>
      </c>
      <c r="D314" s="131" t="s">
        <v>6708</v>
      </c>
      <c r="E314" s="142" t="s">
        <v>6709</v>
      </c>
      <c r="F314" s="131" t="s">
        <v>6710</v>
      </c>
      <c r="G314" s="819">
        <v>50</v>
      </c>
      <c r="H314" s="920">
        <v>6</v>
      </c>
      <c r="I314" s="803">
        <f>2.5*50</f>
        <v>125</v>
      </c>
      <c r="J314" s="338" t="s">
        <v>123</v>
      </c>
      <c r="K314" s="216"/>
      <c r="L314" s="216"/>
      <c r="M314" s="216"/>
      <c r="N314" s="216"/>
      <c r="O314" s="216"/>
      <c r="P314" s="216"/>
      <c r="Q314" s="216"/>
      <c r="R314" s="216"/>
      <c r="S314" s="216"/>
      <c r="T314" s="216"/>
      <c r="U314" s="216"/>
      <c r="V314" s="216"/>
      <c r="W314" s="216"/>
      <c r="X314" s="216"/>
      <c r="Y314" s="216"/>
      <c r="Z314" s="216"/>
    </row>
    <row r="315" spans="1:26" ht="15" customHeight="1">
      <c r="A315" s="134" t="s">
        <v>123</v>
      </c>
      <c r="B315" s="99" t="s">
        <v>105</v>
      </c>
      <c r="C315" s="138" t="s">
        <v>6711</v>
      </c>
      <c r="D315" s="133" t="s">
        <v>6712</v>
      </c>
      <c r="E315" s="130" t="s">
        <v>6713</v>
      </c>
      <c r="F315" s="133" t="s">
        <v>6571</v>
      </c>
      <c r="G315" s="819">
        <v>50</v>
      </c>
      <c r="H315" s="761"/>
      <c r="I315" s="803">
        <v>50</v>
      </c>
      <c r="J315" s="338" t="s">
        <v>123</v>
      </c>
      <c r="K315" s="216"/>
      <c r="L315" s="216"/>
      <c r="M315" s="216"/>
      <c r="N315" s="216"/>
      <c r="O315" s="216"/>
      <c r="P315" s="216"/>
      <c r="Q315" s="216"/>
      <c r="R315" s="216"/>
      <c r="S315" s="216"/>
      <c r="T315" s="216"/>
      <c r="U315" s="216"/>
      <c r="V315" s="216"/>
      <c r="W315" s="216"/>
      <c r="X315" s="216"/>
      <c r="Y315" s="216"/>
      <c r="Z315" s="216"/>
    </row>
    <row r="316" spans="1:26" ht="15" customHeight="1">
      <c r="A316" s="134" t="s">
        <v>123</v>
      </c>
      <c r="B316" s="99" t="s">
        <v>105</v>
      </c>
      <c r="C316" s="138" t="s">
        <v>6714</v>
      </c>
      <c r="D316" s="133" t="s">
        <v>6715</v>
      </c>
      <c r="E316" s="130" t="s">
        <v>6716</v>
      </c>
      <c r="F316" s="133" t="s">
        <v>6717</v>
      </c>
      <c r="G316" s="819">
        <v>50</v>
      </c>
      <c r="H316" s="761"/>
      <c r="I316" s="803">
        <v>50</v>
      </c>
      <c r="J316" s="338" t="s">
        <v>123</v>
      </c>
      <c r="K316" s="216"/>
      <c r="L316" s="216"/>
      <c r="M316" s="216"/>
      <c r="N316" s="216"/>
      <c r="O316" s="216"/>
      <c r="P316" s="216"/>
      <c r="Q316" s="216"/>
      <c r="R316" s="216"/>
      <c r="S316" s="216"/>
      <c r="T316" s="216"/>
      <c r="U316" s="216"/>
      <c r="V316" s="216"/>
      <c r="W316" s="216"/>
      <c r="X316" s="216"/>
      <c r="Y316" s="216"/>
      <c r="Z316" s="216"/>
    </row>
    <row r="317" spans="1:26" ht="15" customHeight="1">
      <c r="A317" s="134" t="s">
        <v>123</v>
      </c>
      <c r="B317" s="99" t="s">
        <v>105</v>
      </c>
      <c r="C317" s="138" t="s">
        <v>6718</v>
      </c>
      <c r="D317" s="138" t="s">
        <v>6719</v>
      </c>
      <c r="E317" s="130" t="s">
        <v>6720</v>
      </c>
      <c r="F317" s="138" t="s">
        <v>6721</v>
      </c>
      <c r="G317" s="819">
        <v>50</v>
      </c>
      <c r="H317" s="799"/>
      <c r="I317" s="803">
        <f>5*50</f>
        <v>250</v>
      </c>
      <c r="J317" s="338" t="s">
        <v>123</v>
      </c>
      <c r="K317" s="216"/>
      <c r="L317" s="216"/>
      <c r="M317" s="216"/>
      <c r="N317" s="216"/>
      <c r="O317" s="216"/>
      <c r="P317" s="216"/>
      <c r="Q317" s="216"/>
      <c r="R317" s="216"/>
      <c r="S317" s="216"/>
      <c r="T317" s="216"/>
      <c r="U317" s="216"/>
      <c r="V317" s="216"/>
      <c r="W317" s="216"/>
      <c r="X317" s="216"/>
      <c r="Y317" s="216"/>
      <c r="Z317" s="216"/>
    </row>
    <row r="318" spans="1:26" ht="15" customHeight="1">
      <c r="A318" s="134" t="s">
        <v>6722</v>
      </c>
      <c r="B318" s="99" t="s">
        <v>105</v>
      </c>
      <c r="C318" s="228" t="s">
        <v>6723</v>
      </c>
      <c r="D318" s="131" t="s">
        <v>6724</v>
      </c>
      <c r="E318" s="142" t="s">
        <v>6329</v>
      </c>
      <c r="F318" s="131" t="s">
        <v>6725</v>
      </c>
      <c r="G318" s="99">
        <v>50</v>
      </c>
      <c r="H318" s="820" t="s">
        <v>6726</v>
      </c>
      <c r="I318" s="1051">
        <v>50</v>
      </c>
      <c r="J318" s="338" t="s">
        <v>104</v>
      </c>
      <c r="K318" s="216"/>
      <c r="L318" s="216"/>
      <c r="M318" s="216"/>
      <c r="N318" s="216"/>
      <c r="O318" s="216"/>
      <c r="P318" s="216"/>
      <c r="Q318" s="216"/>
      <c r="R318" s="216"/>
      <c r="S318" s="216"/>
      <c r="T318" s="216"/>
      <c r="U318" s="216"/>
      <c r="V318" s="216"/>
      <c r="W318" s="216"/>
      <c r="X318" s="216"/>
      <c r="Y318" s="216"/>
      <c r="Z318" s="216"/>
    </row>
    <row r="319" spans="1:26" ht="15" customHeight="1">
      <c r="A319" s="134" t="s">
        <v>6722</v>
      </c>
      <c r="B319" s="99" t="s">
        <v>105</v>
      </c>
      <c r="C319" s="228" t="s">
        <v>6727</v>
      </c>
      <c r="D319" s="131" t="s">
        <v>6724</v>
      </c>
      <c r="E319" s="142" t="s">
        <v>6329</v>
      </c>
      <c r="F319" s="133" t="s">
        <v>6728</v>
      </c>
      <c r="G319" s="99">
        <v>50</v>
      </c>
      <c r="H319" s="820" t="s">
        <v>6726</v>
      </c>
      <c r="I319" s="1051">
        <v>50</v>
      </c>
      <c r="J319" s="338" t="s">
        <v>104</v>
      </c>
      <c r="K319" s="216"/>
      <c r="L319" s="216"/>
      <c r="M319" s="216"/>
      <c r="N319" s="216"/>
      <c r="O319" s="216"/>
      <c r="P319" s="216"/>
      <c r="Q319" s="216"/>
      <c r="R319" s="216"/>
      <c r="S319" s="216"/>
      <c r="T319" s="216"/>
      <c r="U319" s="216"/>
      <c r="V319" s="216"/>
      <c r="W319" s="216"/>
      <c r="X319" s="216"/>
      <c r="Y319" s="216"/>
      <c r="Z319" s="216"/>
    </row>
    <row r="320" spans="1:26" ht="15" customHeight="1">
      <c r="A320" s="134" t="s">
        <v>6722</v>
      </c>
      <c r="B320" s="99" t="s">
        <v>105</v>
      </c>
      <c r="C320" s="228" t="s">
        <v>6729</v>
      </c>
      <c r="D320" s="138" t="s">
        <v>6724</v>
      </c>
      <c r="E320" s="130" t="s">
        <v>6730</v>
      </c>
      <c r="F320" s="138" t="s">
        <v>6731</v>
      </c>
      <c r="G320" s="99">
        <v>50</v>
      </c>
      <c r="H320" s="820" t="s">
        <v>6726</v>
      </c>
      <c r="I320" s="1051">
        <v>50</v>
      </c>
      <c r="J320" s="338" t="s">
        <v>104</v>
      </c>
      <c r="K320" s="216"/>
      <c r="L320" s="216"/>
      <c r="M320" s="216"/>
      <c r="N320" s="216"/>
      <c r="O320" s="216"/>
      <c r="P320" s="216"/>
      <c r="Q320" s="216"/>
      <c r="R320" s="216"/>
      <c r="S320" s="216"/>
      <c r="T320" s="216"/>
      <c r="U320" s="216"/>
      <c r="V320" s="216"/>
      <c r="W320" s="216"/>
      <c r="X320" s="216"/>
      <c r="Y320" s="216"/>
      <c r="Z320" s="216"/>
    </row>
    <row r="321" spans="1:26" ht="15" customHeight="1">
      <c r="A321" s="134" t="s">
        <v>6722</v>
      </c>
      <c r="B321" s="99" t="s">
        <v>105</v>
      </c>
      <c r="C321" s="228" t="s">
        <v>6732</v>
      </c>
      <c r="D321" s="131" t="s">
        <v>6724</v>
      </c>
      <c r="E321" s="142" t="s">
        <v>6733</v>
      </c>
      <c r="F321" s="133" t="s">
        <v>6734</v>
      </c>
      <c r="G321" s="99">
        <v>50</v>
      </c>
      <c r="H321" s="820" t="s">
        <v>6726</v>
      </c>
      <c r="I321" s="1051">
        <v>50</v>
      </c>
      <c r="J321" s="338" t="s">
        <v>104</v>
      </c>
      <c r="K321" s="216"/>
      <c r="L321" s="216"/>
      <c r="M321" s="216"/>
      <c r="N321" s="216"/>
      <c r="O321" s="216"/>
      <c r="P321" s="216"/>
      <c r="Q321" s="216"/>
      <c r="R321" s="216"/>
      <c r="S321" s="216"/>
      <c r="T321" s="216"/>
      <c r="U321" s="216"/>
      <c r="V321" s="216"/>
      <c r="W321" s="216"/>
      <c r="X321" s="216"/>
      <c r="Y321" s="216"/>
      <c r="Z321" s="216"/>
    </row>
    <row r="322" spans="1:26" ht="15" customHeight="1">
      <c r="A322" s="134" t="s">
        <v>6722</v>
      </c>
      <c r="B322" s="99" t="s">
        <v>105</v>
      </c>
      <c r="C322" s="228" t="s">
        <v>6735</v>
      </c>
      <c r="D322" s="131" t="s">
        <v>6724</v>
      </c>
      <c r="E322" s="142" t="s">
        <v>6352</v>
      </c>
      <c r="F322" s="131" t="s">
        <v>6736</v>
      </c>
      <c r="G322" s="99">
        <v>50</v>
      </c>
      <c r="H322" s="820" t="s">
        <v>6726</v>
      </c>
      <c r="I322" s="1051">
        <v>50</v>
      </c>
      <c r="J322" s="338" t="s">
        <v>104</v>
      </c>
      <c r="K322" s="216"/>
      <c r="L322" s="216"/>
      <c r="M322" s="216"/>
      <c r="N322" s="216"/>
      <c r="O322" s="216"/>
      <c r="P322" s="216"/>
      <c r="Q322" s="216"/>
      <c r="R322" s="216"/>
      <c r="S322" s="216"/>
      <c r="T322" s="216"/>
      <c r="U322" s="216"/>
      <c r="V322" s="216"/>
      <c r="W322" s="216"/>
      <c r="X322" s="216"/>
      <c r="Y322" s="216"/>
      <c r="Z322" s="216"/>
    </row>
    <row r="323" spans="1:26" ht="15" customHeight="1">
      <c r="A323" s="134" t="s">
        <v>6722</v>
      </c>
      <c r="B323" s="99" t="s">
        <v>105</v>
      </c>
      <c r="C323" s="228" t="s">
        <v>6737</v>
      </c>
      <c r="D323" s="131" t="s">
        <v>6724</v>
      </c>
      <c r="E323" s="142" t="s">
        <v>6352</v>
      </c>
      <c r="F323" s="131" t="s">
        <v>6738</v>
      </c>
      <c r="G323" s="99">
        <v>50</v>
      </c>
      <c r="H323" s="820" t="s">
        <v>6726</v>
      </c>
      <c r="I323" s="1051">
        <v>50</v>
      </c>
      <c r="J323" s="338" t="s">
        <v>104</v>
      </c>
      <c r="K323" s="216"/>
      <c r="L323" s="216"/>
      <c r="M323" s="216"/>
      <c r="N323" s="216"/>
      <c r="O323" s="216"/>
      <c r="P323" s="216"/>
      <c r="Q323" s="216"/>
      <c r="R323" s="216"/>
      <c r="S323" s="216"/>
      <c r="T323" s="216"/>
      <c r="U323" s="216"/>
      <c r="V323" s="216"/>
      <c r="W323" s="216"/>
      <c r="X323" s="216"/>
      <c r="Y323" s="216"/>
      <c r="Z323" s="216"/>
    </row>
    <row r="324" spans="1:26" ht="15" customHeight="1">
      <c r="A324" s="134" t="s">
        <v>6722</v>
      </c>
      <c r="B324" s="99" t="s">
        <v>105</v>
      </c>
      <c r="C324" s="99" t="s">
        <v>421</v>
      </c>
      <c r="D324" s="133" t="s">
        <v>6724</v>
      </c>
      <c r="E324" s="130" t="s">
        <v>6739</v>
      </c>
      <c r="F324" s="99" t="s">
        <v>6740</v>
      </c>
      <c r="G324" s="99">
        <v>300</v>
      </c>
      <c r="H324" s="495" t="s">
        <v>6741</v>
      </c>
      <c r="I324" s="1051">
        <v>300</v>
      </c>
      <c r="J324" s="338" t="s">
        <v>104</v>
      </c>
      <c r="K324" s="216"/>
      <c r="L324" s="216"/>
      <c r="M324" s="216"/>
      <c r="N324" s="216"/>
      <c r="O324" s="216"/>
      <c r="P324" s="216"/>
      <c r="Q324" s="216"/>
      <c r="R324" s="216"/>
      <c r="S324" s="216"/>
      <c r="T324" s="216"/>
      <c r="U324" s="216"/>
      <c r="V324" s="216"/>
      <c r="W324" s="216"/>
      <c r="X324" s="216"/>
      <c r="Y324" s="216"/>
      <c r="Z324" s="216"/>
    </row>
    <row r="325" spans="1:26" ht="15" customHeight="1">
      <c r="A325" s="134" t="s">
        <v>6722</v>
      </c>
      <c r="B325" s="99" t="s">
        <v>105</v>
      </c>
      <c r="C325" s="99" t="s">
        <v>6742</v>
      </c>
      <c r="D325" s="133" t="s">
        <v>6724</v>
      </c>
      <c r="E325" s="130" t="s">
        <v>6290</v>
      </c>
      <c r="F325" s="133" t="s">
        <v>6743</v>
      </c>
      <c r="G325" s="99">
        <v>50</v>
      </c>
      <c r="H325" s="820" t="s">
        <v>6726</v>
      </c>
      <c r="I325" s="1051">
        <v>50</v>
      </c>
      <c r="J325" s="338" t="s">
        <v>104</v>
      </c>
      <c r="K325" s="216"/>
      <c r="L325" s="216"/>
      <c r="M325" s="216"/>
      <c r="N325" s="216"/>
      <c r="O325" s="216"/>
      <c r="P325" s="216"/>
      <c r="Q325" s="216"/>
      <c r="R325" s="216"/>
      <c r="S325" s="216"/>
      <c r="T325" s="216"/>
      <c r="U325" s="216"/>
      <c r="V325" s="216"/>
      <c r="W325" s="216"/>
      <c r="X325" s="216"/>
      <c r="Y325" s="216"/>
      <c r="Z325" s="216"/>
    </row>
    <row r="326" spans="1:26" ht="15" customHeight="1">
      <c r="A326" s="134" t="s">
        <v>6722</v>
      </c>
      <c r="B326" s="99" t="s">
        <v>105</v>
      </c>
      <c r="C326" s="99" t="s">
        <v>6744</v>
      </c>
      <c r="D326" s="133" t="s">
        <v>6724</v>
      </c>
      <c r="E326" s="130" t="s">
        <v>6290</v>
      </c>
      <c r="F326" s="138" t="s">
        <v>6745</v>
      </c>
      <c r="G326" s="99">
        <v>50</v>
      </c>
      <c r="H326" s="820" t="s">
        <v>6726</v>
      </c>
      <c r="I326" s="1051">
        <v>50</v>
      </c>
      <c r="J326" s="338" t="s">
        <v>104</v>
      </c>
      <c r="K326" s="216"/>
      <c r="L326" s="216"/>
      <c r="M326" s="216"/>
      <c r="N326" s="216"/>
      <c r="O326" s="216"/>
      <c r="P326" s="216"/>
      <c r="Q326" s="216"/>
      <c r="R326" s="216"/>
      <c r="S326" s="216"/>
      <c r="T326" s="216"/>
      <c r="U326" s="216"/>
      <c r="V326" s="216"/>
      <c r="W326" s="216"/>
      <c r="X326" s="216"/>
      <c r="Y326" s="216"/>
      <c r="Z326" s="216"/>
    </row>
    <row r="327" spans="1:26" ht="15" customHeight="1">
      <c r="A327" s="134" t="s">
        <v>6722</v>
      </c>
      <c r="B327" s="99" t="s">
        <v>105</v>
      </c>
      <c r="C327" s="99" t="s">
        <v>6746</v>
      </c>
      <c r="D327" s="133" t="s">
        <v>6724</v>
      </c>
      <c r="E327" s="130" t="s">
        <v>6290</v>
      </c>
      <c r="F327" s="138" t="s">
        <v>6747</v>
      </c>
      <c r="G327" s="99">
        <v>50</v>
      </c>
      <c r="H327" s="820" t="s">
        <v>6726</v>
      </c>
      <c r="I327" s="1051">
        <v>50</v>
      </c>
      <c r="J327" s="338" t="s">
        <v>104</v>
      </c>
      <c r="K327" s="216"/>
      <c r="L327" s="216"/>
      <c r="M327" s="216"/>
      <c r="N327" s="216"/>
      <c r="O327" s="216"/>
      <c r="P327" s="216"/>
      <c r="Q327" s="216"/>
      <c r="R327" s="216"/>
      <c r="S327" s="216"/>
      <c r="T327" s="216"/>
      <c r="U327" s="216"/>
      <c r="V327" s="216"/>
      <c r="W327" s="216"/>
      <c r="X327" s="216"/>
      <c r="Y327" s="216"/>
      <c r="Z327" s="216"/>
    </row>
    <row r="328" spans="1:26" ht="15" customHeight="1">
      <c r="A328" s="134" t="s">
        <v>6722</v>
      </c>
      <c r="B328" s="99" t="s">
        <v>105</v>
      </c>
      <c r="C328" s="99" t="s">
        <v>6748</v>
      </c>
      <c r="D328" s="133" t="s">
        <v>6724</v>
      </c>
      <c r="E328" s="130" t="s">
        <v>6290</v>
      </c>
      <c r="F328" s="138" t="s">
        <v>6749</v>
      </c>
      <c r="G328" s="99">
        <v>50</v>
      </c>
      <c r="H328" s="820" t="s">
        <v>6726</v>
      </c>
      <c r="I328" s="1051">
        <v>50</v>
      </c>
      <c r="J328" s="338" t="s">
        <v>104</v>
      </c>
      <c r="K328" s="216"/>
      <c r="L328" s="216"/>
      <c r="M328" s="216"/>
      <c r="N328" s="216"/>
      <c r="O328" s="216"/>
      <c r="P328" s="216"/>
      <c r="Q328" s="216"/>
      <c r="R328" s="216"/>
      <c r="S328" s="216"/>
      <c r="T328" s="216"/>
      <c r="U328" s="216"/>
      <c r="V328" s="216"/>
      <c r="W328" s="216"/>
      <c r="X328" s="216"/>
      <c r="Y328" s="216"/>
      <c r="Z328" s="216"/>
    </row>
    <row r="329" spans="1:26" ht="15" customHeight="1">
      <c r="A329" s="134" t="s">
        <v>6722</v>
      </c>
      <c r="B329" s="99" t="s">
        <v>105</v>
      </c>
      <c r="C329" s="228" t="s">
        <v>6750</v>
      </c>
      <c r="D329" s="131" t="s">
        <v>6724</v>
      </c>
      <c r="E329" s="142" t="s">
        <v>6326</v>
      </c>
      <c r="F329" s="131" t="s">
        <v>6751</v>
      </c>
      <c r="G329" s="99">
        <v>50</v>
      </c>
      <c r="H329" s="820" t="s">
        <v>6726</v>
      </c>
      <c r="I329" s="1051">
        <v>50</v>
      </c>
      <c r="J329" s="338" t="s">
        <v>104</v>
      </c>
      <c r="K329" s="216"/>
      <c r="L329" s="216"/>
      <c r="M329" s="216"/>
      <c r="N329" s="216"/>
      <c r="O329" s="216"/>
      <c r="P329" s="216"/>
      <c r="Q329" s="216"/>
      <c r="R329" s="216"/>
      <c r="S329" s="216"/>
      <c r="T329" s="216"/>
      <c r="U329" s="216"/>
      <c r="V329" s="216"/>
      <c r="W329" s="216"/>
      <c r="X329" s="216"/>
      <c r="Y329" s="216"/>
      <c r="Z329" s="216"/>
    </row>
    <row r="330" spans="1:26" ht="15" customHeight="1">
      <c r="A330" s="134" t="s">
        <v>6722</v>
      </c>
      <c r="B330" s="99" t="s">
        <v>105</v>
      </c>
      <c r="C330" s="228" t="s">
        <v>6752</v>
      </c>
      <c r="D330" s="131" t="s">
        <v>6724</v>
      </c>
      <c r="E330" s="142" t="s">
        <v>6326</v>
      </c>
      <c r="F330" s="138" t="s">
        <v>6753</v>
      </c>
      <c r="G330" s="99">
        <v>50</v>
      </c>
      <c r="H330" s="820" t="s">
        <v>6726</v>
      </c>
      <c r="I330" s="1051">
        <v>50</v>
      </c>
      <c r="J330" s="338" t="s">
        <v>104</v>
      </c>
      <c r="K330" s="216"/>
      <c r="L330" s="216"/>
      <c r="M330" s="216"/>
      <c r="N330" s="216"/>
      <c r="O330" s="216"/>
      <c r="P330" s="216"/>
      <c r="Q330" s="216"/>
      <c r="R330" s="216"/>
      <c r="S330" s="216"/>
      <c r="T330" s="216"/>
      <c r="U330" s="216"/>
      <c r="V330" s="216"/>
      <c r="W330" s="216"/>
      <c r="X330" s="216"/>
      <c r="Y330" s="216"/>
      <c r="Z330" s="216"/>
    </row>
    <row r="331" spans="1:26" ht="15" customHeight="1">
      <c r="A331" s="134" t="s">
        <v>6722</v>
      </c>
      <c r="B331" s="99" t="s">
        <v>105</v>
      </c>
      <c r="C331" s="99" t="s">
        <v>456</v>
      </c>
      <c r="D331" s="133" t="s">
        <v>6724</v>
      </c>
      <c r="E331" s="130" t="s">
        <v>6754</v>
      </c>
      <c r="F331" s="99" t="s">
        <v>6755</v>
      </c>
      <c r="G331" s="99">
        <v>300</v>
      </c>
      <c r="H331" s="495" t="s">
        <v>6756</v>
      </c>
      <c r="I331" s="1051">
        <v>300</v>
      </c>
      <c r="J331" s="338" t="s">
        <v>104</v>
      </c>
      <c r="K331" s="216"/>
      <c r="L331" s="216"/>
      <c r="M331" s="216"/>
      <c r="N331" s="216"/>
      <c r="O331" s="216"/>
      <c r="P331" s="216"/>
      <c r="Q331" s="216"/>
      <c r="R331" s="216"/>
      <c r="S331" s="216"/>
      <c r="T331" s="216"/>
      <c r="U331" s="216"/>
      <c r="V331" s="216"/>
      <c r="W331" s="216"/>
      <c r="X331" s="216"/>
      <c r="Y331" s="216"/>
      <c r="Z331" s="216"/>
    </row>
    <row r="332" spans="1:26" ht="15" customHeight="1">
      <c r="A332" s="134" t="s">
        <v>6722</v>
      </c>
      <c r="B332" s="99" t="s">
        <v>105</v>
      </c>
      <c r="C332" s="99" t="s">
        <v>6757</v>
      </c>
      <c r="D332" s="133" t="s">
        <v>6724</v>
      </c>
      <c r="E332" s="130" t="s">
        <v>6316</v>
      </c>
      <c r="F332" s="133" t="s">
        <v>6758</v>
      </c>
      <c r="G332" s="99">
        <v>50</v>
      </c>
      <c r="H332" s="820" t="s">
        <v>6726</v>
      </c>
      <c r="I332" s="1051">
        <v>50</v>
      </c>
      <c r="J332" s="338" t="s">
        <v>104</v>
      </c>
      <c r="K332" s="216"/>
      <c r="L332" s="216"/>
      <c r="M332" s="216"/>
      <c r="N332" s="216"/>
      <c r="O332" s="216"/>
      <c r="P332" s="216"/>
      <c r="Q332" s="216"/>
      <c r="R332" s="216"/>
      <c r="S332" s="216"/>
      <c r="T332" s="216"/>
      <c r="U332" s="216"/>
      <c r="V332" s="216"/>
      <c r="W332" s="216"/>
      <c r="X332" s="216"/>
      <c r="Y332" s="216"/>
      <c r="Z332" s="216"/>
    </row>
    <row r="333" spans="1:26" ht="15" customHeight="1">
      <c r="A333" s="134" t="s">
        <v>6722</v>
      </c>
      <c r="B333" s="99" t="s">
        <v>105</v>
      </c>
      <c r="C333" s="99" t="s">
        <v>6759</v>
      </c>
      <c r="D333" s="133" t="s">
        <v>6724</v>
      </c>
      <c r="E333" s="130" t="s">
        <v>6316</v>
      </c>
      <c r="F333" s="133" t="s">
        <v>6760</v>
      </c>
      <c r="G333" s="99">
        <v>50</v>
      </c>
      <c r="H333" s="820" t="s">
        <v>6726</v>
      </c>
      <c r="I333" s="1051">
        <v>50</v>
      </c>
      <c r="J333" s="338" t="s">
        <v>104</v>
      </c>
      <c r="K333" s="216"/>
      <c r="L333" s="216"/>
      <c r="M333" s="216"/>
      <c r="N333" s="216"/>
      <c r="O333" s="216"/>
      <c r="P333" s="216"/>
      <c r="Q333" s="216"/>
      <c r="R333" s="216"/>
      <c r="S333" s="216"/>
      <c r="T333" s="216"/>
      <c r="U333" s="216"/>
      <c r="V333" s="216"/>
      <c r="W333" s="216"/>
      <c r="X333" s="216"/>
      <c r="Y333" s="216"/>
      <c r="Z333" s="216"/>
    </row>
    <row r="334" spans="1:26" ht="15" customHeight="1">
      <c r="A334" s="134" t="s">
        <v>6722</v>
      </c>
      <c r="B334" s="99" t="s">
        <v>105</v>
      </c>
      <c r="C334" s="228" t="s">
        <v>6761</v>
      </c>
      <c r="D334" s="138" t="s">
        <v>6724</v>
      </c>
      <c r="E334" s="130" t="s">
        <v>6762</v>
      </c>
      <c r="F334" s="138" t="s">
        <v>6763</v>
      </c>
      <c r="G334" s="99">
        <v>50</v>
      </c>
      <c r="H334" s="820" t="s">
        <v>6726</v>
      </c>
      <c r="I334" s="1051">
        <v>50</v>
      </c>
      <c r="J334" s="338" t="s">
        <v>104</v>
      </c>
      <c r="K334" s="216"/>
      <c r="L334" s="216"/>
      <c r="M334" s="216"/>
      <c r="N334" s="216"/>
      <c r="O334" s="216"/>
      <c r="P334" s="216"/>
      <c r="Q334" s="216"/>
      <c r="R334" s="216"/>
      <c r="S334" s="216"/>
      <c r="T334" s="216"/>
      <c r="U334" s="216"/>
      <c r="V334" s="216"/>
      <c r="W334" s="216"/>
      <c r="X334" s="216"/>
      <c r="Y334" s="216"/>
      <c r="Z334" s="216"/>
    </row>
    <row r="335" spans="1:26" ht="15" customHeight="1">
      <c r="A335" s="134" t="s">
        <v>6722</v>
      </c>
      <c r="B335" s="99" t="s">
        <v>968</v>
      </c>
      <c r="C335" s="99" t="s">
        <v>6764</v>
      </c>
      <c r="D335" s="133" t="s">
        <v>6724</v>
      </c>
      <c r="E335" s="130" t="s">
        <v>6765</v>
      </c>
      <c r="F335" s="138" t="s">
        <v>6766</v>
      </c>
      <c r="G335" s="99">
        <v>50</v>
      </c>
      <c r="H335" s="820" t="s">
        <v>6726</v>
      </c>
      <c r="I335" s="1051">
        <v>50</v>
      </c>
      <c r="J335" s="338" t="s">
        <v>104</v>
      </c>
      <c r="K335" s="216"/>
      <c r="L335" s="216"/>
      <c r="M335" s="216"/>
      <c r="N335" s="216"/>
      <c r="O335" s="216"/>
      <c r="P335" s="216"/>
      <c r="Q335" s="216"/>
      <c r="R335" s="216"/>
      <c r="S335" s="216"/>
      <c r="T335" s="216"/>
      <c r="U335" s="216"/>
      <c r="V335" s="216"/>
      <c r="W335" s="216"/>
      <c r="X335" s="216"/>
      <c r="Y335" s="216"/>
      <c r="Z335" s="216"/>
    </row>
    <row r="336" spans="1:26" ht="15" customHeight="1">
      <c r="A336" s="134" t="s">
        <v>6722</v>
      </c>
      <c r="B336" s="99" t="s">
        <v>105</v>
      </c>
      <c r="C336" s="228" t="s">
        <v>6767</v>
      </c>
      <c r="D336" s="138" t="s">
        <v>6724</v>
      </c>
      <c r="E336" s="130" t="s">
        <v>6312</v>
      </c>
      <c r="F336" s="138" t="s">
        <v>6768</v>
      </c>
      <c r="G336" s="99">
        <v>50</v>
      </c>
      <c r="H336" s="820" t="s">
        <v>6726</v>
      </c>
      <c r="I336" s="1051">
        <v>50</v>
      </c>
      <c r="J336" s="338" t="s">
        <v>104</v>
      </c>
      <c r="K336" s="216"/>
      <c r="L336" s="216"/>
      <c r="M336" s="216"/>
      <c r="N336" s="216"/>
      <c r="O336" s="216"/>
      <c r="P336" s="216"/>
      <c r="Q336" s="216"/>
      <c r="R336" s="216"/>
      <c r="S336" s="216"/>
      <c r="T336" s="216"/>
      <c r="U336" s="216"/>
      <c r="V336" s="216"/>
      <c r="W336" s="216"/>
      <c r="X336" s="216"/>
      <c r="Y336" s="216"/>
      <c r="Z336" s="216"/>
    </row>
    <row r="337" spans="1:26" ht="15" customHeight="1">
      <c r="A337" s="134" t="s">
        <v>6722</v>
      </c>
      <c r="B337" s="99" t="s">
        <v>105</v>
      </c>
      <c r="C337" s="228" t="s">
        <v>6769</v>
      </c>
      <c r="D337" s="133" t="s">
        <v>6724</v>
      </c>
      <c r="E337" s="130" t="s">
        <v>6770</v>
      </c>
      <c r="F337" s="133" t="s">
        <v>6771</v>
      </c>
      <c r="G337" s="99">
        <v>50</v>
      </c>
      <c r="H337" s="820" t="s">
        <v>6726</v>
      </c>
      <c r="I337" s="1051">
        <v>50</v>
      </c>
      <c r="J337" s="338" t="s">
        <v>104</v>
      </c>
      <c r="K337" s="216"/>
      <c r="L337" s="216"/>
      <c r="M337" s="216"/>
      <c r="N337" s="216"/>
      <c r="O337" s="216"/>
      <c r="P337" s="216"/>
      <c r="Q337" s="216"/>
      <c r="R337" s="216"/>
      <c r="S337" s="216"/>
      <c r="T337" s="216"/>
      <c r="U337" s="216"/>
      <c r="V337" s="216"/>
      <c r="W337" s="216"/>
      <c r="X337" s="216"/>
      <c r="Y337" s="216"/>
      <c r="Z337" s="216"/>
    </row>
    <row r="338" spans="1:26" ht="15" customHeight="1">
      <c r="A338" s="99" t="s">
        <v>132</v>
      </c>
      <c r="B338" s="99" t="s">
        <v>105</v>
      </c>
      <c r="C338" s="99" t="s">
        <v>6772</v>
      </c>
      <c r="D338" s="99" t="s">
        <v>6724</v>
      </c>
      <c r="E338" s="465" t="s">
        <v>6352</v>
      </c>
      <c r="F338" s="718" t="s">
        <v>6773</v>
      </c>
      <c r="G338" s="99">
        <f t="shared" ref="G338:G343" si="12">10*5</f>
        <v>50</v>
      </c>
      <c r="H338" s="1052" t="s">
        <v>6726</v>
      </c>
      <c r="I338" s="119">
        <f t="shared" ref="I338:I343" si="13">G338</f>
        <v>50</v>
      </c>
      <c r="J338" s="338" t="s">
        <v>132</v>
      </c>
      <c r="K338" s="216"/>
      <c r="L338" s="216"/>
      <c r="M338" s="216"/>
      <c r="N338" s="216"/>
      <c r="O338" s="216"/>
      <c r="P338" s="216"/>
      <c r="Q338" s="216"/>
      <c r="R338" s="216"/>
      <c r="S338" s="216"/>
      <c r="T338" s="216"/>
      <c r="U338" s="216"/>
      <c r="V338" s="216"/>
      <c r="W338" s="216"/>
      <c r="X338" s="216"/>
      <c r="Y338" s="216"/>
      <c r="Z338" s="216"/>
    </row>
    <row r="339" spans="1:26" ht="15" customHeight="1">
      <c r="A339" s="99" t="s">
        <v>132</v>
      </c>
      <c r="B339" s="99" t="s">
        <v>105</v>
      </c>
      <c r="C339" s="99" t="s">
        <v>6774</v>
      </c>
      <c r="D339" s="99" t="s">
        <v>6724</v>
      </c>
      <c r="E339" s="380" t="s">
        <v>6775</v>
      </c>
      <c r="F339" s="718" t="s">
        <v>6776</v>
      </c>
      <c r="G339" s="99">
        <f t="shared" si="12"/>
        <v>50</v>
      </c>
      <c r="H339" s="1052" t="s">
        <v>6726</v>
      </c>
      <c r="I339" s="119">
        <f t="shared" si="13"/>
        <v>50</v>
      </c>
      <c r="J339" s="338" t="s">
        <v>132</v>
      </c>
      <c r="K339" s="216"/>
      <c r="L339" s="216"/>
      <c r="M339" s="216"/>
      <c r="N339" s="216"/>
      <c r="O339" s="216"/>
      <c r="P339" s="216"/>
      <c r="Q339" s="216"/>
      <c r="R339" s="216"/>
      <c r="S339" s="216"/>
      <c r="T339" s="216"/>
      <c r="U339" s="216"/>
      <c r="V339" s="216"/>
      <c r="W339" s="216"/>
      <c r="X339" s="216"/>
      <c r="Y339" s="216"/>
      <c r="Z339" s="216"/>
    </row>
    <row r="340" spans="1:26" ht="15" customHeight="1">
      <c r="A340" s="99" t="s">
        <v>132</v>
      </c>
      <c r="B340" s="99" t="s">
        <v>105</v>
      </c>
      <c r="C340" s="99" t="s">
        <v>6777</v>
      </c>
      <c r="D340" s="99" t="s">
        <v>6724</v>
      </c>
      <c r="E340" s="465" t="s">
        <v>6316</v>
      </c>
      <c r="F340" s="718" t="s">
        <v>6778</v>
      </c>
      <c r="G340" s="99">
        <f t="shared" si="12"/>
        <v>50</v>
      </c>
      <c r="H340" s="1052" t="s">
        <v>6726</v>
      </c>
      <c r="I340" s="119">
        <f t="shared" si="13"/>
        <v>50</v>
      </c>
      <c r="J340" s="338" t="s">
        <v>132</v>
      </c>
      <c r="K340" s="216"/>
      <c r="L340" s="216"/>
      <c r="M340" s="216"/>
      <c r="N340" s="216"/>
      <c r="O340" s="216"/>
      <c r="P340" s="216"/>
      <c r="Q340" s="216"/>
      <c r="R340" s="216"/>
      <c r="S340" s="216"/>
      <c r="T340" s="216"/>
      <c r="U340" s="216"/>
      <c r="V340" s="216"/>
      <c r="W340" s="216"/>
      <c r="X340" s="216"/>
      <c r="Y340" s="216"/>
      <c r="Z340" s="216"/>
    </row>
    <row r="341" spans="1:26" ht="15" customHeight="1">
      <c r="A341" s="99" t="s">
        <v>132</v>
      </c>
      <c r="B341" s="99" t="s">
        <v>105</v>
      </c>
      <c r="C341" s="99" t="s">
        <v>6779</v>
      </c>
      <c r="D341" s="99" t="s">
        <v>6724</v>
      </c>
      <c r="E341" s="465" t="s">
        <v>6780</v>
      </c>
      <c r="F341" s="718" t="s">
        <v>6781</v>
      </c>
      <c r="G341" s="99">
        <f t="shared" si="12"/>
        <v>50</v>
      </c>
      <c r="H341" s="1052" t="s">
        <v>6726</v>
      </c>
      <c r="I341" s="119">
        <f t="shared" si="13"/>
        <v>50</v>
      </c>
      <c r="J341" s="338" t="s">
        <v>132</v>
      </c>
      <c r="K341" s="216"/>
      <c r="L341" s="216"/>
      <c r="M341" s="216"/>
      <c r="N341" s="216"/>
      <c r="O341" s="216"/>
      <c r="P341" s="216"/>
      <c r="Q341" s="216"/>
      <c r="R341" s="216"/>
      <c r="S341" s="216"/>
      <c r="T341" s="216"/>
      <c r="U341" s="216"/>
      <c r="V341" s="216"/>
      <c r="W341" s="216"/>
      <c r="X341" s="216"/>
      <c r="Y341" s="216"/>
      <c r="Z341" s="216"/>
    </row>
    <row r="342" spans="1:26" ht="15" customHeight="1">
      <c r="A342" s="99" t="s">
        <v>132</v>
      </c>
      <c r="B342" s="99" t="s">
        <v>105</v>
      </c>
      <c r="C342" s="99" t="s">
        <v>6782</v>
      </c>
      <c r="D342" s="99" t="s">
        <v>6724</v>
      </c>
      <c r="E342" s="465" t="s">
        <v>6352</v>
      </c>
      <c r="F342" s="718" t="s">
        <v>6783</v>
      </c>
      <c r="G342" s="99">
        <f t="shared" si="12"/>
        <v>50</v>
      </c>
      <c r="H342" s="1052" t="s">
        <v>6726</v>
      </c>
      <c r="I342" s="119">
        <f t="shared" si="13"/>
        <v>50</v>
      </c>
      <c r="J342" s="338" t="s">
        <v>132</v>
      </c>
      <c r="K342" s="216"/>
      <c r="L342" s="216"/>
      <c r="M342" s="216"/>
      <c r="N342" s="216"/>
      <c r="O342" s="216"/>
      <c r="P342" s="216"/>
      <c r="Q342" s="216"/>
      <c r="R342" s="216"/>
      <c r="S342" s="216"/>
      <c r="T342" s="216"/>
      <c r="U342" s="216"/>
      <c r="V342" s="216"/>
      <c r="W342" s="216"/>
      <c r="X342" s="216"/>
      <c r="Y342" s="216"/>
      <c r="Z342" s="216"/>
    </row>
    <row r="343" spans="1:26" ht="15" customHeight="1">
      <c r="A343" s="99" t="s">
        <v>132</v>
      </c>
      <c r="B343" s="99" t="s">
        <v>105</v>
      </c>
      <c r="C343" s="99" t="s">
        <v>6784</v>
      </c>
      <c r="D343" s="99" t="s">
        <v>6724</v>
      </c>
      <c r="E343" s="465" t="s">
        <v>6785</v>
      </c>
      <c r="F343" s="718" t="s">
        <v>6786</v>
      </c>
      <c r="G343" s="99">
        <f t="shared" si="12"/>
        <v>50</v>
      </c>
      <c r="H343" s="1052" t="s">
        <v>6726</v>
      </c>
      <c r="I343" s="119">
        <f t="shared" si="13"/>
        <v>50</v>
      </c>
      <c r="J343" s="338" t="s">
        <v>132</v>
      </c>
      <c r="K343" s="216"/>
      <c r="L343" s="216"/>
      <c r="M343" s="216"/>
      <c r="N343" s="216"/>
      <c r="O343" s="216"/>
      <c r="P343" s="216"/>
      <c r="Q343" s="216"/>
      <c r="R343" s="216"/>
      <c r="S343" s="216"/>
      <c r="T343" s="216"/>
      <c r="U343" s="216"/>
      <c r="V343" s="216"/>
      <c r="W343" s="216"/>
      <c r="X343" s="216"/>
      <c r="Y343" s="216"/>
      <c r="Z343" s="216"/>
    </row>
    <row r="344" spans="1:26" ht="15" customHeight="1">
      <c r="A344" s="134" t="s">
        <v>118</v>
      </c>
      <c r="B344" s="99" t="s">
        <v>6787</v>
      </c>
      <c r="C344" s="133" t="s">
        <v>6788</v>
      </c>
      <c r="D344" s="133" t="s">
        <v>6789</v>
      </c>
      <c r="E344" s="130" t="s">
        <v>6790</v>
      </c>
      <c r="F344" s="99" t="s">
        <v>6791</v>
      </c>
      <c r="G344" s="775">
        <v>75</v>
      </c>
      <c r="H344" s="495" t="s">
        <v>6792</v>
      </c>
      <c r="I344" s="379">
        <v>75</v>
      </c>
      <c r="J344" s="338" t="s">
        <v>118</v>
      </c>
      <c r="K344" s="216"/>
      <c r="L344" s="216"/>
      <c r="M344" s="216"/>
      <c r="N344" s="216"/>
      <c r="O344" s="216"/>
      <c r="P344" s="216"/>
      <c r="Q344" s="216"/>
      <c r="R344" s="216"/>
      <c r="S344" s="216"/>
      <c r="T344" s="216"/>
      <c r="U344" s="216"/>
      <c r="V344" s="216"/>
      <c r="W344" s="216"/>
      <c r="X344" s="216"/>
      <c r="Y344" s="216"/>
      <c r="Z344" s="216"/>
    </row>
    <row r="345" spans="1:26" ht="15" customHeight="1">
      <c r="A345" s="134" t="s">
        <v>118</v>
      </c>
      <c r="B345" s="99" t="s">
        <v>105</v>
      </c>
      <c r="C345" s="133" t="s">
        <v>1111</v>
      </c>
      <c r="D345" s="131" t="s">
        <v>1821</v>
      </c>
      <c r="E345" s="264" t="s">
        <v>6793</v>
      </c>
      <c r="F345" s="92" t="s">
        <v>6469</v>
      </c>
      <c r="G345" s="821">
        <v>50</v>
      </c>
      <c r="H345" s="820" t="s">
        <v>6794</v>
      </c>
      <c r="I345" s="1053">
        <v>50</v>
      </c>
      <c r="J345" s="338" t="s">
        <v>118</v>
      </c>
      <c r="K345" s="216"/>
      <c r="L345" s="216"/>
      <c r="M345" s="216"/>
      <c r="N345" s="216"/>
      <c r="O345" s="216"/>
      <c r="P345" s="216"/>
      <c r="Q345" s="216"/>
      <c r="R345" s="216"/>
      <c r="S345" s="216"/>
      <c r="T345" s="216"/>
      <c r="U345" s="216"/>
      <c r="V345" s="216"/>
      <c r="W345" s="216"/>
      <c r="X345" s="216"/>
      <c r="Y345" s="216"/>
      <c r="Z345" s="216"/>
    </row>
    <row r="346" spans="1:26" ht="15" customHeight="1">
      <c r="A346" s="134" t="s">
        <v>118</v>
      </c>
      <c r="B346" s="99" t="s">
        <v>105</v>
      </c>
      <c r="C346" s="133" t="s">
        <v>1111</v>
      </c>
      <c r="D346" s="133" t="s">
        <v>1821</v>
      </c>
      <c r="E346" s="130" t="s">
        <v>6793</v>
      </c>
      <c r="F346" s="99" t="s">
        <v>6698</v>
      </c>
      <c r="G346" s="1054">
        <v>50</v>
      </c>
      <c r="H346" s="768" t="s">
        <v>6794</v>
      </c>
      <c r="I346" s="767">
        <v>50</v>
      </c>
      <c r="J346" s="338" t="s">
        <v>118</v>
      </c>
      <c r="K346" s="216"/>
      <c r="L346" s="216"/>
      <c r="M346" s="216"/>
      <c r="N346" s="216"/>
      <c r="O346" s="216"/>
      <c r="P346" s="216"/>
      <c r="Q346" s="216"/>
      <c r="R346" s="216"/>
      <c r="S346" s="216"/>
      <c r="T346" s="216"/>
      <c r="U346" s="216"/>
      <c r="V346" s="216"/>
      <c r="W346" s="216"/>
      <c r="X346" s="216"/>
      <c r="Y346" s="216"/>
      <c r="Z346" s="216"/>
    </row>
    <row r="347" spans="1:26" ht="15" customHeight="1">
      <c r="A347" s="134" t="s">
        <v>118</v>
      </c>
      <c r="B347" s="99" t="s">
        <v>105</v>
      </c>
      <c r="C347" s="133" t="s">
        <v>1111</v>
      </c>
      <c r="D347" s="133" t="s">
        <v>1821</v>
      </c>
      <c r="E347" s="130" t="s">
        <v>6793</v>
      </c>
      <c r="F347" s="99" t="s">
        <v>6795</v>
      </c>
      <c r="G347" s="1054">
        <v>50</v>
      </c>
      <c r="H347" s="768" t="s">
        <v>6794</v>
      </c>
      <c r="I347" s="767">
        <v>50</v>
      </c>
      <c r="J347" s="338" t="s">
        <v>118</v>
      </c>
      <c r="K347" s="216"/>
      <c r="L347" s="216"/>
      <c r="M347" s="216"/>
      <c r="N347" s="216"/>
      <c r="O347" s="216"/>
      <c r="P347" s="216"/>
      <c r="Q347" s="216"/>
      <c r="R347" s="216"/>
      <c r="S347" s="216"/>
      <c r="T347" s="216"/>
      <c r="U347" s="216"/>
      <c r="V347" s="216"/>
      <c r="W347" s="216"/>
      <c r="X347" s="216"/>
      <c r="Y347" s="216"/>
      <c r="Z347" s="216"/>
    </row>
    <row r="348" spans="1:26" ht="15" customHeight="1">
      <c r="A348" s="99" t="s">
        <v>6796</v>
      </c>
      <c r="B348" s="99" t="s">
        <v>105</v>
      </c>
      <c r="C348" s="99" t="s">
        <v>6797</v>
      </c>
      <c r="D348" s="99" t="s">
        <v>6798</v>
      </c>
      <c r="E348" s="465"/>
      <c r="F348" s="99" t="s">
        <v>6799</v>
      </c>
      <c r="G348" s="99">
        <v>50</v>
      </c>
      <c r="H348" s="579"/>
      <c r="I348" s="99">
        <v>50</v>
      </c>
      <c r="J348" s="338" t="s">
        <v>126</v>
      </c>
      <c r="K348" s="216"/>
      <c r="L348" s="216"/>
      <c r="M348" s="216"/>
      <c r="N348" s="216"/>
      <c r="O348" s="216"/>
      <c r="P348" s="216"/>
      <c r="Q348" s="216"/>
      <c r="R348" s="216"/>
      <c r="S348" s="216"/>
      <c r="T348" s="216"/>
      <c r="U348" s="216"/>
      <c r="V348" s="216"/>
      <c r="W348" s="216"/>
      <c r="X348" s="216"/>
      <c r="Y348" s="216"/>
      <c r="Z348" s="216"/>
    </row>
    <row r="349" spans="1:26" ht="15" customHeight="1">
      <c r="A349" s="99" t="s">
        <v>6796</v>
      </c>
      <c r="B349" s="99" t="s">
        <v>105</v>
      </c>
      <c r="C349" s="99" t="s">
        <v>6800</v>
      </c>
      <c r="D349" s="99" t="s">
        <v>6798</v>
      </c>
      <c r="E349" s="465"/>
      <c r="F349" s="99" t="s">
        <v>6801</v>
      </c>
      <c r="G349" s="99">
        <v>50</v>
      </c>
      <c r="H349" s="579"/>
      <c r="I349" s="99">
        <v>50</v>
      </c>
      <c r="J349" s="338" t="s">
        <v>126</v>
      </c>
      <c r="K349" s="216"/>
      <c r="L349" s="216"/>
      <c r="M349" s="216"/>
      <c r="N349" s="216"/>
      <c r="O349" s="216"/>
      <c r="P349" s="216"/>
      <c r="Q349" s="216"/>
      <c r="R349" s="216"/>
      <c r="S349" s="216"/>
      <c r="T349" s="216"/>
      <c r="U349" s="216"/>
      <c r="V349" s="216"/>
      <c r="W349" s="216"/>
      <c r="X349" s="216"/>
      <c r="Y349" s="216"/>
      <c r="Z349" s="216"/>
    </row>
    <row r="350" spans="1:26" ht="15" customHeight="1">
      <c r="A350" s="99" t="s">
        <v>6796</v>
      </c>
      <c r="B350" s="99" t="s">
        <v>105</v>
      </c>
      <c r="C350" s="99" t="s">
        <v>6802</v>
      </c>
      <c r="D350" s="99" t="s">
        <v>6798</v>
      </c>
      <c r="E350" s="465"/>
      <c r="F350" s="99" t="s">
        <v>6803</v>
      </c>
      <c r="G350" s="99">
        <v>50</v>
      </c>
      <c r="H350" s="579"/>
      <c r="I350" s="99">
        <v>50</v>
      </c>
      <c r="J350" s="338" t="s">
        <v>126</v>
      </c>
      <c r="K350" s="216"/>
      <c r="L350" s="216"/>
      <c r="M350" s="216"/>
      <c r="N350" s="216"/>
      <c r="O350" s="216"/>
      <c r="P350" s="216"/>
      <c r="Q350" s="216"/>
      <c r="R350" s="216"/>
      <c r="S350" s="216"/>
      <c r="T350" s="216"/>
      <c r="U350" s="216"/>
      <c r="V350" s="216"/>
      <c r="W350" s="216"/>
      <c r="X350" s="216"/>
      <c r="Y350" s="216"/>
      <c r="Z350" s="216"/>
    </row>
    <row r="351" spans="1:26" ht="15" customHeight="1">
      <c r="A351" s="99" t="s">
        <v>6796</v>
      </c>
      <c r="B351" s="99" t="s">
        <v>105</v>
      </c>
      <c r="C351" s="99" t="s">
        <v>6804</v>
      </c>
      <c r="D351" s="99" t="s">
        <v>6798</v>
      </c>
      <c r="E351" s="465"/>
      <c r="F351" s="99" t="s">
        <v>6805</v>
      </c>
      <c r="G351" s="99">
        <v>50</v>
      </c>
      <c r="H351" s="579"/>
      <c r="I351" s="99">
        <v>50</v>
      </c>
      <c r="J351" s="338" t="s">
        <v>126</v>
      </c>
      <c r="K351" s="216"/>
      <c r="L351" s="216"/>
      <c r="M351" s="216"/>
      <c r="N351" s="216"/>
      <c r="O351" s="216"/>
      <c r="P351" s="216"/>
      <c r="Q351" s="216"/>
      <c r="R351" s="216"/>
      <c r="S351" s="216"/>
      <c r="T351" s="216"/>
      <c r="U351" s="216"/>
      <c r="V351" s="216"/>
      <c r="W351" s="216"/>
      <c r="X351" s="216"/>
      <c r="Y351" s="216"/>
      <c r="Z351" s="216"/>
    </row>
    <row r="352" spans="1:26" ht="15" customHeight="1">
      <c r="A352" s="99" t="s">
        <v>6796</v>
      </c>
      <c r="B352" s="99" t="s">
        <v>105</v>
      </c>
      <c r="C352" s="99" t="s">
        <v>6806</v>
      </c>
      <c r="D352" s="99" t="s">
        <v>6798</v>
      </c>
      <c r="E352" s="465"/>
      <c r="F352" s="99" t="s">
        <v>6666</v>
      </c>
      <c r="G352" s="99">
        <v>50</v>
      </c>
      <c r="H352" s="579"/>
      <c r="I352" s="99">
        <v>50</v>
      </c>
      <c r="J352" s="338" t="s">
        <v>126</v>
      </c>
      <c r="K352" s="216"/>
      <c r="L352" s="216"/>
      <c r="M352" s="216"/>
      <c r="N352" s="216"/>
      <c r="O352" s="216"/>
      <c r="P352" s="216"/>
      <c r="Q352" s="216"/>
      <c r="R352" s="216"/>
      <c r="S352" s="216"/>
      <c r="T352" s="216"/>
      <c r="U352" s="216"/>
      <c r="V352" s="216"/>
      <c r="W352" s="216"/>
      <c r="X352" s="216"/>
      <c r="Y352" s="216"/>
      <c r="Z352" s="216"/>
    </row>
    <row r="353" spans="1:26" ht="15" customHeight="1">
      <c r="A353" s="99" t="s">
        <v>6796</v>
      </c>
      <c r="B353" s="99" t="s">
        <v>105</v>
      </c>
      <c r="C353" s="99" t="s">
        <v>6807</v>
      </c>
      <c r="D353" s="99" t="s">
        <v>6798</v>
      </c>
      <c r="E353" s="465"/>
      <c r="F353" s="99" t="s">
        <v>6808</v>
      </c>
      <c r="G353" s="99">
        <v>50</v>
      </c>
      <c r="H353" s="579"/>
      <c r="I353" s="99">
        <v>50</v>
      </c>
      <c r="J353" s="338" t="s">
        <v>126</v>
      </c>
      <c r="K353" s="216"/>
      <c r="L353" s="216"/>
      <c r="M353" s="216"/>
      <c r="N353" s="216"/>
      <c r="O353" s="216"/>
      <c r="P353" s="216"/>
      <c r="Q353" s="216"/>
      <c r="R353" s="216"/>
      <c r="S353" s="216"/>
      <c r="T353" s="216"/>
      <c r="U353" s="216"/>
      <c r="V353" s="216"/>
      <c r="W353" s="216"/>
      <c r="X353" s="216"/>
      <c r="Y353" s="216"/>
      <c r="Z353" s="216"/>
    </row>
    <row r="354" spans="1:26" ht="15" customHeight="1">
      <c r="A354" s="99" t="s">
        <v>6796</v>
      </c>
      <c r="B354" s="99" t="s">
        <v>105</v>
      </c>
      <c r="C354" s="99" t="s">
        <v>6809</v>
      </c>
      <c r="D354" s="99" t="s">
        <v>6798</v>
      </c>
      <c r="E354" s="465"/>
      <c r="F354" s="99" t="s">
        <v>6810</v>
      </c>
      <c r="G354" s="99">
        <v>50</v>
      </c>
      <c r="H354" s="579"/>
      <c r="I354" s="99">
        <v>50</v>
      </c>
      <c r="J354" s="338" t="s">
        <v>126</v>
      </c>
      <c r="K354" s="216"/>
      <c r="L354" s="216"/>
      <c r="M354" s="216"/>
      <c r="N354" s="216"/>
      <c r="O354" s="216"/>
      <c r="P354" s="216"/>
      <c r="Q354" s="216"/>
      <c r="R354" s="216"/>
      <c r="S354" s="216"/>
      <c r="T354" s="216"/>
      <c r="U354" s="216"/>
      <c r="V354" s="216"/>
      <c r="W354" s="216"/>
      <c r="X354" s="216"/>
      <c r="Y354" s="216"/>
      <c r="Z354" s="216"/>
    </row>
    <row r="355" spans="1:26" ht="15" customHeight="1">
      <c r="A355" s="99" t="s">
        <v>6796</v>
      </c>
      <c r="B355" s="99" t="s">
        <v>105</v>
      </c>
      <c r="C355" s="99" t="s">
        <v>6811</v>
      </c>
      <c r="D355" s="99" t="s">
        <v>6798</v>
      </c>
      <c r="E355" s="465"/>
      <c r="F355" s="99" t="s">
        <v>6812</v>
      </c>
      <c r="G355" s="99">
        <v>50</v>
      </c>
      <c r="H355" s="579"/>
      <c r="I355" s="99">
        <v>50</v>
      </c>
      <c r="J355" s="338" t="s">
        <v>126</v>
      </c>
      <c r="K355" s="216"/>
      <c r="L355" s="216"/>
      <c r="M355" s="216"/>
      <c r="N355" s="216"/>
      <c r="O355" s="216"/>
      <c r="P355" s="216"/>
      <c r="Q355" s="216"/>
      <c r="R355" s="216"/>
      <c r="S355" s="216"/>
      <c r="T355" s="216"/>
      <c r="U355" s="216"/>
      <c r="V355" s="216"/>
      <c r="W355" s="216"/>
      <c r="X355" s="216"/>
      <c r="Y355" s="216"/>
      <c r="Z355" s="216"/>
    </row>
    <row r="356" spans="1:26" ht="15" customHeight="1">
      <c r="A356" s="99" t="s">
        <v>6796</v>
      </c>
      <c r="B356" s="99" t="s">
        <v>105</v>
      </c>
      <c r="C356" s="99" t="s">
        <v>6813</v>
      </c>
      <c r="D356" s="99" t="s">
        <v>6798</v>
      </c>
      <c r="E356" s="465"/>
      <c r="F356" s="99" t="s">
        <v>6668</v>
      </c>
      <c r="G356" s="99">
        <v>50</v>
      </c>
      <c r="H356" s="579"/>
      <c r="I356" s="99">
        <v>50</v>
      </c>
      <c r="J356" s="338" t="s">
        <v>126</v>
      </c>
      <c r="K356" s="216"/>
      <c r="L356" s="216"/>
      <c r="M356" s="216"/>
      <c r="N356" s="216"/>
      <c r="O356" s="216"/>
      <c r="P356" s="216"/>
      <c r="Q356" s="216"/>
      <c r="R356" s="216"/>
      <c r="S356" s="216"/>
      <c r="T356" s="216"/>
      <c r="U356" s="216"/>
      <c r="V356" s="216"/>
      <c r="W356" s="216"/>
      <c r="X356" s="216"/>
      <c r="Y356" s="216"/>
      <c r="Z356" s="216"/>
    </row>
    <row r="357" spans="1:26" ht="15" customHeight="1">
      <c r="A357" s="99" t="s">
        <v>6796</v>
      </c>
      <c r="B357" s="99" t="s">
        <v>105</v>
      </c>
      <c r="C357" s="99" t="s">
        <v>6814</v>
      </c>
      <c r="D357" s="99" t="s">
        <v>6798</v>
      </c>
      <c r="E357" s="465"/>
      <c r="F357" s="99" t="s">
        <v>6815</v>
      </c>
      <c r="G357" s="99">
        <v>50</v>
      </c>
      <c r="H357" s="579"/>
      <c r="I357" s="99">
        <v>50</v>
      </c>
      <c r="J357" s="338" t="s">
        <v>126</v>
      </c>
      <c r="K357" s="216"/>
      <c r="L357" s="216"/>
      <c r="M357" s="216"/>
      <c r="N357" s="216"/>
      <c r="O357" s="216"/>
      <c r="P357" s="216"/>
      <c r="Q357" s="216"/>
      <c r="R357" s="216"/>
      <c r="S357" s="216"/>
      <c r="T357" s="216"/>
      <c r="U357" s="216"/>
      <c r="V357" s="216"/>
      <c r="W357" s="216"/>
      <c r="X357" s="216"/>
      <c r="Y357" s="216"/>
      <c r="Z357" s="216"/>
    </row>
    <row r="358" spans="1:26" ht="15" customHeight="1">
      <c r="A358" s="99" t="s">
        <v>6796</v>
      </c>
      <c r="B358" s="99" t="s">
        <v>105</v>
      </c>
      <c r="C358" s="99" t="s">
        <v>6816</v>
      </c>
      <c r="D358" s="99" t="s">
        <v>6798</v>
      </c>
      <c r="E358" s="465"/>
      <c r="F358" s="99" t="s">
        <v>6815</v>
      </c>
      <c r="G358" s="99">
        <v>50</v>
      </c>
      <c r="H358" s="579"/>
      <c r="I358" s="99">
        <v>50</v>
      </c>
      <c r="J358" s="338" t="s">
        <v>126</v>
      </c>
      <c r="K358" s="216"/>
      <c r="L358" s="216"/>
      <c r="M358" s="216"/>
      <c r="N358" s="216"/>
      <c r="O358" s="216"/>
      <c r="P358" s="216"/>
      <c r="Q358" s="216"/>
      <c r="R358" s="216"/>
      <c r="S358" s="216"/>
      <c r="T358" s="216"/>
      <c r="U358" s="216"/>
      <c r="V358" s="216"/>
      <c r="W358" s="216"/>
      <c r="X358" s="216"/>
      <c r="Y358" s="216"/>
      <c r="Z358" s="216"/>
    </row>
    <row r="359" spans="1:26" ht="15" customHeight="1">
      <c r="A359" s="99" t="s">
        <v>6796</v>
      </c>
      <c r="B359" s="99" t="s">
        <v>105</v>
      </c>
      <c r="C359" s="99" t="s">
        <v>6817</v>
      </c>
      <c r="D359" s="99" t="s">
        <v>6798</v>
      </c>
      <c r="E359" s="465"/>
      <c r="F359" s="99" t="s">
        <v>6818</v>
      </c>
      <c r="G359" s="99">
        <v>50</v>
      </c>
      <c r="H359" s="579"/>
      <c r="I359" s="99">
        <v>50</v>
      </c>
      <c r="J359" s="338" t="s">
        <v>126</v>
      </c>
      <c r="K359" s="216"/>
      <c r="L359" s="216"/>
      <c r="M359" s="216"/>
      <c r="N359" s="216"/>
      <c r="O359" s="216"/>
      <c r="P359" s="216"/>
      <c r="Q359" s="216"/>
      <c r="R359" s="216"/>
      <c r="S359" s="216"/>
      <c r="T359" s="216"/>
      <c r="U359" s="216"/>
      <c r="V359" s="216"/>
      <c r="W359" s="216"/>
      <c r="X359" s="216"/>
      <c r="Y359" s="216"/>
      <c r="Z359" s="216"/>
    </row>
    <row r="360" spans="1:26" ht="15" customHeight="1">
      <c r="A360" s="99" t="s">
        <v>6796</v>
      </c>
      <c r="B360" s="99" t="s">
        <v>105</v>
      </c>
      <c r="C360" s="99" t="s">
        <v>6819</v>
      </c>
      <c r="D360" s="99" t="s">
        <v>6798</v>
      </c>
      <c r="E360" s="465"/>
      <c r="F360" s="99" t="s">
        <v>6820</v>
      </c>
      <c r="G360" s="99">
        <v>50</v>
      </c>
      <c r="H360" s="579"/>
      <c r="I360" s="99">
        <v>50</v>
      </c>
      <c r="J360" s="338" t="s">
        <v>126</v>
      </c>
      <c r="K360" s="216"/>
      <c r="L360" s="216"/>
      <c r="M360" s="216"/>
      <c r="N360" s="216"/>
      <c r="O360" s="216"/>
      <c r="P360" s="216"/>
      <c r="Q360" s="216"/>
      <c r="R360" s="216"/>
      <c r="S360" s="216"/>
      <c r="T360" s="216"/>
      <c r="U360" s="216"/>
      <c r="V360" s="216"/>
      <c r="W360" s="216"/>
      <c r="X360" s="216"/>
      <c r="Y360" s="216"/>
      <c r="Z360" s="216"/>
    </row>
    <row r="361" spans="1:26" ht="15" customHeight="1">
      <c r="A361" s="99" t="s">
        <v>6796</v>
      </c>
      <c r="B361" s="99" t="s">
        <v>105</v>
      </c>
      <c r="C361" s="99" t="s">
        <v>6821</v>
      </c>
      <c r="D361" s="99" t="s">
        <v>6798</v>
      </c>
      <c r="E361" s="465"/>
      <c r="F361" s="99" t="s">
        <v>6822</v>
      </c>
      <c r="G361" s="99">
        <v>50</v>
      </c>
      <c r="H361" s="579"/>
      <c r="I361" s="99">
        <v>50</v>
      </c>
      <c r="J361" s="338" t="s">
        <v>126</v>
      </c>
      <c r="K361" s="216"/>
      <c r="L361" s="216"/>
      <c r="M361" s="216"/>
      <c r="N361" s="216"/>
      <c r="O361" s="216"/>
      <c r="P361" s="216"/>
      <c r="Q361" s="216"/>
      <c r="R361" s="216"/>
      <c r="S361" s="216"/>
      <c r="T361" s="216"/>
      <c r="U361" s="216"/>
      <c r="V361" s="216"/>
      <c r="W361" s="216"/>
      <c r="X361" s="216"/>
      <c r="Y361" s="216"/>
      <c r="Z361" s="216"/>
    </row>
    <row r="362" spans="1:26" ht="15" customHeight="1">
      <c r="A362" s="99" t="s">
        <v>6823</v>
      </c>
      <c r="B362" s="99" t="s">
        <v>105</v>
      </c>
      <c r="C362" s="99" t="s">
        <v>6824</v>
      </c>
      <c r="D362" s="99" t="s">
        <v>6825</v>
      </c>
      <c r="E362" s="380" t="s">
        <v>6826</v>
      </c>
      <c r="F362" s="718" t="s">
        <v>6827</v>
      </c>
      <c r="G362" s="99">
        <v>50</v>
      </c>
      <c r="H362" s="1052" t="s">
        <v>6726</v>
      </c>
      <c r="I362" s="119">
        <v>50</v>
      </c>
      <c r="J362" s="338" t="s">
        <v>119</v>
      </c>
      <c r="K362" s="216"/>
      <c r="L362" s="216"/>
      <c r="M362" s="216"/>
      <c r="N362" s="216"/>
      <c r="O362" s="216"/>
      <c r="P362" s="216"/>
      <c r="Q362" s="216"/>
      <c r="R362" s="216"/>
      <c r="S362" s="216"/>
      <c r="T362" s="216"/>
      <c r="U362" s="216"/>
      <c r="V362" s="216"/>
      <c r="W362" s="216"/>
      <c r="X362" s="216"/>
      <c r="Y362" s="216"/>
      <c r="Z362" s="216"/>
    </row>
    <row r="363" spans="1:26" ht="15" customHeight="1">
      <c r="A363" s="99" t="s">
        <v>6823</v>
      </c>
      <c r="B363" s="99" t="s">
        <v>105</v>
      </c>
      <c r="C363" s="139" t="s">
        <v>6828</v>
      </c>
      <c r="D363" s="99" t="s">
        <v>6829</v>
      </c>
      <c r="E363" s="465" t="s">
        <v>6312</v>
      </c>
      <c r="F363" s="99" t="s">
        <v>6830</v>
      </c>
      <c r="G363" s="99">
        <v>50</v>
      </c>
      <c r="H363" s="1052" t="s">
        <v>6726</v>
      </c>
      <c r="I363" s="119">
        <v>50</v>
      </c>
      <c r="J363" s="338" t="s">
        <v>119</v>
      </c>
      <c r="K363" s="216"/>
      <c r="L363" s="216"/>
      <c r="M363" s="216"/>
      <c r="N363" s="216"/>
      <c r="O363" s="216"/>
      <c r="P363" s="216"/>
      <c r="Q363" s="216"/>
      <c r="R363" s="216"/>
      <c r="S363" s="216"/>
      <c r="T363" s="216"/>
      <c r="U363" s="216"/>
      <c r="V363" s="216"/>
      <c r="W363" s="216"/>
      <c r="X363" s="216"/>
      <c r="Y363" s="216"/>
      <c r="Z363" s="216"/>
    </row>
    <row r="364" spans="1:26" ht="15" customHeight="1">
      <c r="A364" s="99" t="s">
        <v>6823</v>
      </c>
      <c r="B364" s="99" t="s">
        <v>105</v>
      </c>
      <c r="C364" s="99" t="s">
        <v>6831</v>
      </c>
      <c r="D364" s="99" t="s">
        <v>6825</v>
      </c>
      <c r="E364" s="380" t="s">
        <v>6826</v>
      </c>
      <c r="F364" s="718" t="s">
        <v>6827</v>
      </c>
      <c r="G364" s="99">
        <v>50</v>
      </c>
      <c r="H364" s="1052" t="s">
        <v>6726</v>
      </c>
      <c r="I364" s="99">
        <v>50</v>
      </c>
      <c r="J364" s="338" t="s">
        <v>119</v>
      </c>
      <c r="K364" s="216"/>
      <c r="L364" s="216"/>
      <c r="M364" s="216"/>
      <c r="N364" s="216"/>
      <c r="O364" s="216"/>
      <c r="P364" s="216"/>
      <c r="Q364" s="216"/>
      <c r="R364" s="216"/>
      <c r="S364" s="216"/>
      <c r="T364" s="216"/>
      <c r="U364" s="216"/>
      <c r="V364" s="216"/>
      <c r="W364" s="216"/>
      <c r="X364" s="216"/>
      <c r="Y364" s="216"/>
      <c r="Z364" s="216"/>
    </row>
    <row r="365" spans="1:26" ht="15" customHeight="1">
      <c r="A365" s="99" t="s">
        <v>6823</v>
      </c>
      <c r="B365" s="99" t="s">
        <v>105</v>
      </c>
      <c r="C365" s="99" t="s">
        <v>6832</v>
      </c>
      <c r="D365" s="99" t="s">
        <v>6833</v>
      </c>
      <c r="E365" s="380" t="s">
        <v>6464</v>
      </c>
      <c r="F365" s="99" t="s">
        <v>6834</v>
      </c>
      <c r="G365" s="99">
        <v>50</v>
      </c>
      <c r="H365" s="1052" t="s">
        <v>6726</v>
      </c>
      <c r="I365" s="99">
        <v>50</v>
      </c>
      <c r="J365" s="338" t="s">
        <v>119</v>
      </c>
      <c r="K365" s="216"/>
      <c r="L365" s="216"/>
      <c r="M365" s="216"/>
      <c r="N365" s="216"/>
      <c r="O365" s="216"/>
      <c r="P365" s="216"/>
      <c r="Q365" s="216"/>
      <c r="R365" s="216"/>
      <c r="S365" s="216"/>
      <c r="T365" s="216"/>
      <c r="U365" s="216"/>
      <c r="V365" s="216"/>
      <c r="W365" s="216"/>
      <c r="X365" s="216"/>
      <c r="Y365" s="216"/>
      <c r="Z365" s="216"/>
    </row>
    <row r="366" spans="1:26" ht="15" customHeight="1">
      <c r="A366" s="99" t="s">
        <v>6823</v>
      </c>
      <c r="B366" s="99" t="s">
        <v>105</v>
      </c>
      <c r="C366" s="99" t="s">
        <v>6835</v>
      </c>
      <c r="D366" s="99" t="s">
        <v>6836</v>
      </c>
      <c r="E366" s="465" t="s">
        <v>6329</v>
      </c>
      <c r="F366" s="99" t="s">
        <v>6837</v>
      </c>
      <c r="G366" s="99">
        <v>50</v>
      </c>
      <c r="H366" s="1052" t="s">
        <v>6726</v>
      </c>
      <c r="I366" s="99">
        <v>50</v>
      </c>
      <c r="J366" s="338" t="s">
        <v>119</v>
      </c>
      <c r="K366" s="216"/>
      <c r="L366" s="216"/>
      <c r="M366" s="216"/>
      <c r="N366" s="216"/>
      <c r="O366" s="216"/>
      <c r="P366" s="216"/>
      <c r="Q366" s="216"/>
      <c r="R366" s="216"/>
      <c r="S366" s="216"/>
      <c r="T366" s="216"/>
      <c r="U366" s="216"/>
      <c r="V366" s="216"/>
      <c r="W366" s="216"/>
      <c r="X366" s="216"/>
      <c r="Y366" s="216"/>
      <c r="Z366" s="216"/>
    </row>
    <row r="367" spans="1:26" ht="15" customHeight="1">
      <c r="A367" s="99" t="s">
        <v>6823</v>
      </c>
      <c r="B367" s="99" t="s">
        <v>105</v>
      </c>
      <c r="C367" s="99" t="s">
        <v>6838</v>
      </c>
      <c r="D367" s="99" t="s">
        <v>6825</v>
      </c>
      <c r="E367" s="380" t="s">
        <v>6826</v>
      </c>
      <c r="F367" s="99" t="s">
        <v>6839</v>
      </c>
      <c r="G367" s="99">
        <v>50</v>
      </c>
      <c r="H367" s="1052" t="s">
        <v>6726</v>
      </c>
      <c r="I367" s="99">
        <v>50</v>
      </c>
      <c r="J367" s="338" t="s">
        <v>119</v>
      </c>
      <c r="K367" s="216"/>
      <c r="L367" s="216"/>
      <c r="M367" s="216"/>
      <c r="N367" s="216"/>
      <c r="O367" s="216"/>
      <c r="P367" s="216"/>
      <c r="Q367" s="216"/>
      <c r="R367" s="216"/>
      <c r="S367" s="216"/>
      <c r="T367" s="216"/>
      <c r="U367" s="216"/>
      <c r="V367" s="216"/>
      <c r="W367" s="216"/>
      <c r="X367" s="216"/>
      <c r="Y367" s="216"/>
      <c r="Z367" s="216"/>
    </row>
    <row r="368" spans="1:26" ht="15" customHeight="1">
      <c r="A368" s="99" t="s">
        <v>6823</v>
      </c>
      <c r="B368" s="99" t="s">
        <v>105</v>
      </c>
      <c r="C368" s="99" t="s">
        <v>6840</v>
      </c>
      <c r="D368" s="99" t="s">
        <v>6829</v>
      </c>
      <c r="E368" s="465" t="s">
        <v>6312</v>
      </c>
      <c r="F368" s="99" t="s">
        <v>6841</v>
      </c>
      <c r="G368" s="99">
        <v>50</v>
      </c>
      <c r="H368" s="1052" t="s">
        <v>6726</v>
      </c>
      <c r="I368" s="99">
        <v>50</v>
      </c>
      <c r="J368" s="338" t="s">
        <v>119</v>
      </c>
      <c r="K368" s="216"/>
      <c r="L368" s="216"/>
      <c r="M368" s="216"/>
      <c r="N368" s="216"/>
      <c r="O368" s="216"/>
      <c r="P368" s="216"/>
      <c r="Q368" s="216"/>
      <c r="R368" s="216"/>
      <c r="S368" s="216"/>
      <c r="T368" s="216"/>
      <c r="U368" s="216"/>
      <c r="V368" s="216"/>
      <c r="W368" s="216"/>
      <c r="X368" s="216"/>
      <c r="Y368" s="216"/>
      <c r="Z368" s="216"/>
    </row>
    <row r="369" spans="1:26" ht="15" customHeight="1">
      <c r="A369" s="99" t="s">
        <v>6823</v>
      </c>
      <c r="B369" s="99" t="s">
        <v>105</v>
      </c>
      <c r="C369" s="99" t="s">
        <v>6842</v>
      </c>
      <c r="D369" s="99" t="s">
        <v>6843</v>
      </c>
      <c r="E369" s="380" t="s">
        <v>6352</v>
      </c>
      <c r="F369" s="99" t="s">
        <v>6717</v>
      </c>
      <c r="G369" s="99">
        <v>50</v>
      </c>
      <c r="H369" s="1052" t="s">
        <v>6726</v>
      </c>
      <c r="I369" s="99">
        <v>50</v>
      </c>
      <c r="J369" s="338" t="s">
        <v>119</v>
      </c>
      <c r="K369" s="216"/>
      <c r="L369" s="216"/>
      <c r="M369" s="216"/>
      <c r="N369" s="216"/>
      <c r="O369" s="216"/>
      <c r="P369" s="216"/>
      <c r="Q369" s="216"/>
      <c r="R369" s="216"/>
      <c r="S369" s="216"/>
      <c r="T369" s="216"/>
      <c r="U369" s="216"/>
      <c r="V369" s="216"/>
      <c r="W369" s="216"/>
      <c r="X369" s="216"/>
      <c r="Y369" s="216"/>
      <c r="Z369" s="216"/>
    </row>
    <row r="370" spans="1:26" ht="15" customHeight="1">
      <c r="A370" s="99" t="s">
        <v>6823</v>
      </c>
      <c r="B370" s="99" t="s">
        <v>105</v>
      </c>
      <c r="C370" s="99" t="s">
        <v>6844</v>
      </c>
      <c r="D370" s="99" t="s">
        <v>6829</v>
      </c>
      <c r="E370" s="465" t="s">
        <v>6312</v>
      </c>
      <c r="F370" s="99" t="s">
        <v>6845</v>
      </c>
      <c r="G370" s="99">
        <v>50</v>
      </c>
      <c r="H370" s="1052" t="s">
        <v>6726</v>
      </c>
      <c r="I370" s="99">
        <v>50</v>
      </c>
      <c r="J370" s="338" t="s">
        <v>119</v>
      </c>
      <c r="K370" s="216"/>
      <c r="L370" s="216"/>
      <c r="M370" s="216"/>
      <c r="N370" s="216"/>
      <c r="O370" s="216"/>
      <c r="P370" s="216"/>
      <c r="Q370" s="216"/>
      <c r="R370" s="216"/>
      <c r="S370" s="216"/>
      <c r="T370" s="216"/>
      <c r="U370" s="216"/>
      <c r="V370" s="216"/>
      <c r="W370" s="216"/>
      <c r="X370" s="216"/>
      <c r="Y370" s="216"/>
      <c r="Z370" s="216"/>
    </row>
    <row r="371" spans="1:26" ht="15" customHeight="1">
      <c r="A371" s="99" t="s">
        <v>6823</v>
      </c>
      <c r="B371" s="99" t="s">
        <v>105</v>
      </c>
      <c r="C371" s="99" t="s">
        <v>6846</v>
      </c>
      <c r="D371" s="99" t="s">
        <v>6836</v>
      </c>
      <c r="E371" s="465" t="s">
        <v>6329</v>
      </c>
      <c r="F371" s="99" t="s">
        <v>6847</v>
      </c>
      <c r="G371" s="99">
        <v>50</v>
      </c>
      <c r="H371" s="1052" t="s">
        <v>6726</v>
      </c>
      <c r="I371" s="99">
        <v>50</v>
      </c>
      <c r="J371" s="338" t="s">
        <v>119</v>
      </c>
      <c r="K371" s="216"/>
      <c r="L371" s="216"/>
      <c r="M371" s="216"/>
      <c r="N371" s="216"/>
      <c r="O371" s="216"/>
      <c r="P371" s="216"/>
      <c r="Q371" s="216"/>
      <c r="R371" s="216"/>
      <c r="S371" s="216"/>
      <c r="T371" s="216"/>
      <c r="U371" s="216"/>
      <c r="V371" s="216"/>
      <c r="W371" s="216"/>
      <c r="X371" s="216"/>
      <c r="Y371" s="216"/>
      <c r="Z371" s="216"/>
    </row>
    <row r="372" spans="1:26" ht="15" customHeight="1">
      <c r="A372" s="99" t="s">
        <v>6823</v>
      </c>
      <c r="B372" s="99" t="s">
        <v>105</v>
      </c>
      <c r="C372" s="99" t="s">
        <v>6848</v>
      </c>
      <c r="D372" s="99" t="s">
        <v>6829</v>
      </c>
      <c r="E372" s="465" t="s">
        <v>6312</v>
      </c>
      <c r="F372" s="99" t="s">
        <v>6849</v>
      </c>
      <c r="G372" s="99">
        <v>50</v>
      </c>
      <c r="H372" s="1052" t="s">
        <v>6726</v>
      </c>
      <c r="I372" s="99">
        <v>50</v>
      </c>
      <c r="J372" s="338" t="s">
        <v>119</v>
      </c>
      <c r="K372" s="216"/>
      <c r="L372" s="216"/>
      <c r="M372" s="216"/>
      <c r="N372" s="216"/>
      <c r="O372" s="216"/>
      <c r="P372" s="216"/>
      <c r="Q372" s="216"/>
      <c r="R372" s="216"/>
      <c r="S372" s="216"/>
      <c r="T372" s="216"/>
      <c r="U372" s="216"/>
      <c r="V372" s="216"/>
      <c r="W372" s="216"/>
      <c r="X372" s="216"/>
      <c r="Y372" s="216"/>
      <c r="Z372" s="216"/>
    </row>
    <row r="373" spans="1:26" ht="15" customHeight="1">
      <c r="A373" s="99" t="s">
        <v>6823</v>
      </c>
      <c r="B373" s="99" t="s">
        <v>105</v>
      </c>
      <c r="C373" s="99" t="s">
        <v>6850</v>
      </c>
      <c r="D373" s="99" t="s">
        <v>6829</v>
      </c>
      <c r="E373" s="465" t="s">
        <v>6312</v>
      </c>
      <c r="F373" s="99" t="s">
        <v>6467</v>
      </c>
      <c r="G373" s="99">
        <v>50</v>
      </c>
      <c r="H373" s="1052" t="s">
        <v>6726</v>
      </c>
      <c r="I373" s="99">
        <v>50</v>
      </c>
      <c r="J373" s="338" t="s">
        <v>119</v>
      </c>
      <c r="K373" s="216"/>
      <c r="L373" s="216"/>
      <c r="M373" s="216"/>
      <c r="N373" s="216"/>
      <c r="O373" s="216"/>
      <c r="P373" s="216"/>
      <c r="Q373" s="216"/>
      <c r="R373" s="216"/>
      <c r="S373" s="216"/>
      <c r="T373" s="216"/>
      <c r="U373" s="216"/>
      <c r="V373" s="216"/>
      <c r="W373" s="216"/>
      <c r="X373" s="216"/>
      <c r="Y373" s="216"/>
      <c r="Z373" s="216"/>
    </row>
    <row r="374" spans="1:26" ht="15" customHeight="1">
      <c r="A374" s="99" t="s">
        <v>6823</v>
      </c>
      <c r="B374" s="99" t="s">
        <v>105</v>
      </c>
      <c r="C374" s="99" t="s">
        <v>6851</v>
      </c>
      <c r="D374" s="99" t="s">
        <v>6852</v>
      </c>
      <c r="E374" s="380" t="s">
        <v>6853</v>
      </c>
      <c r="F374" s="99" t="s">
        <v>6469</v>
      </c>
      <c r="G374" s="99">
        <v>50</v>
      </c>
      <c r="H374" s="1052" t="s">
        <v>6726</v>
      </c>
      <c r="I374" s="99">
        <v>50</v>
      </c>
      <c r="J374" s="338" t="s">
        <v>119</v>
      </c>
      <c r="K374" s="216"/>
      <c r="L374" s="216"/>
      <c r="M374" s="216"/>
      <c r="N374" s="216"/>
      <c r="O374" s="216"/>
      <c r="P374" s="216"/>
      <c r="Q374" s="216"/>
      <c r="R374" s="216"/>
      <c r="S374" s="216"/>
      <c r="T374" s="216"/>
      <c r="U374" s="216"/>
      <c r="V374" s="216"/>
      <c r="W374" s="216"/>
      <c r="X374" s="216"/>
      <c r="Y374" s="216"/>
      <c r="Z374" s="216"/>
    </row>
    <row r="375" spans="1:26" ht="15" customHeight="1">
      <c r="A375" s="99" t="s">
        <v>6823</v>
      </c>
      <c r="B375" s="99" t="s">
        <v>105</v>
      </c>
      <c r="C375" s="99" t="s">
        <v>6854</v>
      </c>
      <c r="D375" s="99" t="s">
        <v>6855</v>
      </c>
      <c r="E375" s="426" t="s">
        <v>6292</v>
      </c>
      <c r="F375" s="99" t="s">
        <v>6812</v>
      </c>
      <c r="G375" s="99">
        <v>50</v>
      </c>
      <c r="H375" s="1052" t="s">
        <v>6726</v>
      </c>
      <c r="I375" s="99">
        <v>50</v>
      </c>
      <c r="J375" s="338" t="s">
        <v>119</v>
      </c>
      <c r="K375" s="216"/>
      <c r="L375" s="216"/>
      <c r="M375" s="216"/>
      <c r="N375" s="216"/>
      <c r="O375" s="216"/>
      <c r="P375" s="216"/>
      <c r="Q375" s="216"/>
      <c r="R375" s="216"/>
      <c r="S375" s="216"/>
      <c r="T375" s="216"/>
      <c r="U375" s="216"/>
      <c r="V375" s="216"/>
      <c r="W375" s="216"/>
      <c r="X375" s="216"/>
      <c r="Y375" s="216"/>
      <c r="Z375" s="216"/>
    </row>
    <row r="376" spans="1:26" ht="15" customHeight="1">
      <c r="A376" s="134" t="s">
        <v>111</v>
      </c>
      <c r="B376" s="99" t="s">
        <v>105</v>
      </c>
      <c r="C376" s="133" t="s">
        <v>6856</v>
      </c>
      <c r="D376" s="133" t="s">
        <v>1338</v>
      </c>
      <c r="E376" s="130" t="s">
        <v>6857</v>
      </c>
      <c r="F376" s="133" t="s">
        <v>6858</v>
      </c>
      <c r="G376" s="133">
        <v>50</v>
      </c>
      <c r="H376" s="495" t="s">
        <v>6859</v>
      </c>
      <c r="I376" s="31">
        <f>G376</f>
        <v>50</v>
      </c>
      <c r="J376" s="338" t="s">
        <v>111</v>
      </c>
      <c r="K376" s="216"/>
      <c r="L376" s="216"/>
      <c r="M376" s="216"/>
      <c r="N376" s="216"/>
      <c r="O376" s="216"/>
      <c r="P376" s="216"/>
      <c r="Q376" s="216"/>
      <c r="R376" s="216"/>
      <c r="S376" s="216"/>
      <c r="T376" s="216"/>
      <c r="U376" s="216"/>
      <c r="V376" s="216"/>
      <c r="W376" s="216"/>
      <c r="X376" s="216"/>
      <c r="Y376" s="216"/>
      <c r="Z376" s="216"/>
    </row>
    <row r="377" spans="1:26" ht="15" customHeight="1">
      <c r="A377" s="134" t="s">
        <v>111</v>
      </c>
      <c r="B377" s="99" t="s">
        <v>105</v>
      </c>
      <c r="C377" s="133" t="s">
        <v>6860</v>
      </c>
      <c r="D377" s="133" t="s">
        <v>1338</v>
      </c>
      <c r="E377" s="130" t="s">
        <v>6464</v>
      </c>
      <c r="F377" s="133" t="s">
        <v>6861</v>
      </c>
      <c r="G377" s="133">
        <v>50</v>
      </c>
      <c r="H377" s="495" t="s">
        <v>6794</v>
      </c>
      <c r="I377" s="31">
        <v>50</v>
      </c>
      <c r="J377" s="338" t="s">
        <v>111</v>
      </c>
      <c r="K377" s="216"/>
      <c r="L377" s="216"/>
      <c r="M377" s="216"/>
      <c r="N377" s="216"/>
      <c r="O377" s="216"/>
      <c r="P377" s="216"/>
      <c r="Q377" s="216"/>
      <c r="R377" s="216"/>
      <c r="S377" s="216"/>
      <c r="T377" s="216"/>
      <c r="U377" s="216"/>
      <c r="V377" s="216"/>
      <c r="W377" s="216"/>
      <c r="X377" s="216"/>
      <c r="Y377" s="216"/>
      <c r="Z377" s="216"/>
    </row>
    <row r="378" spans="1:26" ht="15" customHeight="1">
      <c r="A378" s="134" t="s">
        <v>111</v>
      </c>
      <c r="B378" s="99" t="s">
        <v>105</v>
      </c>
      <c r="C378" s="133" t="s">
        <v>6862</v>
      </c>
      <c r="D378" s="133" t="s">
        <v>1338</v>
      </c>
      <c r="E378" s="130" t="s">
        <v>6279</v>
      </c>
      <c r="F378" s="133" t="s">
        <v>6456</v>
      </c>
      <c r="G378" s="133">
        <v>50</v>
      </c>
      <c r="H378" s="495" t="s">
        <v>6794</v>
      </c>
      <c r="I378" s="31">
        <v>50</v>
      </c>
      <c r="J378" s="338" t="s">
        <v>111</v>
      </c>
      <c r="K378" s="216"/>
      <c r="L378" s="216"/>
      <c r="M378" s="216"/>
      <c r="N378" s="216"/>
      <c r="O378" s="216"/>
      <c r="P378" s="216"/>
      <c r="Q378" s="216"/>
      <c r="R378" s="216"/>
      <c r="S378" s="216"/>
      <c r="T378" s="216"/>
      <c r="U378" s="216"/>
      <c r="V378" s="216"/>
      <c r="W378" s="216"/>
      <c r="X378" s="216"/>
      <c r="Y378" s="216"/>
      <c r="Z378" s="216"/>
    </row>
    <row r="379" spans="1:26" ht="15" customHeight="1">
      <c r="A379" s="134" t="s">
        <v>111</v>
      </c>
      <c r="B379" s="99" t="s">
        <v>105</v>
      </c>
      <c r="C379" s="133" t="s">
        <v>6863</v>
      </c>
      <c r="D379" s="133" t="s">
        <v>1338</v>
      </c>
      <c r="E379" s="130" t="s">
        <v>6864</v>
      </c>
      <c r="F379" s="133" t="s">
        <v>6865</v>
      </c>
      <c r="G379" s="133">
        <v>50</v>
      </c>
      <c r="H379" s="495" t="s">
        <v>6866</v>
      </c>
      <c r="I379" s="31">
        <v>50</v>
      </c>
      <c r="J379" s="338" t="s">
        <v>111</v>
      </c>
      <c r="K379" s="216"/>
      <c r="L379" s="216"/>
      <c r="M379" s="216"/>
      <c r="N379" s="216"/>
      <c r="O379" s="216"/>
      <c r="P379" s="216"/>
      <c r="Q379" s="216"/>
      <c r="R379" s="216"/>
      <c r="S379" s="216"/>
      <c r="T379" s="216"/>
      <c r="U379" s="216"/>
      <c r="V379" s="216"/>
      <c r="W379" s="216"/>
      <c r="X379" s="216"/>
      <c r="Y379" s="216"/>
      <c r="Z379" s="216"/>
    </row>
    <row r="380" spans="1:26" ht="15" customHeight="1">
      <c r="A380" s="134" t="s">
        <v>111</v>
      </c>
      <c r="B380" s="99" t="s">
        <v>105</v>
      </c>
      <c r="C380" s="413" t="s">
        <v>6867</v>
      </c>
      <c r="D380" s="133" t="s">
        <v>1338</v>
      </c>
      <c r="E380" s="130" t="s">
        <v>6222</v>
      </c>
      <c r="F380" s="133" t="s">
        <v>6868</v>
      </c>
      <c r="G380" s="133">
        <v>50</v>
      </c>
      <c r="H380" s="495" t="s">
        <v>6869</v>
      </c>
      <c r="I380" s="31">
        <v>50</v>
      </c>
      <c r="J380" s="338" t="s">
        <v>111</v>
      </c>
      <c r="K380" s="216"/>
      <c r="L380" s="216"/>
      <c r="M380" s="216"/>
      <c r="N380" s="216"/>
      <c r="O380" s="216"/>
      <c r="P380" s="216"/>
      <c r="Q380" s="216"/>
      <c r="R380" s="216"/>
      <c r="S380" s="216"/>
      <c r="T380" s="216"/>
      <c r="U380" s="216"/>
      <c r="V380" s="216"/>
      <c r="W380" s="216"/>
      <c r="X380" s="216"/>
      <c r="Y380" s="216"/>
      <c r="Z380" s="216"/>
    </row>
    <row r="381" spans="1:26" ht="15" customHeight="1">
      <c r="A381" s="134" t="s">
        <v>111</v>
      </c>
      <c r="B381" s="99" t="s">
        <v>105</v>
      </c>
      <c r="C381" s="413" t="s">
        <v>6870</v>
      </c>
      <c r="D381" s="133" t="s">
        <v>1338</v>
      </c>
      <c r="E381" s="130" t="s">
        <v>6222</v>
      </c>
      <c r="F381" s="133" t="s">
        <v>6871</v>
      </c>
      <c r="G381" s="133">
        <v>50</v>
      </c>
      <c r="H381" s="495" t="s">
        <v>6869</v>
      </c>
      <c r="I381" s="31">
        <v>50</v>
      </c>
      <c r="J381" s="338" t="s">
        <v>111</v>
      </c>
      <c r="K381" s="216"/>
      <c r="L381" s="216"/>
      <c r="M381" s="216"/>
      <c r="N381" s="216"/>
      <c r="O381" s="216"/>
      <c r="P381" s="216"/>
      <c r="Q381" s="216"/>
      <c r="R381" s="216"/>
      <c r="S381" s="216"/>
      <c r="T381" s="216"/>
      <c r="U381" s="216"/>
      <c r="V381" s="216"/>
      <c r="W381" s="216"/>
      <c r="X381" s="216"/>
      <c r="Y381" s="216"/>
      <c r="Z381" s="216"/>
    </row>
    <row r="382" spans="1:26" ht="15" customHeight="1">
      <c r="A382" s="134" t="s">
        <v>111</v>
      </c>
      <c r="B382" s="99" t="s">
        <v>105</v>
      </c>
      <c r="C382" s="133" t="s">
        <v>6872</v>
      </c>
      <c r="D382" s="133" t="s">
        <v>1338</v>
      </c>
      <c r="E382" s="130" t="s">
        <v>6222</v>
      </c>
      <c r="F382" s="133" t="s">
        <v>6873</v>
      </c>
      <c r="G382" s="133">
        <v>50</v>
      </c>
      <c r="H382" s="495" t="s">
        <v>6869</v>
      </c>
      <c r="I382" s="31">
        <v>50</v>
      </c>
      <c r="J382" s="338" t="s">
        <v>111</v>
      </c>
      <c r="K382" s="216"/>
      <c r="L382" s="216"/>
      <c r="M382" s="216"/>
      <c r="N382" s="216"/>
      <c r="O382" s="216"/>
      <c r="P382" s="216"/>
      <c r="Q382" s="216"/>
      <c r="R382" s="216"/>
      <c r="S382" s="216"/>
      <c r="T382" s="216"/>
      <c r="U382" s="216"/>
      <c r="V382" s="216"/>
      <c r="W382" s="216"/>
      <c r="X382" s="216"/>
      <c r="Y382" s="216"/>
      <c r="Z382" s="216"/>
    </row>
    <row r="383" spans="1:26" ht="15" customHeight="1">
      <c r="A383" s="134" t="s">
        <v>111</v>
      </c>
      <c r="B383" s="99" t="s">
        <v>105</v>
      </c>
      <c r="C383" s="413" t="s">
        <v>6874</v>
      </c>
      <c r="D383" s="133" t="s">
        <v>1338</v>
      </c>
      <c r="E383" s="130" t="s">
        <v>6222</v>
      </c>
      <c r="F383" s="133" t="s">
        <v>6875</v>
      </c>
      <c r="G383" s="133">
        <v>50</v>
      </c>
      <c r="H383" s="495" t="s">
        <v>6869</v>
      </c>
      <c r="I383" s="31">
        <v>50</v>
      </c>
      <c r="J383" s="338" t="s">
        <v>111</v>
      </c>
      <c r="K383" s="216"/>
      <c r="L383" s="216"/>
      <c r="M383" s="216"/>
      <c r="N383" s="216"/>
      <c r="O383" s="216"/>
      <c r="P383" s="216"/>
      <c r="Q383" s="216"/>
      <c r="R383" s="216"/>
      <c r="S383" s="216"/>
      <c r="T383" s="216"/>
      <c r="U383" s="216"/>
      <c r="V383" s="216"/>
      <c r="W383" s="216"/>
      <c r="X383" s="216"/>
      <c r="Y383" s="216"/>
      <c r="Z383" s="216"/>
    </row>
    <row r="384" spans="1:26" ht="15" customHeight="1">
      <c r="A384" s="134" t="s">
        <v>111</v>
      </c>
      <c r="B384" s="99" t="s">
        <v>105</v>
      </c>
      <c r="C384" s="413" t="s">
        <v>6876</v>
      </c>
      <c r="D384" s="133" t="s">
        <v>1338</v>
      </c>
      <c r="E384" s="130" t="s">
        <v>6222</v>
      </c>
      <c r="F384" s="133" t="s">
        <v>6877</v>
      </c>
      <c r="G384" s="133">
        <v>50</v>
      </c>
      <c r="H384" s="495" t="s">
        <v>6869</v>
      </c>
      <c r="I384" s="31">
        <v>50</v>
      </c>
      <c r="J384" s="338" t="s">
        <v>111</v>
      </c>
      <c r="K384" s="216"/>
      <c r="L384" s="216"/>
      <c r="M384" s="216"/>
      <c r="N384" s="216"/>
      <c r="O384" s="216"/>
      <c r="P384" s="216"/>
      <c r="Q384" s="216"/>
      <c r="R384" s="216"/>
      <c r="S384" s="216"/>
      <c r="T384" s="216"/>
      <c r="U384" s="216"/>
      <c r="V384" s="216"/>
      <c r="W384" s="216"/>
      <c r="X384" s="216"/>
      <c r="Y384" s="216"/>
      <c r="Z384" s="216"/>
    </row>
    <row r="385" spans="1:26" ht="15" customHeight="1">
      <c r="A385" s="134" t="s">
        <v>111</v>
      </c>
      <c r="B385" s="99" t="s">
        <v>105</v>
      </c>
      <c r="C385" s="133" t="s">
        <v>6878</v>
      </c>
      <c r="D385" s="133" t="s">
        <v>1338</v>
      </c>
      <c r="E385" s="130" t="s">
        <v>6879</v>
      </c>
      <c r="F385" s="133" t="s">
        <v>6880</v>
      </c>
      <c r="G385" s="133">
        <v>50</v>
      </c>
      <c r="H385" s="495" t="s">
        <v>6794</v>
      </c>
      <c r="I385" s="31">
        <v>50</v>
      </c>
      <c r="J385" s="338" t="s">
        <v>111</v>
      </c>
      <c r="K385" s="216"/>
      <c r="L385" s="216"/>
      <c r="M385" s="216"/>
      <c r="N385" s="216"/>
      <c r="O385" s="216"/>
      <c r="P385" s="216"/>
      <c r="Q385" s="216"/>
      <c r="R385" s="216"/>
      <c r="S385" s="216"/>
      <c r="T385" s="216"/>
      <c r="U385" s="216"/>
      <c r="V385" s="216"/>
      <c r="W385" s="216"/>
      <c r="X385" s="216"/>
      <c r="Y385" s="216"/>
      <c r="Z385" s="216"/>
    </row>
    <row r="386" spans="1:26" ht="15" customHeight="1">
      <c r="A386" s="134" t="s">
        <v>111</v>
      </c>
      <c r="B386" s="99" t="s">
        <v>105</v>
      </c>
      <c r="C386" s="133" t="s">
        <v>6881</v>
      </c>
      <c r="D386" s="133" t="s">
        <v>1338</v>
      </c>
      <c r="E386" s="130" t="s">
        <v>6879</v>
      </c>
      <c r="F386" s="133" t="s">
        <v>6882</v>
      </c>
      <c r="G386" s="133">
        <v>50</v>
      </c>
      <c r="H386" s="495" t="s">
        <v>6794</v>
      </c>
      <c r="I386" s="31">
        <v>50</v>
      </c>
      <c r="J386" s="338" t="s">
        <v>111</v>
      </c>
      <c r="K386" s="216"/>
      <c r="L386" s="216"/>
      <c r="M386" s="216"/>
      <c r="N386" s="216"/>
      <c r="O386" s="216"/>
      <c r="P386" s="216"/>
      <c r="Q386" s="216"/>
      <c r="R386" s="216"/>
      <c r="S386" s="216"/>
      <c r="T386" s="216"/>
      <c r="U386" s="216"/>
      <c r="V386" s="216"/>
      <c r="W386" s="216"/>
      <c r="X386" s="216"/>
      <c r="Y386" s="216"/>
      <c r="Z386" s="216"/>
    </row>
    <row r="387" spans="1:26" ht="15" customHeight="1">
      <c r="A387" s="134" t="s">
        <v>111</v>
      </c>
      <c r="B387" s="99" t="s">
        <v>105</v>
      </c>
      <c r="C387" s="133" t="s">
        <v>6883</v>
      </c>
      <c r="D387" s="133" t="s">
        <v>1338</v>
      </c>
      <c r="E387" s="130" t="s">
        <v>6879</v>
      </c>
      <c r="F387" s="133" t="s">
        <v>6865</v>
      </c>
      <c r="G387" s="133">
        <v>50</v>
      </c>
      <c r="H387" s="495" t="s">
        <v>6794</v>
      </c>
      <c r="I387" s="31">
        <v>50</v>
      </c>
      <c r="J387" s="338" t="s">
        <v>111</v>
      </c>
      <c r="K387" s="216"/>
      <c r="L387" s="216"/>
      <c r="M387" s="216"/>
      <c r="N387" s="216"/>
      <c r="O387" s="216"/>
      <c r="P387" s="216"/>
      <c r="Q387" s="216"/>
      <c r="R387" s="216"/>
      <c r="S387" s="216"/>
      <c r="T387" s="216"/>
      <c r="U387" s="216"/>
      <c r="V387" s="216"/>
      <c r="W387" s="216"/>
      <c r="X387" s="216"/>
      <c r="Y387" s="216"/>
      <c r="Z387" s="216"/>
    </row>
    <row r="388" spans="1:26" ht="15" customHeight="1">
      <c r="A388" s="134" t="s">
        <v>111</v>
      </c>
      <c r="B388" s="99" t="s">
        <v>105</v>
      </c>
      <c r="C388" s="133" t="s">
        <v>6884</v>
      </c>
      <c r="D388" s="133" t="s">
        <v>1338</v>
      </c>
      <c r="E388" s="130" t="s">
        <v>6879</v>
      </c>
      <c r="F388" s="133" t="s">
        <v>6885</v>
      </c>
      <c r="G388" s="133">
        <v>50</v>
      </c>
      <c r="H388" s="495" t="s">
        <v>6794</v>
      </c>
      <c r="I388" s="31">
        <v>50</v>
      </c>
      <c r="J388" s="338" t="s">
        <v>111</v>
      </c>
      <c r="K388" s="216"/>
      <c r="L388" s="216"/>
      <c r="M388" s="216"/>
      <c r="N388" s="216"/>
      <c r="O388" s="216"/>
      <c r="P388" s="216"/>
      <c r="Q388" s="216"/>
      <c r="R388" s="216"/>
      <c r="S388" s="216"/>
      <c r="T388" s="216"/>
      <c r="U388" s="216"/>
      <c r="V388" s="216"/>
      <c r="W388" s="216"/>
      <c r="X388" s="216"/>
      <c r="Y388" s="216"/>
      <c r="Z388" s="216"/>
    </row>
    <row r="389" spans="1:26" ht="15" customHeight="1">
      <c r="A389" s="134" t="s">
        <v>111</v>
      </c>
      <c r="B389" s="99" t="s">
        <v>105</v>
      </c>
      <c r="C389" s="133" t="s">
        <v>6886</v>
      </c>
      <c r="D389" s="133" t="s">
        <v>1338</v>
      </c>
      <c r="E389" s="130" t="s">
        <v>6879</v>
      </c>
      <c r="F389" s="133" t="s">
        <v>6887</v>
      </c>
      <c r="G389" s="133">
        <v>50</v>
      </c>
      <c r="H389" s="495" t="s">
        <v>6794</v>
      </c>
      <c r="I389" s="31">
        <v>50</v>
      </c>
      <c r="J389" s="338" t="s">
        <v>111</v>
      </c>
      <c r="K389" s="216"/>
      <c r="L389" s="216"/>
      <c r="M389" s="216"/>
      <c r="N389" s="216"/>
      <c r="O389" s="216"/>
      <c r="P389" s="216"/>
      <c r="Q389" s="216"/>
      <c r="R389" s="216"/>
      <c r="S389" s="216"/>
      <c r="T389" s="216"/>
      <c r="U389" s="216"/>
      <c r="V389" s="216"/>
      <c r="W389" s="216"/>
      <c r="X389" s="216"/>
      <c r="Y389" s="216"/>
      <c r="Z389" s="216"/>
    </row>
    <row r="390" spans="1:26" ht="15" customHeight="1">
      <c r="A390" s="134" t="s">
        <v>111</v>
      </c>
      <c r="B390" s="99" t="s">
        <v>105</v>
      </c>
      <c r="C390" s="133" t="s">
        <v>6888</v>
      </c>
      <c r="D390" s="133" t="s">
        <v>1338</v>
      </c>
      <c r="E390" s="130" t="s">
        <v>6889</v>
      </c>
      <c r="F390" s="133" t="s">
        <v>6890</v>
      </c>
      <c r="G390" s="141">
        <v>50</v>
      </c>
      <c r="H390" s="495" t="s">
        <v>6794</v>
      </c>
      <c r="I390" s="31">
        <v>50</v>
      </c>
      <c r="J390" s="338" t="s">
        <v>111</v>
      </c>
      <c r="K390" s="216"/>
      <c r="L390" s="216"/>
      <c r="M390" s="216"/>
      <c r="N390" s="216"/>
      <c r="O390" s="216"/>
      <c r="P390" s="216"/>
      <c r="Q390" s="216"/>
      <c r="R390" s="216"/>
      <c r="S390" s="216"/>
      <c r="T390" s="216"/>
      <c r="U390" s="216"/>
      <c r="V390" s="216"/>
      <c r="W390" s="216"/>
      <c r="X390" s="216"/>
      <c r="Y390" s="216"/>
      <c r="Z390" s="216"/>
    </row>
    <row r="391" spans="1:26" ht="15" customHeight="1">
      <c r="A391" s="134" t="s">
        <v>111</v>
      </c>
      <c r="B391" s="99" t="s">
        <v>105</v>
      </c>
      <c r="C391" s="133" t="s">
        <v>6891</v>
      </c>
      <c r="D391" s="133" t="s">
        <v>1338</v>
      </c>
      <c r="E391" s="130" t="s">
        <v>6892</v>
      </c>
      <c r="F391" s="133" t="s">
        <v>6893</v>
      </c>
      <c r="G391" s="141">
        <v>50</v>
      </c>
      <c r="H391" s="768" t="s">
        <v>6859</v>
      </c>
      <c r="I391" s="31">
        <v>50</v>
      </c>
      <c r="J391" s="338" t="s">
        <v>111</v>
      </c>
      <c r="K391" s="216"/>
      <c r="L391" s="216"/>
      <c r="M391" s="216"/>
      <c r="N391" s="216"/>
      <c r="O391" s="216"/>
      <c r="P391" s="216"/>
      <c r="Q391" s="216"/>
      <c r="R391" s="216"/>
      <c r="S391" s="216"/>
      <c r="T391" s="216"/>
      <c r="U391" s="216"/>
      <c r="V391" s="216"/>
      <c r="W391" s="216"/>
      <c r="X391" s="216"/>
      <c r="Y391" s="216"/>
      <c r="Z391" s="216"/>
    </row>
    <row r="392" spans="1:26" ht="15" customHeight="1">
      <c r="A392" s="134" t="s">
        <v>111</v>
      </c>
      <c r="B392" s="99" t="s">
        <v>105</v>
      </c>
      <c r="C392" s="138" t="s">
        <v>6894</v>
      </c>
      <c r="D392" s="133" t="s">
        <v>1338</v>
      </c>
      <c r="E392" s="130" t="s">
        <v>6895</v>
      </c>
      <c r="F392" s="138" t="s">
        <v>6896</v>
      </c>
      <c r="G392" s="1055">
        <v>300</v>
      </c>
      <c r="H392" s="495" t="s">
        <v>6869</v>
      </c>
      <c r="I392" s="31">
        <v>300</v>
      </c>
      <c r="J392" s="338" t="s">
        <v>111</v>
      </c>
      <c r="K392" s="216"/>
      <c r="L392" s="216"/>
      <c r="M392" s="216"/>
      <c r="N392" s="216"/>
      <c r="O392" s="216"/>
      <c r="P392" s="216"/>
      <c r="Q392" s="216"/>
      <c r="R392" s="216"/>
      <c r="S392" s="216"/>
      <c r="T392" s="216"/>
      <c r="U392" s="216"/>
      <c r="V392" s="216"/>
      <c r="W392" s="216"/>
      <c r="X392" s="216"/>
      <c r="Y392" s="216"/>
      <c r="Z392" s="216"/>
    </row>
    <row r="393" spans="1:26" ht="15" customHeight="1">
      <c r="A393" s="134" t="s">
        <v>111</v>
      </c>
      <c r="B393" s="99" t="s">
        <v>105</v>
      </c>
      <c r="C393" s="138" t="s">
        <v>6897</v>
      </c>
      <c r="D393" s="133" t="s">
        <v>6898</v>
      </c>
      <c r="E393" s="130" t="s">
        <v>6899</v>
      </c>
      <c r="F393" s="138">
        <v>2022</v>
      </c>
      <c r="G393" s="1055">
        <v>50</v>
      </c>
      <c r="H393" s="495" t="s">
        <v>6900</v>
      </c>
      <c r="I393" s="31">
        <v>50</v>
      </c>
      <c r="J393" s="338" t="s">
        <v>111</v>
      </c>
      <c r="K393" s="216"/>
      <c r="L393" s="216"/>
      <c r="M393" s="216"/>
      <c r="N393" s="216"/>
      <c r="O393" s="216"/>
      <c r="P393" s="216"/>
      <c r="Q393" s="216"/>
      <c r="R393" s="216"/>
      <c r="S393" s="216"/>
      <c r="T393" s="216"/>
      <c r="U393" s="216"/>
      <c r="V393" s="216"/>
      <c r="W393" s="216"/>
      <c r="X393" s="216"/>
      <c r="Y393" s="216"/>
      <c r="Z393" s="216"/>
    </row>
    <row r="394" spans="1:26" ht="15" customHeight="1">
      <c r="A394" s="134" t="s">
        <v>111</v>
      </c>
      <c r="B394" s="99" t="s">
        <v>105</v>
      </c>
      <c r="C394" s="138" t="s">
        <v>6901</v>
      </c>
      <c r="D394" s="138" t="s">
        <v>6902</v>
      </c>
      <c r="E394" s="130" t="s">
        <v>6527</v>
      </c>
      <c r="F394" s="138">
        <v>2022</v>
      </c>
      <c r="G394" s="1055">
        <v>100</v>
      </c>
      <c r="H394" s="1056" t="s">
        <v>6903</v>
      </c>
      <c r="I394" s="31">
        <v>100</v>
      </c>
      <c r="J394" s="338" t="s">
        <v>111</v>
      </c>
      <c r="K394" s="216"/>
      <c r="L394" s="216"/>
      <c r="M394" s="216"/>
      <c r="N394" s="216"/>
      <c r="O394" s="216"/>
      <c r="P394" s="216"/>
      <c r="Q394" s="216"/>
      <c r="R394" s="216"/>
      <c r="S394" s="216"/>
      <c r="T394" s="216"/>
      <c r="U394" s="216"/>
      <c r="V394" s="216"/>
      <c r="W394" s="216"/>
      <c r="X394" s="216"/>
      <c r="Y394" s="216"/>
      <c r="Z394" s="216"/>
    </row>
    <row r="395" spans="1:26" ht="15" customHeight="1">
      <c r="A395" s="185" t="s">
        <v>6904</v>
      </c>
      <c r="B395" s="99" t="s">
        <v>105</v>
      </c>
      <c r="C395" s="99" t="s">
        <v>4731</v>
      </c>
      <c r="D395" s="133" t="s">
        <v>6905</v>
      </c>
      <c r="E395" s="146" t="s">
        <v>6899</v>
      </c>
      <c r="F395" s="133"/>
      <c r="G395" s="99">
        <v>50</v>
      </c>
      <c r="H395" s="500" t="s">
        <v>6906</v>
      </c>
      <c r="I395" s="411">
        <f>G395</f>
        <v>50</v>
      </c>
      <c r="J395" s="338" t="s">
        <v>112</v>
      </c>
      <c r="K395" s="216"/>
      <c r="L395" s="216"/>
      <c r="M395" s="216"/>
      <c r="N395" s="216"/>
      <c r="O395" s="216"/>
      <c r="P395" s="216"/>
      <c r="Q395" s="216"/>
      <c r="R395" s="216"/>
      <c r="S395" s="216"/>
      <c r="T395" s="216"/>
      <c r="U395" s="216"/>
      <c r="V395" s="216"/>
      <c r="W395" s="216"/>
      <c r="X395" s="216"/>
      <c r="Y395" s="216"/>
      <c r="Z395" s="216"/>
    </row>
    <row r="396" spans="1:26" ht="15" customHeight="1">
      <c r="A396" s="290" t="s">
        <v>6907</v>
      </c>
      <c r="B396" s="290" t="s">
        <v>105</v>
      </c>
      <c r="C396" s="290" t="s">
        <v>1014</v>
      </c>
      <c r="D396" s="290" t="s">
        <v>6908</v>
      </c>
      <c r="E396" s="596" t="s">
        <v>6909</v>
      </c>
      <c r="F396" s="290" t="s">
        <v>6910</v>
      </c>
      <c r="G396" s="512">
        <v>50</v>
      </c>
      <c r="H396" s="290">
        <v>12</v>
      </c>
      <c r="I396" s="512">
        <f t="shared" ref="I396:I398" si="14">50*2*3</f>
        <v>300</v>
      </c>
      <c r="J396" s="338" t="s">
        <v>113</v>
      </c>
      <c r="K396" s="216"/>
      <c r="L396" s="216"/>
      <c r="M396" s="216"/>
      <c r="N396" s="216"/>
      <c r="O396" s="216"/>
      <c r="P396" s="216"/>
      <c r="Q396" s="216"/>
      <c r="R396" s="216"/>
      <c r="S396" s="216"/>
      <c r="T396" s="216"/>
      <c r="U396" s="216"/>
      <c r="V396" s="216"/>
      <c r="W396" s="216"/>
      <c r="X396" s="216"/>
      <c r="Y396" s="216"/>
      <c r="Z396" s="216"/>
    </row>
    <row r="397" spans="1:26" ht="15" customHeight="1">
      <c r="A397" s="290" t="s">
        <v>6907</v>
      </c>
      <c r="B397" s="290" t="s">
        <v>105</v>
      </c>
      <c r="C397" s="290" t="s">
        <v>925</v>
      </c>
      <c r="D397" s="290" t="s">
        <v>6908</v>
      </c>
      <c r="E397" s="596" t="s">
        <v>6911</v>
      </c>
      <c r="F397" s="290" t="s">
        <v>6912</v>
      </c>
      <c r="G397" s="512">
        <v>50</v>
      </c>
      <c r="H397" s="290">
        <v>12</v>
      </c>
      <c r="I397" s="512">
        <f t="shared" si="14"/>
        <v>300</v>
      </c>
      <c r="J397" s="338" t="s">
        <v>113</v>
      </c>
      <c r="K397" s="216"/>
      <c r="L397" s="216"/>
      <c r="M397" s="216"/>
      <c r="N397" s="216"/>
      <c r="O397" s="216"/>
      <c r="P397" s="216"/>
      <c r="Q397" s="216"/>
      <c r="R397" s="216"/>
      <c r="S397" s="216"/>
      <c r="T397" s="216"/>
      <c r="U397" s="216"/>
      <c r="V397" s="216"/>
      <c r="W397" s="216"/>
      <c r="X397" s="216"/>
      <c r="Y397" s="216"/>
      <c r="Z397" s="216"/>
    </row>
    <row r="398" spans="1:26" ht="15" customHeight="1">
      <c r="A398" s="290" t="s">
        <v>6907</v>
      </c>
      <c r="B398" s="290" t="s">
        <v>105</v>
      </c>
      <c r="C398" s="290" t="s">
        <v>925</v>
      </c>
      <c r="D398" s="290" t="s">
        <v>6908</v>
      </c>
      <c r="E398" s="596" t="s">
        <v>6913</v>
      </c>
      <c r="F398" s="290" t="s">
        <v>6912</v>
      </c>
      <c r="G398" s="512">
        <v>50</v>
      </c>
      <c r="H398" s="290">
        <v>12</v>
      </c>
      <c r="I398" s="512">
        <f t="shared" si="14"/>
        <v>300</v>
      </c>
      <c r="J398" s="338" t="s">
        <v>113</v>
      </c>
      <c r="K398" s="216"/>
      <c r="L398" s="216"/>
      <c r="M398" s="216"/>
      <c r="N398" s="216"/>
      <c r="O398" s="216"/>
      <c r="P398" s="216"/>
      <c r="Q398" s="216"/>
      <c r="R398" s="216"/>
      <c r="S398" s="216"/>
      <c r="T398" s="216"/>
      <c r="U398" s="216"/>
      <c r="V398" s="216"/>
      <c r="W398" s="216"/>
      <c r="X398" s="216"/>
      <c r="Y398" s="216"/>
      <c r="Z398" s="216"/>
    </row>
    <row r="399" spans="1:26" ht="15" customHeight="1">
      <c r="A399" s="326" t="s">
        <v>6907</v>
      </c>
      <c r="B399" s="326" t="s">
        <v>105</v>
      </c>
      <c r="C399" s="326" t="s">
        <v>6914</v>
      </c>
      <c r="D399" s="326" t="s">
        <v>6915</v>
      </c>
      <c r="E399" s="1057" t="s">
        <v>6426</v>
      </c>
      <c r="F399" s="1058" t="s">
        <v>6916</v>
      </c>
      <c r="G399" s="326">
        <v>50</v>
      </c>
      <c r="H399" s="1059">
        <v>24</v>
      </c>
      <c r="I399" s="1060">
        <f>G399</f>
        <v>50</v>
      </c>
      <c r="J399" s="338" t="s">
        <v>113</v>
      </c>
      <c r="K399" s="216"/>
      <c r="L399" s="216"/>
      <c r="M399" s="216"/>
      <c r="N399" s="216"/>
      <c r="O399" s="216"/>
      <c r="P399" s="216"/>
      <c r="Q399" s="216"/>
      <c r="R399" s="216"/>
      <c r="S399" s="216"/>
      <c r="T399" s="216"/>
      <c r="U399" s="216"/>
      <c r="V399" s="216"/>
      <c r="W399" s="216"/>
      <c r="X399" s="216"/>
      <c r="Y399" s="216"/>
      <c r="Z399" s="216"/>
    </row>
    <row r="400" spans="1:26" ht="15" customHeight="1">
      <c r="A400" s="290" t="s">
        <v>6907</v>
      </c>
      <c r="B400" s="290" t="s">
        <v>105</v>
      </c>
      <c r="C400" s="310" t="s">
        <v>6917</v>
      </c>
      <c r="D400" s="290" t="s">
        <v>6908</v>
      </c>
      <c r="E400" s="596" t="s">
        <v>6326</v>
      </c>
      <c r="F400" s="290" t="s">
        <v>6918</v>
      </c>
      <c r="G400" s="290">
        <v>50</v>
      </c>
      <c r="H400" s="317">
        <v>12</v>
      </c>
      <c r="I400" s="512">
        <v>50</v>
      </c>
      <c r="J400" s="338" t="s">
        <v>113</v>
      </c>
      <c r="K400" s="216"/>
      <c r="L400" s="216"/>
      <c r="M400" s="216"/>
      <c r="N400" s="216"/>
      <c r="O400" s="216"/>
      <c r="P400" s="216"/>
      <c r="Q400" s="216"/>
      <c r="R400" s="216"/>
      <c r="S400" s="216"/>
      <c r="T400" s="216"/>
      <c r="U400" s="216"/>
      <c r="V400" s="216"/>
      <c r="W400" s="216"/>
      <c r="X400" s="216"/>
      <c r="Y400" s="216"/>
      <c r="Z400" s="216"/>
    </row>
    <row r="401" spans="1:26" ht="15" customHeight="1">
      <c r="A401" s="290" t="s">
        <v>6907</v>
      </c>
      <c r="B401" s="290" t="s">
        <v>105</v>
      </c>
      <c r="C401" s="290" t="s">
        <v>6919</v>
      </c>
      <c r="D401" s="290" t="s">
        <v>6915</v>
      </c>
      <c r="E401" s="596" t="s">
        <v>6426</v>
      </c>
      <c r="F401" s="1061" t="s">
        <v>6660</v>
      </c>
      <c r="G401" s="290">
        <v>50</v>
      </c>
      <c r="H401" s="317">
        <v>24</v>
      </c>
      <c r="I401" s="512">
        <f>G401</f>
        <v>50</v>
      </c>
      <c r="J401" s="338" t="s">
        <v>113</v>
      </c>
      <c r="K401" s="216"/>
      <c r="L401" s="216"/>
      <c r="M401" s="216"/>
      <c r="N401" s="216"/>
      <c r="O401" s="216"/>
      <c r="P401" s="216"/>
      <c r="Q401" s="216"/>
      <c r="R401" s="216"/>
      <c r="S401" s="216"/>
      <c r="T401" s="216"/>
      <c r="U401" s="216"/>
      <c r="V401" s="216"/>
      <c r="W401" s="216"/>
      <c r="X401" s="216"/>
      <c r="Y401" s="216"/>
      <c r="Z401" s="216"/>
    </row>
    <row r="402" spans="1:26" ht="15" customHeight="1">
      <c r="A402" s="290" t="s">
        <v>6907</v>
      </c>
      <c r="B402" s="290" t="s">
        <v>105</v>
      </c>
      <c r="C402" s="290" t="s">
        <v>6917</v>
      </c>
      <c r="D402" s="290" t="s">
        <v>6908</v>
      </c>
      <c r="E402" s="596" t="s">
        <v>6326</v>
      </c>
      <c r="F402" s="290" t="s">
        <v>6920</v>
      </c>
      <c r="G402" s="290">
        <v>50</v>
      </c>
      <c r="H402" s="317">
        <v>12</v>
      </c>
      <c r="I402" s="512">
        <v>50</v>
      </c>
      <c r="J402" s="338" t="s">
        <v>113</v>
      </c>
      <c r="K402" s="216"/>
      <c r="L402" s="216"/>
      <c r="M402" s="216"/>
      <c r="N402" s="216"/>
      <c r="O402" s="216"/>
      <c r="P402" s="216"/>
      <c r="Q402" s="216"/>
      <c r="R402" s="216"/>
      <c r="S402" s="216"/>
      <c r="T402" s="216"/>
      <c r="U402" s="216"/>
      <c r="V402" s="216"/>
      <c r="W402" s="216"/>
      <c r="X402" s="216"/>
      <c r="Y402" s="216"/>
      <c r="Z402" s="216"/>
    </row>
    <row r="403" spans="1:26" ht="15" customHeight="1">
      <c r="A403" s="290" t="s">
        <v>6907</v>
      </c>
      <c r="B403" s="290" t="s">
        <v>105</v>
      </c>
      <c r="C403" s="290" t="s">
        <v>6921</v>
      </c>
      <c r="D403" s="290" t="s">
        <v>6908</v>
      </c>
      <c r="E403" s="596" t="s">
        <v>6326</v>
      </c>
      <c r="F403" s="290" t="s">
        <v>6922</v>
      </c>
      <c r="G403" s="290">
        <v>50</v>
      </c>
      <c r="H403" s="317">
        <v>12</v>
      </c>
      <c r="I403" s="512">
        <v>50</v>
      </c>
      <c r="J403" s="338" t="s">
        <v>113</v>
      </c>
      <c r="K403" s="216"/>
      <c r="L403" s="216"/>
      <c r="M403" s="216"/>
      <c r="N403" s="216"/>
      <c r="O403" s="216"/>
      <c r="P403" s="216"/>
      <c r="Q403" s="216"/>
      <c r="R403" s="216"/>
      <c r="S403" s="216"/>
      <c r="T403" s="216"/>
      <c r="U403" s="216"/>
      <c r="V403" s="216"/>
      <c r="W403" s="216"/>
      <c r="X403" s="216"/>
      <c r="Y403" s="216"/>
      <c r="Z403" s="216"/>
    </row>
    <row r="404" spans="1:26" ht="15" customHeight="1">
      <c r="A404" s="290" t="s">
        <v>6907</v>
      </c>
      <c r="B404" s="290" t="s">
        <v>105</v>
      </c>
      <c r="C404" s="290" t="s">
        <v>6923</v>
      </c>
      <c r="D404" s="290" t="s">
        <v>6833</v>
      </c>
      <c r="E404" s="645" t="s">
        <v>6352</v>
      </c>
      <c r="F404" s="290" t="s">
        <v>6924</v>
      </c>
      <c r="G404" s="290">
        <v>50</v>
      </c>
      <c r="H404" s="318">
        <v>12</v>
      </c>
      <c r="I404" s="290">
        <v>50</v>
      </c>
      <c r="J404" s="338" t="s">
        <v>113</v>
      </c>
      <c r="K404" s="216"/>
      <c r="L404" s="216"/>
      <c r="M404" s="216"/>
      <c r="N404" s="216"/>
      <c r="O404" s="216"/>
      <c r="P404" s="216"/>
      <c r="Q404" s="216"/>
      <c r="R404" s="216"/>
      <c r="S404" s="216"/>
      <c r="T404" s="216"/>
      <c r="U404" s="216"/>
      <c r="V404" s="216"/>
      <c r="W404" s="216"/>
      <c r="X404" s="216"/>
      <c r="Y404" s="216"/>
      <c r="Z404" s="216"/>
    </row>
    <row r="405" spans="1:26" ht="15" customHeight="1">
      <c r="A405" s="290" t="s">
        <v>6907</v>
      </c>
      <c r="B405" s="290" t="s">
        <v>105</v>
      </c>
      <c r="C405" s="290" t="s">
        <v>6925</v>
      </c>
      <c r="D405" s="290" t="s">
        <v>6926</v>
      </c>
      <c r="E405" s="596" t="s">
        <v>6927</v>
      </c>
      <c r="F405" s="290" t="s">
        <v>6928</v>
      </c>
      <c r="G405" s="290">
        <v>50</v>
      </c>
      <c r="H405" s="318">
        <v>12</v>
      </c>
      <c r="I405" s="290">
        <v>50</v>
      </c>
      <c r="J405" s="338" t="s">
        <v>113</v>
      </c>
      <c r="K405" s="216"/>
      <c r="L405" s="216"/>
      <c r="M405" s="216"/>
      <c r="N405" s="216"/>
      <c r="O405" s="216"/>
      <c r="P405" s="216"/>
      <c r="Q405" s="216"/>
      <c r="R405" s="216"/>
      <c r="S405" s="216"/>
      <c r="T405" s="216"/>
      <c r="U405" s="216"/>
      <c r="V405" s="216"/>
      <c r="W405" s="216"/>
      <c r="X405" s="216"/>
      <c r="Y405" s="216"/>
      <c r="Z405" s="216"/>
    </row>
    <row r="406" spans="1:26" ht="15" customHeight="1">
      <c r="A406" s="290" t="s">
        <v>6907</v>
      </c>
      <c r="B406" s="290" t="s">
        <v>105</v>
      </c>
      <c r="C406" s="290" t="s">
        <v>6929</v>
      </c>
      <c r="D406" s="290" t="s">
        <v>6930</v>
      </c>
      <c r="E406" s="596" t="s">
        <v>6931</v>
      </c>
      <c r="F406" s="290" t="s">
        <v>6932</v>
      </c>
      <c r="G406" s="290">
        <v>50</v>
      </c>
      <c r="H406" s="318">
        <v>6</v>
      </c>
      <c r="I406" s="290">
        <v>50</v>
      </c>
      <c r="J406" s="338" t="s">
        <v>113</v>
      </c>
      <c r="K406" s="216"/>
      <c r="L406" s="216"/>
      <c r="M406" s="216"/>
      <c r="N406" s="216"/>
      <c r="O406" s="216"/>
      <c r="P406" s="216"/>
      <c r="Q406" s="216"/>
      <c r="R406" s="216"/>
      <c r="S406" s="216"/>
      <c r="T406" s="216"/>
      <c r="U406" s="216"/>
      <c r="V406" s="216"/>
      <c r="W406" s="216"/>
      <c r="X406" s="216"/>
      <c r="Y406" s="216"/>
      <c r="Z406" s="216"/>
    </row>
    <row r="407" spans="1:26" ht="15" customHeight="1">
      <c r="A407" s="290" t="s">
        <v>6907</v>
      </c>
      <c r="B407" s="290" t="s">
        <v>105</v>
      </c>
      <c r="C407" s="290" t="s">
        <v>6933</v>
      </c>
      <c r="D407" s="290" t="s">
        <v>6934</v>
      </c>
      <c r="E407" s="596" t="s">
        <v>6312</v>
      </c>
      <c r="F407" s="290" t="s">
        <v>6935</v>
      </c>
      <c r="G407" s="290">
        <v>50</v>
      </c>
      <c r="H407" s="318">
        <v>24</v>
      </c>
      <c r="I407" s="290">
        <v>50</v>
      </c>
      <c r="J407" s="338" t="s">
        <v>113</v>
      </c>
      <c r="K407" s="216"/>
      <c r="L407" s="216"/>
      <c r="M407" s="216"/>
      <c r="N407" s="216"/>
      <c r="O407" s="216"/>
      <c r="P407" s="216"/>
      <c r="Q407" s="216"/>
      <c r="R407" s="216"/>
      <c r="S407" s="216"/>
      <c r="T407" s="216"/>
      <c r="U407" s="216"/>
      <c r="V407" s="216"/>
      <c r="W407" s="216"/>
      <c r="X407" s="216"/>
      <c r="Y407" s="216"/>
      <c r="Z407" s="216"/>
    </row>
    <row r="408" spans="1:26" ht="15" customHeight="1">
      <c r="A408" s="995" t="s">
        <v>1278</v>
      </c>
      <c r="B408" s="995" t="s">
        <v>105</v>
      </c>
      <c r="C408" s="995" t="s">
        <v>6936</v>
      </c>
      <c r="D408" s="995" t="s">
        <v>1338</v>
      </c>
      <c r="E408" s="1062" t="s">
        <v>6937</v>
      </c>
      <c r="F408" s="995" t="s">
        <v>6938</v>
      </c>
      <c r="G408" s="995">
        <v>100</v>
      </c>
      <c r="H408" s="1063"/>
      <c r="I408" s="1064">
        <v>300</v>
      </c>
      <c r="J408" s="338" t="s">
        <v>134</v>
      </c>
      <c r="K408" s="216"/>
      <c r="L408" s="216"/>
      <c r="M408" s="216"/>
      <c r="N408" s="216"/>
      <c r="O408" s="216"/>
      <c r="P408" s="216"/>
      <c r="Q408" s="216"/>
      <c r="R408" s="216"/>
      <c r="S408" s="216"/>
      <c r="T408" s="216"/>
      <c r="U408" s="216"/>
      <c r="V408" s="216"/>
      <c r="W408" s="216"/>
      <c r="X408" s="216"/>
      <c r="Y408" s="216"/>
      <c r="Z408" s="216"/>
    </row>
    <row r="409" spans="1:26" ht="15" customHeight="1">
      <c r="A409" s="162" t="s">
        <v>1278</v>
      </c>
      <c r="B409" s="162" t="s">
        <v>105</v>
      </c>
      <c r="C409" s="162" t="s">
        <v>6939</v>
      </c>
      <c r="D409" s="156" t="s">
        <v>1338</v>
      </c>
      <c r="E409" s="1065" t="s">
        <v>6940</v>
      </c>
      <c r="F409" s="162" t="s">
        <v>6941</v>
      </c>
      <c r="G409" s="812">
        <v>100</v>
      </c>
      <c r="H409" s="1066"/>
      <c r="I409" s="18">
        <v>50</v>
      </c>
      <c r="J409" s="338" t="s">
        <v>134</v>
      </c>
      <c r="K409" s="216"/>
      <c r="L409" s="216"/>
      <c r="M409" s="216"/>
      <c r="N409" s="216"/>
      <c r="O409" s="216"/>
      <c r="P409" s="216"/>
      <c r="Q409" s="216"/>
      <c r="R409" s="216"/>
      <c r="S409" s="216"/>
      <c r="T409" s="216"/>
      <c r="U409" s="216"/>
      <c r="V409" s="216"/>
      <c r="W409" s="216"/>
      <c r="X409" s="216"/>
      <c r="Y409" s="216"/>
      <c r="Z409" s="216"/>
    </row>
    <row r="410" spans="1:26" ht="15" customHeight="1">
      <c r="A410" s="162" t="s">
        <v>1278</v>
      </c>
      <c r="B410" s="162" t="s">
        <v>105</v>
      </c>
      <c r="C410" s="162" t="s">
        <v>6942</v>
      </c>
      <c r="D410" s="162" t="s">
        <v>1338</v>
      </c>
      <c r="E410" s="448" t="s">
        <v>6943</v>
      </c>
      <c r="F410" s="999" t="s">
        <v>6944</v>
      </c>
      <c r="G410" s="163">
        <v>10</v>
      </c>
      <c r="H410" s="1005"/>
      <c r="I410" s="18">
        <v>300</v>
      </c>
      <c r="J410" s="338" t="s">
        <v>134</v>
      </c>
      <c r="K410" s="216"/>
      <c r="L410" s="216"/>
      <c r="M410" s="216"/>
      <c r="N410" s="216"/>
      <c r="O410" s="216"/>
      <c r="P410" s="216"/>
      <c r="Q410" s="216"/>
      <c r="R410" s="216"/>
      <c r="S410" s="216"/>
      <c r="T410" s="216"/>
      <c r="U410" s="216"/>
      <c r="V410" s="216"/>
      <c r="W410" s="216"/>
      <c r="X410" s="216"/>
      <c r="Y410" s="216"/>
      <c r="Z410" s="216"/>
    </row>
    <row r="411" spans="1:26" ht="15" customHeight="1">
      <c r="A411" s="162" t="s">
        <v>1278</v>
      </c>
      <c r="B411" s="162" t="s">
        <v>105</v>
      </c>
      <c r="C411" s="162" t="s">
        <v>6945</v>
      </c>
      <c r="D411" s="162">
        <v>0</v>
      </c>
      <c r="E411" s="448" t="s">
        <v>6946</v>
      </c>
      <c r="F411" s="1067" t="s">
        <v>6947</v>
      </c>
      <c r="G411" s="163">
        <v>10</v>
      </c>
      <c r="H411" s="1005"/>
      <c r="I411" s="18">
        <v>50</v>
      </c>
      <c r="J411" s="338" t="s">
        <v>134</v>
      </c>
      <c r="K411" s="216"/>
      <c r="L411" s="216"/>
      <c r="M411" s="216"/>
      <c r="N411" s="216"/>
      <c r="O411" s="216"/>
      <c r="P411" s="216"/>
      <c r="Q411" s="216"/>
      <c r="R411" s="216"/>
      <c r="S411" s="216"/>
      <c r="T411" s="216"/>
      <c r="U411" s="216"/>
      <c r="V411" s="216"/>
      <c r="W411" s="216"/>
      <c r="X411" s="216"/>
      <c r="Y411" s="216"/>
      <c r="Z411" s="216"/>
    </row>
    <row r="412" spans="1:26" ht="15" customHeight="1">
      <c r="A412" s="162" t="s">
        <v>1278</v>
      </c>
      <c r="B412" s="162" t="s">
        <v>105</v>
      </c>
      <c r="C412" s="162" t="s">
        <v>214</v>
      </c>
      <c r="D412" s="162" t="s">
        <v>1338</v>
      </c>
      <c r="E412" s="162" t="s">
        <v>6948</v>
      </c>
      <c r="F412" s="1067">
        <v>44839</v>
      </c>
      <c r="G412" s="163">
        <v>10</v>
      </c>
      <c r="H412" s="1005"/>
      <c r="I412" s="18">
        <v>50</v>
      </c>
      <c r="J412" s="338" t="s">
        <v>134</v>
      </c>
      <c r="K412" s="216"/>
      <c r="L412" s="216"/>
      <c r="M412" s="216"/>
      <c r="N412" s="216"/>
      <c r="O412" s="216"/>
      <c r="P412" s="216"/>
      <c r="Q412" s="216"/>
      <c r="R412" s="216"/>
      <c r="S412" s="216"/>
      <c r="T412" s="216"/>
      <c r="U412" s="216"/>
      <c r="V412" s="216"/>
      <c r="W412" s="216"/>
      <c r="X412" s="216"/>
      <c r="Y412" s="216"/>
      <c r="Z412" s="216"/>
    </row>
    <row r="413" spans="1:26" ht="15" customHeight="1">
      <c r="A413" s="162" t="s">
        <v>1278</v>
      </c>
      <c r="B413" s="162" t="s">
        <v>105</v>
      </c>
      <c r="C413" s="162" t="s">
        <v>6949</v>
      </c>
      <c r="D413" s="162" t="s">
        <v>1868</v>
      </c>
      <c r="E413" s="162" t="s">
        <v>6950</v>
      </c>
      <c r="F413" s="1067">
        <v>44743</v>
      </c>
      <c r="G413" s="163">
        <v>10</v>
      </c>
      <c r="H413" s="1005"/>
      <c r="I413" s="18">
        <v>50</v>
      </c>
      <c r="J413" s="338" t="s">
        <v>134</v>
      </c>
      <c r="K413" s="216"/>
      <c r="L413" s="216"/>
      <c r="M413" s="216"/>
      <c r="N413" s="216"/>
      <c r="O413" s="216"/>
      <c r="P413" s="216"/>
      <c r="Q413" s="216"/>
      <c r="R413" s="216"/>
      <c r="S413" s="216"/>
      <c r="T413" s="216"/>
      <c r="U413" s="216"/>
      <c r="V413" s="216"/>
      <c r="W413" s="216"/>
      <c r="X413" s="216"/>
      <c r="Y413" s="216"/>
      <c r="Z413" s="216"/>
    </row>
    <row r="414" spans="1:26" ht="15" customHeight="1">
      <c r="A414" s="162" t="s">
        <v>1278</v>
      </c>
      <c r="B414" s="162" t="s">
        <v>105</v>
      </c>
      <c r="C414" s="162" t="s">
        <v>6949</v>
      </c>
      <c r="D414" s="162" t="s">
        <v>1868</v>
      </c>
      <c r="E414" s="162" t="s">
        <v>6951</v>
      </c>
      <c r="F414" s="1067">
        <v>44805</v>
      </c>
      <c r="G414" s="163">
        <v>10</v>
      </c>
      <c r="H414" s="1005"/>
      <c r="I414" s="18">
        <v>50</v>
      </c>
      <c r="J414" s="338" t="s">
        <v>134</v>
      </c>
      <c r="K414" s="216"/>
      <c r="L414" s="216"/>
      <c r="M414" s="216"/>
      <c r="N414" s="216"/>
      <c r="O414" s="216"/>
      <c r="P414" s="216"/>
      <c r="Q414" s="216"/>
      <c r="R414" s="216"/>
      <c r="S414" s="216"/>
      <c r="T414" s="216"/>
      <c r="U414" s="216"/>
      <c r="V414" s="216"/>
      <c r="W414" s="216"/>
      <c r="X414" s="216"/>
      <c r="Y414" s="216"/>
      <c r="Z414" s="216"/>
    </row>
    <row r="415" spans="1:26" ht="15" customHeight="1">
      <c r="A415" s="162" t="s">
        <v>1278</v>
      </c>
      <c r="B415" s="162" t="s">
        <v>105</v>
      </c>
      <c r="C415" s="162" t="s">
        <v>6952</v>
      </c>
      <c r="D415" s="162" t="s">
        <v>1338</v>
      </c>
      <c r="E415" s="448" t="s">
        <v>6953</v>
      </c>
      <c r="F415" s="1068" t="s">
        <v>6954</v>
      </c>
      <c r="G415" s="163">
        <v>10</v>
      </c>
      <c r="H415" s="1005"/>
      <c r="I415" s="18">
        <v>50</v>
      </c>
      <c r="J415" s="338" t="s">
        <v>134</v>
      </c>
      <c r="K415" s="216"/>
      <c r="L415" s="216"/>
      <c r="M415" s="216"/>
      <c r="N415" s="216"/>
      <c r="O415" s="216"/>
      <c r="P415" s="216"/>
      <c r="Q415" s="216"/>
      <c r="R415" s="216"/>
      <c r="S415" s="216"/>
      <c r="T415" s="216"/>
      <c r="U415" s="216"/>
      <c r="V415" s="216"/>
      <c r="W415" s="216"/>
      <c r="X415" s="216"/>
      <c r="Y415" s="216"/>
      <c r="Z415" s="216"/>
    </row>
    <row r="416" spans="1:26" ht="15" customHeight="1">
      <c r="A416" s="162" t="s">
        <v>1278</v>
      </c>
      <c r="B416" s="162" t="s">
        <v>105</v>
      </c>
      <c r="C416" s="162" t="s">
        <v>6952</v>
      </c>
      <c r="D416" s="162" t="s">
        <v>1338</v>
      </c>
      <c r="E416" s="448" t="s">
        <v>6955</v>
      </c>
      <c r="F416" s="1068" t="s">
        <v>6956</v>
      </c>
      <c r="G416" s="163">
        <v>10</v>
      </c>
      <c r="H416" s="1005"/>
      <c r="I416" s="18">
        <v>50</v>
      </c>
      <c r="J416" s="338" t="s">
        <v>134</v>
      </c>
      <c r="K416" s="216"/>
      <c r="L416" s="216"/>
      <c r="M416" s="216"/>
      <c r="N416" s="216"/>
      <c r="O416" s="216"/>
      <c r="P416" s="216"/>
      <c r="Q416" s="216"/>
      <c r="R416" s="216"/>
      <c r="S416" s="216"/>
      <c r="T416" s="216"/>
      <c r="U416" s="216"/>
      <c r="V416" s="216"/>
      <c r="W416" s="216"/>
      <c r="X416" s="216"/>
      <c r="Y416" s="216"/>
      <c r="Z416" s="216"/>
    </row>
    <row r="417" spans="1:26" ht="15" customHeight="1">
      <c r="A417" s="162" t="s">
        <v>1278</v>
      </c>
      <c r="B417" s="162" t="s">
        <v>105</v>
      </c>
      <c r="C417" s="162" t="s">
        <v>6957</v>
      </c>
      <c r="D417" s="162" t="s">
        <v>1338</v>
      </c>
      <c r="E417" s="162" t="s">
        <v>6958</v>
      </c>
      <c r="F417" s="1068">
        <v>44805</v>
      </c>
      <c r="G417" s="163">
        <v>10</v>
      </c>
      <c r="H417" s="1005"/>
      <c r="I417" s="18">
        <v>50</v>
      </c>
      <c r="J417" s="338" t="s">
        <v>134</v>
      </c>
      <c r="K417" s="216"/>
      <c r="L417" s="216"/>
      <c r="M417" s="216"/>
      <c r="N417" s="216"/>
      <c r="O417" s="216"/>
      <c r="P417" s="216"/>
      <c r="Q417" s="216"/>
      <c r="R417" s="216"/>
      <c r="S417" s="216"/>
      <c r="T417" s="216"/>
      <c r="U417" s="216"/>
      <c r="V417" s="216"/>
      <c r="W417" s="216"/>
      <c r="X417" s="216"/>
      <c r="Y417" s="216"/>
      <c r="Z417" s="216"/>
    </row>
    <row r="418" spans="1:26" ht="15" customHeight="1">
      <c r="A418" s="162" t="s">
        <v>1278</v>
      </c>
      <c r="B418" s="162" t="s">
        <v>105</v>
      </c>
      <c r="C418" s="162" t="s">
        <v>6959</v>
      </c>
      <c r="D418" s="162" t="s">
        <v>1338</v>
      </c>
      <c r="E418" s="162" t="s">
        <v>6960</v>
      </c>
      <c r="F418" s="1068">
        <v>44621</v>
      </c>
      <c r="G418" s="163">
        <v>10</v>
      </c>
      <c r="H418" s="18"/>
      <c r="I418" s="18">
        <v>50</v>
      </c>
      <c r="J418" s="338" t="s">
        <v>134</v>
      </c>
      <c r="K418" s="216"/>
      <c r="L418" s="216"/>
      <c r="M418" s="216"/>
      <c r="N418" s="216"/>
      <c r="O418" s="216"/>
      <c r="P418" s="216"/>
      <c r="Q418" s="216"/>
      <c r="R418" s="216"/>
      <c r="S418" s="216"/>
      <c r="T418" s="216"/>
      <c r="U418" s="216"/>
      <c r="V418" s="216"/>
      <c r="W418" s="216"/>
      <c r="X418" s="216"/>
      <c r="Y418" s="216"/>
      <c r="Z418" s="216"/>
    </row>
    <row r="419" spans="1:26" ht="15" customHeight="1">
      <c r="A419" s="162" t="s">
        <v>1278</v>
      </c>
      <c r="B419" s="162" t="s">
        <v>105</v>
      </c>
      <c r="C419" s="162" t="s">
        <v>1014</v>
      </c>
      <c r="D419" s="162" t="s">
        <v>1338</v>
      </c>
      <c r="E419" s="162" t="s">
        <v>6948</v>
      </c>
      <c r="F419" s="1068">
        <v>44621</v>
      </c>
      <c r="G419" s="163">
        <v>10</v>
      </c>
      <c r="H419" s="18"/>
      <c r="I419" s="18">
        <v>50</v>
      </c>
      <c r="J419" s="338" t="s">
        <v>134</v>
      </c>
      <c r="K419" s="216"/>
      <c r="L419" s="216"/>
      <c r="M419" s="216"/>
      <c r="N419" s="216"/>
      <c r="O419" s="216"/>
      <c r="P419" s="216"/>
      <c r="Q419" s="216"/>
      <c r="R419" s="216"/>
      <c r="S419" s="216"/>
      <c r="T419" s="216"/>
      <c r="U419" s="216"/>
      <c r="V419" s="216"/>
      <c r="W419" s="216"/>
      <c r="X419" s="216"/>
      <c r="Y419" s="216"/>
      <c r="Z419" s="216"/>
    </row>
    <row r="420" spans="1:26" ht="15" customHeight="1">
      <c r="A420" s="162" t="s">
        <v>1278</v>
      </c>
      <c r="B420" s="162" t="s">
        <v>105</v>
      </c>
      <c r="C420" s="162" t="s">
        <v>6961</v>
      </c>
      <c r="D420" s="162" t="s">
        <v>6961</v>
      </c>
      <c r="E420" s="162" t="s">
        <v>6948</v>
      </c>
      <c r="F420" s="1069">
        <v>44920</v>
      </c>
      <c r="G420" s="163">
        <v>10</v>
      </c>
      <c r="H420" s="18"/>
      <c r="I420" s="18">
        <v>50</v>
      </c>
      <c r="J420" s="338" t="s">
        <v>134</v>
      </c>
      <c r="K420" s="216"/>
      <c r="L420" s="216"/>
      <c r="M420" s="216"/>
      <c r="N420" s="216"/>
      <c r="O420" s="216"/>
      <c r="P420" s="216"/>
      <c r="Q420" s="216"/>
      <c r="R420" s="216"/>
      <c r="S420" s="216"/>
      <c r="T420" s="216"/>
      <c r="U420" s="216"/>
      <c r="V420" s="216"/>
      <c r="W420" s="216"/>
      <c r="X420" s="216"/>
      <c r="Y420" s="216"/>
      <c r="Z420" s="216"/>
    </row>
    <row r="421" spans="1:26" ht="15" customHeight="1">
      <c r="A421" s="162" t="s">
        <v>1278</v>
      </c>
      <c r="B421" s="162" t="s">
        <v>105</v>
      </c>
      <c r="C421" s="162" t="s">
        <v>6961</v>
      </c>
      <c r="D421" s="162" t="s">
        <v>6961</v>
      </c>
      <c r="E421" s="162" t="s">
        <v>6948</v>
      </c>
      <c r="F421" s="1069">
        <v>44774</v>
      </c>
      <c r="G421" s="163">
        <v>10</v>
      </c>
      <c r="H421" s="18"/>
      <c r="I421" s="18">
        <v>50</v>
      </c>
      <c r="J421" s="338" t="s">
        <v>134</v>
      </c>
      <c r="K421" s="216"/>
      <c r="L421" s="216"/>
      <c r="M421" s="216"/>
      <c r="N421" s="216"/>
      <c r="O421" s="216"/>
      <c r="P421" s="216"/>
      <c r="Q421" s="216"/>
      <c r="R421" s="216"/>
      <c r="S421" s="216"/>
      <c r="T421" s="216"/>
      <c r="U421" s="216"/>
      <c r="V421" s="216"/>
      <c r="W421" s="216"/>
      <c r="X421" s="216"/>
      <c r="Y421" s="216"/>
      <c r="Z421" s="216"/>
    </row>
    <row r="422" spans="1:26" ht="15" customHeight="1">
      <c r="A422" s="162" t="s">
        <v>1278</v>
      </c>
      <c r="B422" s="162" t="s">
        <v>105</v>
      </c>
      <c r="C422" s="162" t="s">
        <v>6961</v>
      </c>
      <c r="D422" s="162" t="s">
        <v>6961</v>
      </c>
      <c r="E422" s="162" t="s">
        <v>6948</v>
      </c>
      <c r="F422" s="1069">
        <v>44765</v>
      </c>
      <c r="G422" s="163">
        <v>10</v>
      </c>
      <c r="H422" s="18"/>
      <c r="I422" s="18">
        <v>50</v>
      </c>
      <c r="J422" s="338" t="s">
        <v>134</v>
      </c>
      <c r="K422" s="216"/>
      <c r="L422" s="216"/>
      <c r="M422" s="216"/>
      <c r="N422" s="216"/>
      <c r="O422" s="216"/>
      <c r="P422" s="216"/>
      <c r="Q422" s="216"/>
      <c r="R422" s="216"/>
      <c r="S422" s="216"/>
      <c r="T422" s="216"/>
      <c r="U422" s="216"/>
      <c r="V422" s="216"/>
      <c r="W422" s="216"/>
      <c r="X422" s="216"/>
      <c r="Y422" s="216"/>
      <c r="Z422" s="216"/>
    </row>
    <row r="423" spans="1:26" ht="15.75" customHeight="1"/>
    <row r="424" spans="1:26" ht="15" customHeight="1">
      <c r="A424" s="332" t="s">
        <v>169</v>
      </c>
      <c r="I424" s="332">
        <f>SUM(I16:I422)</f>
        <v>26605</v>
      </c>
    </row>
    <row r="425" spans="1:26" ht="15.75" customHeight="1"/>
    <row r="426" spans="1:26" ht="15" customHeight="1">
      <c r="A426" s="1231" t="s">
        <v>1156</v>
      </c>
      <c r="B426" s="1232"/>
      <c r="C426" s="1232"/>
      <c r="D426" s="1232"/>
      <c r="E426" s="1232"/>
      <c r="F426" s="1232"/>
      <c r="G426" s="1232"/>
      <c r="H426" s="1233"/>
    </row>
    <row r="427" spans="1:26" ht="15.75" customHeight="1"/>
    <row r="428" spans="1:26" ht="15.75" customHeight="1"/>
    <row r="429" spans="1:26" ht="15.75" customHeight="1"/>
    <row r="430" spans="1:26" ht="15.75" customHeight="1"/>
    <row r="431" spans="1:26" ht="15.75" customHeight="1"/>
    <row r="432" spans="1:26"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0:I10"/>
    <mergeCell ref="A11:I11"/>
    <mergeCell ref="A12:I12"/>
    <mergeCell ref="A13:I13"/>
    <mergeCell ref="A426:H426"/>
    <mergeCell ref="A8:I8"/>
    <mergeCell ref="A9:I9"/>
    <mergeCell ref="A2:I2"/>
    <mergeCell ref="A4:I4"/>
    <mergeCell ref="A5:I5"/>
    <mergeCell ref="A6:I6"/>
    <mergeCell ref="A7:I7"/>
  </mergeCells>
  <hyperlinks>
    <hyperlink ref="E16" r:id="rId1" xr:uid="{00000000-0004-0000-0D00-000000000000}"/>
    <hyperlink ref="D17" r:id="rId2" xr:uid="{00000000-0004-0000-0D00-000001000000}"/>
    <hyperlink ref="D18" r:id="rId3" xr:uid="{00000000-0004-0000-0D00-000002000000}"/>
    <hyperlink ref="E18" r:id="rId4" xr:uid="{00000000-0004-0000-0D00-000003000000}"/>
    <hyperlink ref="D19" r:id="rId5" xr:uid="{00000000-0004-0000-0D00-000004000000}"/>
    <hyperlink ref="E19" r:id="rId6" xr:uid="{00000000-0004-0000-0D00-000005000000}"/>
    <hyperlink ref="D20" r:id="rId7" xr:uid="{00000000-0004-0000-0D00-000006000000}"/>
    <hyperlink ref="E20" r:id="rId8" xr:uid="{00000000-0004-0000-0D00-000007000000}"/>
    <hyperlink ref="D21" r:id="rId9" xr:uid="{00000000-0004-0000-0D00-000008000000}"/>
    <hyperlink ref="E21" r:id="rId10" xr:uid="{00000000-0004-0000-0D00-000009000000}"/>
    <hyperlink ref="D22" r:id="rId11" xr:uid="{00000000-0004-0000-0D00-00000A000000}"/>
    <hyperlink ref="E22" r:id="rId12" xr:uid="{00000000-0004-0000-0D00-00000B000000}"/>
    <hyperlink ref="D23" r:id="rId13" xr:uid="{00000000-0004-0000-0D00-00000C000000}"/>
    <hyperlink ref="E25" r:id="rId14" xr:uid="{00000000-0004-0000-0D00-00000D000000}"/>
    <hyperlink ref="E32" r:id="rId15" xr:uid="{00000000-0004-0000-0D00-00000E000000}"/>
    <hyperlink ref="E33" r:id="rId16" xr:uid="{00000000-0004-0000-0D00-00000F000000}"/>
    <hyperlink ref="E34" r:id="rId17" xr:uid="{00000000-0004-0000-0D00-000010000000}"/>
    <hyperlink ref="E35" r:id="rId18" xr:uid="{00000000-0004-0000-0D00-000011000000}"/>
    <hyperlink ref="E36" r:id="rId19" xr:uid="{00000000-0004-0000-0D00-000012000000}"/>
    <hyperlink ref="E37" r:id="rId20" xr:uid="{00000000-0004-0000-0D00-000013000000}"/>
    <hyperlink ref="E38" r:id="rId21" xr:uid="{00000000-0004-0000-0D00-000014000000}"/>
    <hyperlink ref="E39" r:id="rId22" xr:uid="{00000000-0004-0000-0D00-000015000000}"/>
    <hyperlink ref="E48" r:id="rId23" xr:uid="{00000000-0004-0000-0D00-000016000000}"/>
    <hyperlink ref="E49" r:id="rId24" xr:uid="{00000000-0004-0000-0D00-000017000000}"/>
    <hyperlink ref="E50" r:id="rId25" xr:uid="{00000000-0004-0000-0D00-000018000000}"/>
    <hyperlink ref="E51" r:id="rId26" xr:uid="{00000000-0004-0000-0D00-000019000000}"/>
    <hyperlink ref="E52" r:id="rId27" xr:uid="{00000000-0004-0000-0D00-00001A000000}"/>
    <hyperlink ref="E53" r:id="rId28" xr:uid="{00000000-0004-0000-0D00-00001B000000}"/>
    <hyperlink ref="E54" r:id="rId29" xr:uid="{00000000-0004-0000-0D00-00001C000000}"/>
    <hyperlink ref="E56" r:id="rId30" xr:uid="{00000000-0004-0000-0D00-00001D000000}"/>
    <hyperlink ref="E57" r:id="rId31" xr:uid="{00000000-0004-0000-0D00-00001E000000}"/>
    <hyperlink ref="E58" r:id="rId32" xr:uid="{00000000-0004-0000-0D00-00001F000000}"/>
    <hyperlink ref="E59" r:id="rId33" xr:uid="{00000000-0004-0000-0D00-000020000000}"/>
    <hyperlink ref="E60" r:id="rId34" xr:uid="{00000000-0004-0000-0D00-000021000000}"/>
    <hyperlink ref="E61" r:id="rId35" xr:uid="{00000000-0004-0000-0D00-000022000000}"/>
    <hyperlink ref="E62" r:id="rId36" xr:uid="{00000000-0004-0000-0D00-000023000000}"/>
    <hyperlink ref="E63" r:id="rId37" xr:uid="{00000000-0004-0000-0D00-000024000000}"/>
    <hyperlink ref="E64" r:id="rId38" xr:uid="{00000000-0004-0000-0D00-000025000000}"/>
    <hyperlink ref="E65" r:id="rId39" xr:uid="{00000000-0004-0000-0D00-000026000000}"/>
    <hyperlink ref="E66" r:id="rId40" xr:uid="{00000000-0004-0000-0D00-000027000000}"/>
    <hyperlink ref="E67" r:id="rId41" xr:uid="{00000000-0004-0000-0D00-000028000000}"/>
    <hyperlink ref="E68" r:id="rId42" xr:uid="{00000000-0004-0000-0D00-000029000000}"/>
    <hyperlink ref="E69" r:id="rId43" xr:uid="{00000000-0004-0000-0D00-00002A000000}"/>
    <hyperlink ref="E70" r:id="rId44" xr:uid="{00000000-0004-0000-0D00-00002B000000}"/>
    <hyperlink ref="E71" r:id="rId45" xr:uid="{00000000-0004-0000-0D00-00002C000000}"/>
    <hyperlink ref="E72" r:id="rId46" xr:uid="{00000000-0004-0000-0D00-00002D000000}"/>
    <hyperlink ref="C73" r:id="rId47" xr:uid="{00000000-0004-0000-0D00-00002E000000}"/>
    <hyperlink ref="E73" r:id="rId48" xr:uid="{00000000-0004-0000-0D00-00002F000000}"/>
    <hyperlink ref="E74" r:id="rId49" xr:uid="{00000000-0004-0000-0D00-000030000000}"/>
    <hyperlink ref="E75" r:id="rId50" xr:uid="{00000000-0004-0000-0D00-000031000000}"/>
    <hyperlink ref="E76" r:id="rId51" xr:uid="{00000000-0004-0000-0D00-000032000000}"/>
    <hyperlink ref="E77" r:id="rId52" xr:uid="{00000000-0004-0000-0D00-000033000000}"/>
    <hyperlink ref="E78" r:id="rId53" xr:uid="{00000000-0004-0000-0D00-000034000000}"/>
    <hyperlink ref="E79" r:id="rId54" xr:uid="{00000000-0004-0000-0D00-000035000000}"/>
    <hyperlink ref="E80" r:id="rId55" xr:uid="{00000000-0004-0000-0D00-000036000000}"/>
    <hyperlink ref="E81" r:id="rId56" xr:uid="{00000000-0004-0000-0D00-000037000000}"/>
    <hyperlink ref="E82" r:id="rId57" xr:uid="{00000000-0004-0000-0D00-000038000000}"/>
    <hyperlink ref="E83" r:id="rId58" xr:uid="{00000000-0004-0000-0D00-000039000000}"/>
    <hyperlink ref="E84" r:id="rId59" xr:uid="{00000000-0004-0000-0D00-00003A000000}"/>
    <hyperlink ref="E85" r:id="rId60" xr:uid="{00000000-0004-0000-0D00-00003B000000}"/>
    <hyperlink ref="E86" r:id="rId61" xr:uid="{00000000-0004-0000-0D00-00003C000000}"/>
    <hyperlink ref="E87" r:id="rId62" xr:uid="{00000000-0004-0000-0D00-00003D000000}"/>
    <hyperlink ref="E88" r:id="rId63" xr:uid="{00000000-0004-0000-0D00-00003E000000}"/>
    <hyperlink ref="E89" r:id="rId64" xr:uid="{00000000-0004-0000-0D00-00003F000000}"/>
    <hyperlink ref="E90" r:id="rId65" xr:uid="{00000000-0004-0000-0D00-000040000000}"/>
    <hyperlink ref="E91" r:id="rId66" xr:uid="{00000000-0004-0000-0D00-000041000000}"/>
    <hyperlink ref="E96" r:id="rId67" xr:uid="{00000000-0004-0000-0D00-000042000000}"/>
    <hyperlink ref="E97" r:id="rId68" xr:uid="{00000000-0004-0000-0D00-000043000000}"/>
    <hyperlink ref="E98" r:id="rId69" xr:uid="{00000000-0004-0000-0D00-000044000000}"/>
    <hyperlink ref="E100" r:id="rId70" xr:uid="{00000000-0004-0000-0D00-000045000000}"/>
    <hyperlink ref="E101" r:id="rId71" xr:uid="{00000000-0004-0000-0D00-000046000000}"/>
    <hyperlink ref="E102" r:id="rId72" xr:uid="{00000000-0004-0000-0D00-000047000000}"/>
    <hyperlink ref="E103" r:id="rId73" xr:uid="{00000000-0004-0000-0D00-000048000000}"/>
    <hyperlink ref="E104" r:id="rId74" xr:uid="{00000000-0004-0000-0D00-000049000000}"/>
    <hyperlink ref="E105" r:id="rId75" xr:uid="{00000000-0004-0000-0D00-00004A000000}"/>
    <hyperlink ref="E106" r:id="rId76" xr:uid="{00000000-0004-0000-0D00-00004B000000}"/>
    <hyperlink ref="E107" r:id="rId77" xr:uid="{00000000-0004-0000-0D00-00004C000000}"/>
    <hyperlink ref="E108" r:id="rId78" xr:uid="{00000000-0004-0000-0D00-00004D000000}"/>
    <hyperlink ref="E109" r:id="rId79" xr:uid="{00000000-0004-0000-0D00-00004E000000}"/>
    <hyperlink ref="E110" r:id="rId80" xr:uid="{00000000-0004-0000-0D00-00004F000000}"/>
    <hyperlink ref="E111" r:id="rId81" xr:uid="{00000000-0004-0000-0D00-000050000000}"/>
    <hyperlink ref="E112" r:id="rId82" xr:uid="{00000000-0004-0000-0D00-000051000000}"/>
    <hyperlink ref="E113" r:id="rId83" xr:uid="{00000000-0004-0000-0D00-000052000000}"/>
    <hyperlink ref="E115" r:id="rId84" xr:uid="{00000000-0004-0000-0D00-000053000000}"/>
    <hyperlink ref="E116" r:id="rId85" xr:uid="{00000000-0004-0000-0D00-000054000000}"/>
    <hyperlink ref="E117" r:id="rId86" xr:uid="{00000000-0004-0000-0D00-000055000000}"/>
    <hyperlink ref="E118" r:id="rId87" xr:uid="{00000000-0004-0000-0D00-000056000000}"/>
    <hyperlink ref="E119" r:id="rId88" xr:uid="{00000000-0004-0000-0D00-000057000000}"/>
    <hyperlink ref="E120" r:id="rId89" xr:uid="{00000000-0004-0000-0D00-000058000000}"/>
    <hyperlink ref="E121" r:id="rId90" xr:uid="{00000000-0004-0000-0D00-000059000000}"/>
    <hyperlink ref="E122" r:id="rId91" xr:uid="{00000000-0004-0000-0D00-00005A000000}"/>
    <hyperlink ref="E135" r:id="rId92" xr:uid="{00000000-0004-0000-0D00-00005B000000}"/>
    <hyperlink ref="E136" r:id="rId93" xr:uid="{00000000-0004-0000-0D00-00005C000000}"/>
    <hyperlink ref="E137" r:id="rId94" xr:uid="{00000000-0004-0000-0D00-00005D000000}"/>
    <hyperlink ref="E138" r:id="rId95" xr:uid="{00000000-0004-0000-0D00-00005E000000}"/>
    <hyperlink ref="E139" r:id="rId96" xr:uid="{00000000-0004-0000-0D00-00005F000000}"/>
    <hyperlink ref="E140" r:id="rId97" xr:uid="{00000000-0004-0000-0D00-000060000000}"/>
    <hyperlink ref="E141" r:id="rId98" xr:uid="{00000000-0004-0000-0D00-000061000000}"/>
    <hyperlink ref="E142" r:id="rId99" xr:uid="{00000000-0004-0000-0D00-000062000000}"/>
    <hyperlink ref="E143" r:id="rId100" xr:uid="{00000000-0004-0000-0D00-000063000000}"/>
    <hyperlink ref="E144" r:id="rId101" xr:uid="{00000000-0004-0000-0D00-000064000000}"/>
    <hyperlink ref="E154" r:id="rId102" xr:uid="{00000000-0004-0000-0D00-000065000000}"/>
    <hyperlink ref="E155" r:id="rId103" xr:uid="{00000000-0004-0000-0D00-000066000000}"/>
    <hyperlink ref="E156" r:id="rId104" xr:uid="{00000000-0004-0000-0D00-000067000000}"/>
    <hyperlink ref="E157" r:id="rId105" xr:uid="{00000000-0004-0000-0D00-000068000000}"/>
    <hyperlink ref="E158" r:id="rId106" xr:uid="{00000000-0004-0000-0D00-000069000000}"/>
    <hyperlink ref="E159" r:id="rId107" xr:uid="{00000000-0004-0000-0D00-00006A000000}"/>
    <hyperlink ref="E160" r:id="rId108" xr:uid="{00000000-0004-0000-0D00-00006B000000}"/>
    <hyperlink ref="E161" r:id="rId109" xr:uid="{00000000-0004-0000-0D00-00006C000000}"/>
    <hyperlink ref="E162" r:id="rId110" xr:uid="{00000000-0004-0000-0D00-00006D000000}"/>
    <hyperlink ref="E163" r:id="rId111" xr:uid="{00000000-0004-0000-0D00-00006E000000}"/>
    <hyperlink ref="E164" r:id="rId112" xr:uid="{00000000-0004-0000-0D00-00006F000000}"/>
    <hyperlink ref="E165" r:id="rId113" xr:uid="{00000000-0004-0000-0D00-000070000000}"/>
    <hyperlink ref="E166" r:id="rId114" xr:uid="{00000000-0004-0000-0D00-000071000000}"/>
    <hyperlink ref="E167" r:id="rId115" xr:uid="{00000000-0004-0000-0D00-000072000000}"/>
    <hyperlink ref="E168" r:id="rId116" xr:uid="{00000000-0004-0000-0D00-000073000000}"/>
    <hyperlink ref="E169" r:id="rId117" xr:uid="{00000000-0004-0000-0D00-000074000000}"/>
    <hyperlink ref="E170" r:id="rId118" xr:uid="{00000000-0004-0000-0D00-000075000000}"/>
    <hyperlink ref="E171" r:id="rId119" xr:uid="{00000000-0004-0000-0D00-000076000000}"/>
    <hyperlink ref="E172" r:id="rId120" xr:uid="{00000000-0004-0000-0D00-000077000000}"/>
    <hyperlink ref="E173" r:id="rId121" xr:uid="{00000000-0004-0000-0D00-000078000000}"/>
    <hyperlink ref="E174" r:id="rId122" xr:uid="{00000000-0004-0000-0D00-000079000000}"/>
    <hyperlink ref="E175" r:id="rId123" xr:uid="{00000000-0004-0000-0D00-00007A000000}"/>
    <hyperlink ref="E176" r:id="rId124" xr:uid="{00000000-0004-0000-0D00-00007B000000}"/>
    <hyperlink ref="E179" r:id="rId125" xr:uid="{00000000-0004-0000-0D00-00007C000000}"/>
    <hyperlink ref="E180" r:id="rId126" xr:uid="{00000000-0004-0000-0D00-00007D000000}"/>
    <hyperlink ref="E181" r:id="rId127" xr:uid="{00000000-0004-0000-0D00-00007E000000}"/>
    <hyperlink ref="E182" r:id="rId128" xr:uid="{00000000-0004-0000-0D00-00007F000000}"/>
    <hyperlink ref="E183" r:id="rId129" xr:uid="{00000000-0004-0000-0D00-000080000000}"/>
    <hyperlink ref="E184" r:id="rId130" xr:uid="{00000000-0004-0000-0D00-000081000000}"/>
    <hyperlink ref="E185" r:id="rId131" xr:uid="{00000000-0004-0000-0D00-000082000000}"/>
    <hyperlink ref="E186" r:id="rId132" xr:uid="{00000000-0004-0000-0D00-000083000000}"/>
    <hyperlink ref="E187" r:id="rId133" xr:uid="{00000000-0004-0000-0D00-000084000000}"/>
    <hyperlink ref="E188" r:id="rId134" xr:uid="{00000000-0004-0000-0D00-000085000000}"/>
    <hyperlink ref="C190" r:id="rId135" xr:uid="{00000000-0004-0000-0D00-000086000000}"/>
    <hyperlink ref="C191" r:id="rId136" xr:uid="{00000000-0004-0000-0D00-000087000000}"/>
    <hyperlink ref="C193" r:id="rId137" xr:uid="{00000000-0004-0000-0D00-000088000000}"/>
    <hyperlink ref="C194" r:id="rId138" xr:uid="{00000000-0004-0000-0D00-000089000000}"/>
    <hyperlink ref="C195" r:id="rId139" xr:uid="{00000000-0004-0000-0D00-00008A000000}"/>
    <hyperlink ref="C196" r:id="rId140" xr:uid="{00000000-0004-0000-0D00-00008B000000}"/>
    <hyperlink ref="C197" r:id="rId141" xr:uid="{00000000-0004-0000-0D00-00008C000000}"/>
    <hyperlink ref="C198" r:id="rId142" xr:uid="{00000000-0004-0000-0D00-00008D000000}"/>
    <hyperlink ref="C199" r:id="rId143" xr:uid="{00000000-0004-0000-0D00-00008E000000}"/>
    <hyperlink ref="C200" r:id="rId144" xr:uid="{00000000-0004-0000-0D00-00008F000000}"/>
    <hyperlink ref="C201" r:id="rId145" xr:uid="{00000000-0004-0000-0D00-000090000000}"/>
    <hyperlink ref="C202" r:id="rId146" xr:uid="{00000000-0004-0000-0D00-000091000000}"/>
    <hyperlink ref="C203" r:id="rId147" xr:uid="{00000000-0004-0000-0D00-000092000000}"/>
    <hyperlink ref="C204" r:id="rId148" xr:uid="{00000000-0004-0000-0D00-000093000000}"/>
    <hyperlink ref="C205" r:id="rId149" xr:uid="{00000000-0004-0000-0D00-000094000000}"/>
    <hyperlink ref="C206" r:id="rId150" xr:uid="{00000000-0004-0000-0D00-000095000000}"/>
    <hyperlink ref="C207" r:id="rId151" xr:uid="{00000000-0004-0000-0D00-000096000000}"/>
    <hyperlink ref="C208" r:id="rId152" xr:uid="{00000000-0004-0000-0D00-000097000000}"/>
    <hyperlink ref="E209" r:id="rId153" xr:uid="{00000000-0004-0000-0D00-000098000000}"/>
    <hyperlink ref="E213" r:id="rId154" xr:uid="{00000000-0004-0000-0D00-000099000000}"/>
    <hyperlink ref="E214" r:id="rId155" xr:uid="{00000000-0004-0000-0D00-00009A000000}"/>
    <hyperlink ref="E215" r:id="rId156" xr:uid="{00000000-0004-0000-0D00-00009B000000}"/>
    <hyperlink ref="E216" r:id="rId157" xr:uid="{00000000-0004-0000-0D00-00009C000000}"/>
    <hyperlink ref="E217" r:id="rId158" xr:uid="{00000000-0004-0000-0D00-00009D000000}"/>
    <hyperlink ref="E218" r:id="rId159" xr:uid="{00000000-0004-0000-0D00-00009E000000}"/>
    <hyperlink ref="E219" r:id="rId160" xr:uid="{00000000-0004-0000-0D00-00009F000000}"/>
    <hyperlink ref="E220" r:id="rId161" xr:uid="{00000000-0004-0000-0D00-0000A0000000}"/>
    <hyperlink ref="E221" r:id="rId162" xr:uid="{00000000-0004-0000-0D00-0000A1000000}"/>
    <hyperlink ref="E222" r:id="rId163" xr:uid="{00000000-0004-0000-0D00-0000A2000000}"/>
    <hyperlink ref="E223" r:id="rId164" xr:uid="{00000000-0004-0000-0D00-0000A3000000}"/>
    <hyperlink ref="E224" r:id="rId165" xr:uid="{00000000-0004-0000-0D00-0000A4000000}"/>
    <hyperlink ref="E225" r:id="rId166" xr:uid="{00000000-0004-0000-0D00-0000A5000000}"/>
    <hyperlink ref="E226" r:id="rId167" xr:uid="{00000000-0004-0000-0D00-0000A6000000}"/>
    <hyperlink ref="E227" r:id="rId168" xr:uid="{00000000-0004-0000-0D00-0000A7000000}"/>
    <hyperlink ref="E228" r:id="rId169" xr:uid="{00000000-0004-0000-0D00-0000A8000000}"/>
    <hyperlink ref="E229" r:id="rId170" xr:uid="{00000000-0004-0000-0D00-0000A9000000}"/>
    <hyperlink ref="E230" r:id="rId171" xr:uid="{00000000-0004-0000-0D00-0000AA000000}"/>
    <hyperlink ref="E231" r:id="rId172" xr:uid="{00000000-0004-0000-0D00-0000AB000000}"/>
    <hyperlink ref="E232" r:id="rId173" xr:uid="{00000000-0004-0000-0D00-0000AC000000}"/>
    <hyperlink ref="E233" r:id="rId174" xr:uid="{00000000-0004-0000-0D00-0000AD000000}"/>
    <hyperlink ref="E234" r:id="rId175" xr:uid="{00000000-0004-0000-0D00-0000AE000000}"/>
    <hyperlink ref="E235" r:id="rId176" xr:uid="{00000000-0004-0000-0D00-0000AF000000}"/>
    <hyperlink ref="E236" r:id="rId177" xr:uid="{00000000-0004-0000-0D00-0000B0000000}"/>
    <hyperlink ref="E237" r:id="rId178" xr:uid="{00000000-0004-0000-0D00-0000B1000000}"/>
    <hyperlink ref="E238" r:id="rId179" xr:uid="{00000000-0004-0000-0D00-0000B2000000}"/>
    <hyperlink ref="E239" r:id="rId180" xr:uid="{00000000-0004-0000-0D00-0000B3000000}"/>
    <hyperlink ref="E240" r:id="rId181" xr:uid="{00000000-0004-0000-0D00-0000B4000000}"/>
    <hyperlink ref="E241" r:id="rId182" xr:uid="{00000000-0004-0000-0D00-0000B5000000}"/>
    <hyperlink ref="E242" r:id="rId183" xr:uid="{00000000-0004-0000-0D00-0000B6000000}"/>
    <hyperlink ref="E245" r:id="rId184" xr:uid="{00000000-0004-0000-0D00-0000B7000000}"/>
    <hyperlink ref="E246" r:id="rId185" xr:uid="{00000000-0004-0000-0D00-0000B8000000}"/>
    <hyperlink ref="E247" r:id="rId186" xr:uid="{00000000-0004-0000-0D00-0000B9000000}"/>
    <hyperlink ref="E248" r:id="rId187" xr:uid="{00000000-0004-0000-0D00-0000BA000000}"/>
    <hyperlink ref="E249" r:id="rId188" xr:uid="{00000000-0004-0000-0D00-0000BB000000}"/>
    <hyperlink ref="E250" r:id="rId189" xr:uid="{00000000-0004-0000-0D00-0000BC000000}"/>
    <hyperlink ref="E251" r:id="rId190" xr:uid="{00000000-0004-0000-0D00-0000BD000000}"/>
    <hyperlink ref="E252" r:id="rId191" xr:uid="{00000000-0004-0000-0D00-0000BE000000}"/>
    <hyperlink ref="E253" r:id="rId192" xr:uid="{00000000-0004-0000-0D00-0000BF000000}"/>
    <hyperlink ref="E254" r:id="rId193" xr:uid="{00000000-0004-0000-0D00-0000C0000000}"/>
    <hyperlink ref="E255" r:id="rId194" xr:uid="{00000000-0004-0000-0D00-0000C1000000}"/>
    <hyperlink ref="E256" r:id="rId195" xr:uid="{00000000-0004-0000-0D00-0000C2000000}"/>
    <hyperlink ref="C257" r:id="rId196" xr:uid="{00000000-0004-0000-0D00-0000C3000000}"/>
    <hyperlink ref="E257" r:id="rId197" xr:uid="{00000000-0004-0000-0D00-0000C4000000}"/>
    <hyperlink ref="E258" r:id="rId198" xr:uid="{00000000-0004-0000-0D00-0000C5000000}"/>
    <hyperlink ref="E259" r:id="rId199" xr:uid="{00000000-0004-0000-0D00-0000C6000000}"/>
    <hyperlink ref="E260" r:id="rId200" xr:uid="{00000000-0004-0000-0D00-0000C7000000}"/>
    <hyperlink ref="E261" r:id="rId201" xr:uid="{00000000-0004-0000-0D00-0000C8000000}"/>
    <hyperlink ref="E262" r:id="rId202" xr:uid="{00000000-0004-0000-0D00-0000C9000000}"/>
    <hyperlink ref="E263" r:id="rId203" xr:uid="{00000000-0004-0000-0D00-0000CA000000}"/>
    <hyperlink ref="E264" r:id="rId204" xr:uid="{00000000-0004-0000-0D00-0000CB000000}"/>
    <hyperlink ref="E265" r:id="rId205" xr:uid="{00000000-0004-0000-0D00-0000CC000000}"/>
    <hyperlink ref="E267" r:id="rId206" xr:uid="{00000000-0004-0000-0D00-0000CD000000}"/>
    <hyperlink ref="E268" r:id="rId207" xr:uid="{00000000-0004-0000-0D00-0000CE000000}"/>
    <hyperlink ref="E269" r:id="rId208" xr:uid="{00000000-0004-0000-0D00-0000CF000000}"/>
    <hyperlink ref="E270" r:id="rId209" xr:uid="{00000000-0004-0000-0D00-0000D0000000}"/>
    <hyperlink ref="D273" r:id="rId210" xr:uid="{00000000-0004-0000-0D00-0000D1000000}"/>
    <hyperlink ref="D274" r:id="rId211" xr:uid="{00000000-0004-0000-0D00-0000D2000000}"/>
    <hyperlink ref="E275" r:id="rId212" xr:uid="{00000000-0004-0000-0D00-0000D3000000}"/>
    <hyperlink ref="E276" r:id="rId213" xr:uid="{00000000-0004-0000-0D00-0000D4000000}"/>
    <hyperlink ref="E287" r:id="rId214" xr:uid="{00000000-0004-0000-0D00-0000D5000000}"/>
    <hyperlink ref="E288" r:id="rId215" xr:uid="{00000000-0004-0000-0D00-0000D6000000}"/>
    <hyperlink ref="E290" r:id="rId216" xr:uid="{00000000-0004-0000-0D00-0000D7000000}"/>
    <hyperlink ref="E291" r:id="rId217" xr:uid="{00000000-0004-0000-0D00-0000D8000000}"/>
    <hyperlink ref="E292" r:id="rId218" xr:uid="{00000000-0004-0000-0D00-0000D9000000}"/>
    <hyperlink ref="E293" r:id="rId219" xr:uid="{00000000-0004-0000-0D00-0000DA000000}"/>
    <hyperlink ref="E294" r:id="rId220" xr:uid="{00000000-0004-0000-0D00-0000DB000000}"/>
    <hyperlink ref="E295" r:id="rId221" xr:uid="{00000000-0004-0000-0D00-0000DC000000}"/>
    <hyperlink ref="E296" r:id="rId222" xr:uid="{00000000-0004-0000-0D00-0000DD000000}"/>
    <hyperlink ref="E297" r:id="rId223" xr:uid="{00000000-0004-0000-0D00-0000DE000000}"/>
    <hyperlink ref="E298" r:id="rId224" xr:uid="{00000000-0004-0000-0D00-0000DF000000}"/>
    <hyperlink ref="E299" r:id="rId225" xr:uid="{00000000-0004-0000-0D00-0000E0000000}"/>
    <hyperlink ref="E300" r:id="rId226" xr:uid="{00000000-0004-0000-0D00-0000E1000000}"/>
    <hyperlink ref="E302" r:id="rId227" xr:uid="{00000000-0004-0000-0D00-0000E2000000}"/>
    <hyperlink ref="E303" r:id="rId228" xr:uid="{00000000-0004-0000-0D00-0000E3000000}"/>
    <hyperlink ref="E307" r:id="rId229" xr:uid="{00000000-0004-0000-0D00-0000E4000000}"/>
    <hyperlink ref="E309" r:id="rId230" xr:uid="{00000000-0004-0000-0D00-0000E5000000}"/>
    <hyperlink ref="E311" r:id="rId231" xr:uid="{00000000-0004-0000-0D00-0000E6000000}"/>
    <hyperlink ref="E312" r:id="rId232" xr:uid="{00000000-0004-0000-0D00-0000E7000000}"/>
    <hyperlink ref="E313" r:id="rId233" xr:uid="{00000000-0004-0000-0D00-0000E8000000}"/>
    <hyperlink ref="E314" r:id="rId234" xr:uid="{00000000-0004-0000-0D00-0000E9000000}"/>
    <hyperlink ref="E315" r:id="rId235" xr:uid="{00000000-0004-0000-0D00-0000EA000000}"/>
    <hyperlink ref="E316" r:id="rId236" xr:uid="{00000000-0004-0000-0D00-0000EB000000}"/>
    <hyperlink ref="E317" r:id="rId237" xr:uid="{00000000-0004-0000-0D00-0000EC000000}"/>
    <hyperlink ref="E324" r:id="rId238" xr:uid="{00000000-0004-0000-0D00-0000ED000000}"/>
    <hyperlink ref="E325" r:id="rId239" xr:uid="{00000000-0004-0000-0D00-0000EE000000}"/>
    <hyperlink ref="E326" r:id="rId240" xr:uid="{00000000-0004-0000-0D00-0000EF000000}"/>
    <hyperlink ref="E327" r:id="rId241" xr:uid="{00000000-0004-0000-0D00-0000F0000000}"/>
    <hyperlink ref="E328" r:id="rId242" xr:uid="{00000000-0004-0000-0D00-0000F1000000}"/>
    <hyperlink ref="E329" r:id="rId243" xr:uid="{00000000-0004-0000-0D00-0000F2000000}"/>
    <hyperlink ref="E330" r:id="rId244" xr:uid="{00000000-0004-0000-0D00-0000F3000000}"/>
    <hyperlink ref="E334" r:id="rId245" xr:uid="{00000000-0004-0000-0D00-0000F4000000}"/>
    <hyperlink ref="E336" r:id="rId246" xr:uid="{00000000-0004-0000-0D00-0000F5000000}"/>
    <hyperlink ref="E337" r:id="rId247" xr:uid="{00000000-0004-0000-0D00-0000F6000000}"/>
    <hyperlink ref="E339" r:id="rId248" xr:uid="{00000000-0004-0000-0D00-0000F7000000}"/>
    <hyperlink ref="E344" r:id="rId249" xr:uid="{00000000-0004-0000-0D00-0000F8000000}"/>
    <hyperlink ref="E345" r:id="rId250" xr:uid="{00000000-0004-0000-0D00-0000F9000000}"/>
    <hyperlink ref="E346" r:id="rId251" xr:uid="{00000000-0004-0000-0D00-0000FA000000}"/>
    <hyperlink ref="E347" r:id="rId252" xr:uid="{00000000-0004-0000-0D00-0000FB000000}"/>
    <hyperlink ref="E362" r:id="rId253" xr:uid="{00000000-0004-0000-0D00-0000FC000000}"/>
    <hyperlink ref="E364" r:id="rId254" xr:uid="{00000000-0004-0000-0D00-0000FD000000}"/>
    <hyperlink ref="E365" r:id="rId255" xr:uid="{00000000-0004-0000-0D00-0000FE000000}"/>
    <hyperlink ref="E367" r:id="rId256" xr:uid="{00000000-0004-0000-0D00-0000FF000000}"/>
    <hyperlink ref="E369" r:id="rId257" xr:uid="{00000000-0004-0000-0D00-000000010000}"/>
    <hyperlink ref="E374" r:id="rId258" xr:uid="{00000000-0004-0000-0D00-000001010000}"/>
    <hyperlink ref="E375" r:id="rId259" xr:uid="{00000000-0004-0000-0D00-000002010000}"/>
    <hyperlink ref="E376" r:id="rId260" xr:uid="{00000000-0004-0000-0D00-000003010000}"/>
    <hyperlink ref="E377" r:id="rId261" xr:uid="{00000000-0004-0000-0D00-000004010000}"/>
    <hyperlink ref="E378" r:id="rId262" xr:uid="{00000000-0004-0000-0D00-000005010000}"/>
    <hyperlink ref="E379" r:id="rId263" xr:uid="{00000000-0004-0000-0D00-000006010000}"/>
    <hyperlink ref="E380" r:id="rId264" xr:uid="{00000000-0004-0000-0D00-000007010000}"/>
    <hyperlink ref="E381" r:id="rId265" xr:uid="{00000000-0004-0000-0D00-000008010000}"/>
    <hyperlink ref="E382" r:id="rId266" xr:uid="{00000000-0004-0000-0D00-000009010000}"/>
    <hyperlink ref="E383" r:id="rId267" xr:uid="{00000000-0004-0000-0D00-00000A010000}"/>
    <hyperlink ref="E384" r:id="rId268" xr:uid="{00000000-0004-0000-0D00-00000B010000}"/>
    <hyperlink ref="E385" r:id="rId269" xr:uid="{00000000-0004-0000-0D00-00000C010000}"/>
    <hyperlink ref="E386" r:id="rId270" xr:uid="{00000000-0004-0000-0D00-00000D010000}"/>
    <hyperlink ref="E387" r:id="rId271" xr:uid="{00000000-0004-0000-0D00-00000E010000}"/>
    <hyperlink ref="E388" r:id="rId272" xr:uid="{00000000-0004-0000-0D00-00000F010000}"/>
    <hyperlink ref="E389" r:id="rId273" xr:uid="{00000000-0004-0000-0D00-000010010000}"/>
    <hyperlink ref="E390" r:id="rId274" xr:uid="{00000000-0004-0000-0D00-000011010000}"/>
    <hyperlink ref="E391" r:id="rId275" xr:uid="{00000000-0004-0000-0D00-000012010000}"/>
    <hyperlink ref="E392" r:id="rId276" xr:uid="{00000000-0004-0000-0D00-000013010000}"/>
    <hyperlink ref="E393" r:id="rId277" xr:uid="{00000000-0004-0000-0D00-000014010000}"/>
    <hyperlink ref="E394" r:id="rId278" xr:uid="{00000000-0004-0000-0D00-000015010000}"/>
    <hyperlink ref="E395" r:id="rId279" xr:uid="{00000000-0004-0000-0D00-000016010000}"/>
    <hyperlink ref="E396" r:id="rId280" xr:uid="{00000000-0004-0000-0D00-000017010000}"/>
    <hyperlink ref="E397" r:id="rId281" xr:uid="{00000000-0004-0000-0D00-000018010000}"/>
    <hyperlink ref="E398" r:id="rId282" xr:uid="{00000000-0004-0000-0D00-000019010000}"/>
    <hyperlink ref="E399" r:id="rId283" xr:uid="{00000000-0004-0000-0D00-00001A010000}"/>
    <hyperlink ref="E400" r:id="rId284" xr:uid="{00000000-0004-0000-0D00-00001B010000}"/>
    <hyperlink ref="E401" r:id="rId285" xr:uid="{00000000-0004-0000-0D00-00001C010000}"/>
    <hyperlink ref="E402" r:id="rId286" xr:uid="{00000000-0004-0000-0D00-00001D010000}"/>
    <hyperlink ref="E403" r:id="rId287" xr:uid="{00000000-0004-0000-0D00-00001E010000}"/>
    <hyperlink ref="E405" r:id="rId288" xr:uid="{00000000-0004-0000-0D00-00001F010000}"/>
    <hyperlink ref="E406" r:id="rId289" xr:uid="{00000000-0004-0000-0D00-000020010000}"/>
    <hyperlink ref="E407" r:id="rId290" xr:uid="{00000000-0004-0000-0D00-000021010000}"/>
    <hyperlink ref="E408" r:id="rId291" xr:uid="{00000000-0004-0000-0D00-000022010000}"/>
    <hyperlink ref="E409" r:id="rId292" xr:uid="{00000000-0004-0000-0D00-000023010000}"/>
    <hyperlink ref="E410" r:id="rId293" xr:uid="{00000000-0004-0000-0D00-000024010000}"/>
    <hyperlink ref="E411" r:id="rId294" xr:uid="{00000000-0004-0000-0D00-000025010000}"/>
    <hyperlink ref="E415" r:id="rId295" xr:uid="{00000000-0004-0000-0D00-000026010000}"/>
    <hyperlink ref="E416" r:id="rId296" xr:uid="{00000000-0004-0000-0D00-000027010000}"/>
  </hyperlinks>
  <pageMargins left="0.75" right="0.75" top="1" bottom="1"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Z1000"/>
  <sheetViews>
    <sheetView workbookViewId="0"/>
  </sheetViews>
  <sheetFormatPr defaultColWidth="14.3984375" defaultRowHeight="15" customHeight="1"/>
  <cols>
    <col min="1" max="1" width="23.73046875" customWidth="1"/>
    <col min="2" max="2" width="11.73046875" customWidth="1"/>
    <col min="3" max="3" width="22.3984375" customWidth="1"/>
    <col min="4" max="7" width="23.86328125" customWidth="1"/>
    <col min="8" max="8" width="23.3984375" customWidth="1"/>
    <col min="9" max="9" width="26.3984375" customWidth="1"/>
    <col min="10" max="13" width="8.86328125" customWidth="1"/>
    <col min="14" max="15" width="8" customWidth="1"/>
  </cols>
  <sheetData>
    <row r="1" spans="1:26" ht="14.25">
      <c r="A1" s="64"/>
      <c r="B1" s="65"/>
      <c r="C1" s="65"/>
      <c r="D1" s="65"/>
      <c r="E1" s="65"/>
      <c r="F1" s="65"/>
      <c r="G1" s="65"/>
      <c r="H1" s="1"/>
      <c r="I1" s="216"/>
      <c r="J1" s="216"/>
      <c r="K1" s="216"/>
      <c r="L1" s="216"/>
      <c r="M1" s="216"/>
      <c r="N1" s="216"/>
      <c r="O1" s="216"/>
      <c r="P1" s="216"/>
      <c r="Q1" s="216"/>
      <c r="R1" s="216"/>
      <c r="S1" s="216"/>
      <c r="T1" s="216"/>
      <c r="U1" s="216"/>
      <c r="V1" s="216"/>
      <c r="W1" s="216"/>
      <c r="X1" s="216"/>
      <c r="Y1" s="216"/>
      <c r="Z1" s="216"/>
    </row>
    <row r="2" spans="1:26" ht="15.75" customHeight="1">
      <c r="A2" s="1253" t="s">
        <v>6962</v>
      </c>
      <c r="B2" s="1232"/>
      <c r="C2" s="1232"/>
      <c r="D2" s="1232"/>
      <c r="E2" s="1232"/>
      <c r="F2" s="1232"/>
      <c r="G2" s="1232"/>
      <c r="H2" s="1232"/>
      <c r="I2" s="1232"/>
      <c r="J2" s="1232"/>
      <c r="K2" s="1232"/>
      <c r="L2" s="1232"/>
      <c r="M2" s="1232"/>
      <c r="N2" s="1232"/>
      <c r="O2" s="1233"/>
      <c r="P2" s="216"/>
      <c r="Q2" s="216"/>
      <c r="R2" s="216"/>
      <c r="S2" s="216"/>
      <c r="T2" s="216"/>
      <c r="U2" s="216"/>
      <c r="V2" s="216"/>
      <c r="W2" s="216"/>
      <c r="X2" s="216"/>
      <c r="Y2" s="216"/>
      <c r="Z2" s="216"/>
    </row>
    <row r="3" spans="1:26" ht="14.25">
      <c r="A3" s="80"/>
      <c r="B3" s="80"/>
      <c r="C3" s="80"/>
      <c r="D3" s="80"/>
      <c r="E3" s="80"/>
      <c r="F3" s="80"/>
      <c r="G3" s="80"/>
      <c r="H3" s="80"/>
      <c r="I3" s="216"/>
      <c r="J3" s="216"/>
      <c r="K3" s="216"/>
      <c r="L3" s="216"/>
      <c r="M3" s="216"/>
      <c r="N3" s="216"/>
      <c r="O3" s="216"/>
      <c r="P3" s="216"/>
      <c r="Q3" s="216"/>
      <c r="R3" s="216"/>
      <c r="S3" s="216"/>
      <c r="T3" s="216"/>
      <c r="U3" s="216"/>
      <c r="V3" s="216"/>
      <c r="W3" s="216"/>
      <c r="X3" s="216"/>
      <c r="Y3" s="216"/>
      <c r="Z3" s="216"/>
    </row>
    <row r="4" spans="1:26" ht="21.75" customHeight="1">
      <c r="A4" s="1247" t="s">
        <v>4442</v>
      </c>
      <c r="B4" s="1227"/>
      <c r="C4" s="1227"/>
      <c r="D4" s="1227"/>
      <c r="E4" s="1227"/>
      <c r="F4" s="1227"/>
      <c r="G4" s="1227"/>
      <c r="H4" s="1227"/>
      <c r="I4" s="1227"/>
      <c r="J4" s="1227"/>
      <c r="K4" s="1227"/>
      <c r="L4" s="1227"/>
      <c r="M4" s="1227"/>
      <c r="N4" s="1227"/>
      <c r="O4" s="1228"/>
      <c r="P4" s="216"/>
      <c r="Q4" s="216"/>
      <c r="R4" s="216"/>
      <c r="S4" s="216"/>
      <c r="T4" s="216"/>
      <c r="U4" s="216"/>
      <c r="V4" s="216"/>
      <c r="W4" s="216"/>
      <c r="X4" s="216"/>
      <c r="Y4" s="216"/>
      <c r="Z4" s="216"/>
    </row>
    <row r="5" spans="1:26" ht="17.25" customHeight="1">
      <c r="A5" s="1247" t="s">
        <v>6963</v>
      </c>
      <c r="B5" s="1227"/>
      <c r="C5" s="1227"/>
      <c r="D5" s="1227"/>
      <c r="E5" s="1227"/>
      <c r="F5" s="1227"/>
      <c r="G5" s="1227"/>
      <c r="H5" s="1227"/>
      <c r="I5" s="1227"/>
      <c r="J5" s="1227"/>
      <c r="K5" s="1227"/>
      <c r="L5" s="1227"/>
      <c r="M5" s="1227"/>
      <c r="N5" s="1227"/>
      <c r="O5" s="1228"/>
      <c r="P5" s="216"/>
      <c r="Q5" s="216"/>
      <c r="R5" s="216"/>
      <c r="S5" s="216"/>
      <c r="T5" s="216"/>
      <c r="U5" s="216"/>
      <c r="V5" s="216"/>
      <c r="W5" s="216"/>
      <c r="X5" s="216"/>
      <c r="Y5" s="216"/>
      <c r="Z5" s="216"/>
    </row>
    <row r="6" spans="1:26" ht="26.25" customHeight="1">
      <c r="A6" s="1255" t="s">
        <v>6964</v>
      </c>
      <c r="B6" s="1227"/>
      <c r="C6" s="1227"/>
      <c r="D6" s="1227"/>
      <c r="E6" s="1227"/>
      <c r="F6" s="1227"/>
      <c r="G6" s="1227"/>
      <c r="H6" s="1227"/>
      <c r="I6" s="1227"/>
      <c r="J6" s="1227"/>
      <c r="K6" s="1227"/>
      <c r="L6" s="1227"/>
      <c r="M6" s="1227"/>
      <c r="N6" s="1227"/>
      <c r="O6" s="1228"/>
      <c r="P6" s="216"/>
      <c r="Q6" s="216"/>
      <c r="R6" s="216"/>
      <c r="S6" s="216"/>
      <c r="T6" s="216"/>
      <c r="U6" s="216"/>
      <c r="V6" s="216"/>
      <c r="W6" s="216"/>
      <c r="X6" s="216"/>
      <c r="Y6" s="216"/>
      <c r="Z6" s="216"/>
    </row>
    <row r="7" spans="1:26" ht="38.25" customHeight="1">
      <c r="A7" s="1255" t="s">
        <v>6965</v>
      </c>
      <c r="B7" s="1227"/>
      <c r="C7" s="1227"/>
      <c r="D7" s="1227"/>
      <c r="E7" s="1227"/>
      <c r="F7" s="1227"/>
      <c r="G7" s="1227"/>
      <c r="H7" s="1227"/>
      <c r="I7" s="1227"/>
      <c r="J7" s="1227"/>
      <c r="K7" s="1227"/>
      <c r="L7" s="1227"/>
      <c r="M7" s="1227"/>
      <c r="N7" s="1227"/>
      <c r="O7" s="1228"/>
      <c r="P7" s="216"/>
      <c r="Q7" s="216"/>
      <c r="R7" s="216"/>
      <c r="S7" s="216"/>
      <c r="T7" s="216"/>
      <c r="U7" s="216"/>
      <c r="V7" s="216"/>
      <c r="W7" s="216"/>
      <c r="X7" s="216"/>
      <c r="Y7" s="216"/>
      <c r="Z7" s="216"/>
    </row>
    <row r="8" spans="1:26" ht="14.25" customHeight="1">
      <c r="A8" s="1255" t="s">
        <v>6966</v>
      </c>
      <c r="B8" s="1227"/>
      <c r="C8" s="1227"/>
      <c r="D8" s="1227"/>
      <c r="E8" s="1227"/>
      <c r="F8" s="1227"/>
      <c r="G8" s="1227"/>
      <c r="H8" s="1227"/>
      <c r="I8" s="1227"/>
      <c r="J8" s="1227"/>
      <c r="K8" s="1227"/>
      <c r="L8" s="1227"/>
      <c r="M8" s="1227"/>
      <c r="N8" s="1227"/>
      <c r="O8" s="1228"/>
      <c r="P8" s="216"/>
      <c r="Q8" s="216"/>
      <c r="R8" s="216"/>
      <c r="S8" s="216"/>
      <c r="T8" s="216"/>
      <c r="U8" s="216"/>
      <c r="V8" s="216"/>
      <c r="W8" s="216"/>
      <c r="X8" s="216"/>
      <c r="Y8" s="216"/>
      <c r="Z8" s="216"/>
    </row>
    <row r="9" spans="1:26" ht="14.25" customHeight="1">
      <c r="A9" s="1255" t="s">
        <v>6967</v>
      </c>
      <c r="B9" s="1227"/>
      <c r="C9" s="1227"/>
      <c r="D9" s="1227"/>
      <c r="E9" s="1227"/>
      <c r="F9" s="1227"/>
      <c r="G9" s="1227"/>
      <c r="H9" s="1227"/>
      <c r="I9" s="1227"/>
      <c r="J9" s="1227"/>
      <c r="K9" s="1227"/>
      <c r="L9" s="1227"/>
      <c r="M9" s="1227"/>
      <c r="N9" s="1227"/>
      <c r="O9" s="1228"/>
      <c r="P9" s="216"/>
      <c r="Q9" s="216"/>
      <c r="R9" s="216"/>
      <c r="S9" s="216"/>
      <c r="T9" s="216"/>
      <c r="U9" s="216"/>
      <c r="V9" s="216"/>
      <c r="W9" s="216"/>
      <c r="X9" s="216"/>
      <c r="Y9" s="216"/>
      <c r="Z9" s="216"/>
    </row>
    <row r="10" spans="1:26" ht="14.25" customHeight="1">
      <c r="A10" s="1255" t="s">
        <v>6968</v>
      </c>
      <c r="B10" s="1227"/>
      <c r="C10" s="1227"/>
      <c r="D10" s="1227"/>
      <c r="E10" s="1227"/>
      <c r="F10" s="1227"/>
      <c r="G10" s="1227"/>
      <c r="H10" s="1227"/>
      <c r="I10" s="1227"/>
      <c r="J10" s="1227"/>
      <c r="K10" s="1227"/>
      <c r="L10" s="1227"/>
      <c r="M10" s="1227"/>
      <c r="N10" s="1227"/>
      <c r="O10" s="1228"/>
      <c r="P10" s="216"/>
      <c r="Q10" s="216"/>
      <c r="R10" s="216"/>
      <c r="S10" s="216"/>
      <c r="T10" s="216"/>
      <c r="U10" s="216"/>
      <c r="V10" s="216"/>
      <c r="W10" s="216"/>
      <c r="X10" s="216"/>
      <c r="Y10" s="216"/>
      <c r="Z10" s="216"/>
    </row>
    <row r="11" spans="1:26" ht="240" customHeight="1">
      <c r="A11" s="1256" t="s">
        <v>6969</v>
      </c>
      <c r="B11" s="1227"/>
      <c r="C11" s="1227"/>
      <c r="D11" s="1227"/>
      <c r="E11" s="1227"/>
      <c r="F11" s="1227"/>
      <c r="G11" s="1227"/>
      <c r="H11" s="1227"/>
      <c r="I11" s="1227"/>
      <c r="J11" s="1227"/>
      <c r="K11" s="1227"/>
      <c r="L11" s="1227"/>
      <c r="M11" s="1227"/>
      <c r="N11" s="1227"/>
      <c r="O11" s="1228"/>
      <c r="P11" s="216"/>
      <c r="Q11" s="216"/>
      <c r="R11" s="216"/>
      <c r="S11" s="216"/>
      <c r="T11" s="216"/>
      <c r="U11" s="216"/>
      <c r="V11" s="216"/>
      <c r="W11" s="216"/>
      <c r="X11" s="216"/>
      <c r="Y11" s="216"/>
      <c r="Z11" s="216"/>
    </row>
    <row r="12" spans="1:26" ht="14.25">
      <c r="A12" s="77"/>
      <c r="B12" s="78"/>
      <c r="C12" s="78"/>
      <c r="D12" s="78"/>
      <c r="E12" s="78"/>
      <c r="F12" s="78"/>
      <c r="G12" s="78"/>
      <c r="H12" s="77"/>
      <c r="I12" s="216"/>
      <c r="J12" s="216"/>
      <c r="K12" s="216"/>
      <c r="L12" s="216"/>
      <c r="M12" s="216"/>
      <c r="N12" s="216"/>
      <c r="O12" s="216"/>
      <c r="P12" s="216"/>
      <c r="Q12" s="216"/>
      <c r="R12" s="216"/>
      <c r="S12" s="216"/>
      <c r="T12" s="216"/>
      <c r="U12" s="216"/>
      <c r="V12" s="216"/>
      <c r="W12" s="216"/>
      <c r="X12" s="216"/>
      <c r="Y12" s="216"/>
      <c r="Z12" s="216"/>
    </row>
    <row r="13" spans="1:26" ht="61.5" customHeight="1">
      <c r="A13" s="377" t="s">
        <v>6</v>
      </c>
      <c r="B13" s="83" t="s">
        <v>7</v>
      </c>
      <c r="C13" s="377" t="s">
        <v>6970</v>
      </c>
      <c r="D13" s="377" t="s">
        <v>6971</v>
      </c>
      <c r="E13" s="377" t="s">
        <v>6972</v>
      </c>
      <c r="F13" s="377" t="s">
        <v>6973</v>
      </c>
      <c r="G13" s="377" t="s">
        <v>6974</v>
      </c>
      <c r="H13" s="377" t="s">
        <v>6975</v>
      </c>
      <c r="I13" s="377" t="s">
        <v>6976</v>
      </c>
      <c r="J13" s="377" t="s">
        <v>6977</v>
      </c>
      <c r="K13" s="82" t="s">
        <v>203</v>
      </c>
      <c r="L13" s="82" t="s">
        <v>204</v>
      </c>
      <c r="M13" s="82" t="s">
        <v>205</v>
      </c>
      <c r="N13" s="377" t="s">
        <v>206</v>
      </c>
      <c r="O13" s="377" t="s">
        <v>210</v>
      </c>
      <c r="P13" s="336" t="s">
        <v>211</v>
      </c>
      <c r="Q13" s="216"/>
      <c r="R13" s="216"/>
      <c r="S13" s="216"/>
      <c r="T13" s="216"/>
      <c r="U13" s="216"/>
      <c r="V13" s="216"/>
      <c r="W13" s="216"/>
      <c r="X13" s="216"/>
      <c r="Y13" s="216"/>
      <c r="Z13" s="216"/>
    </row>
    <row r="14" spans="1:26" ht="15" customHeight="1">
      <c r="A14" s="386" t="s">
        <v>6237</v>
      </c>
      <c r="B14" s="387" t="s">
        <v>51</v>
      </c>
      <c r="C14" s="133" t="s">
        <v>6978</v>
      </c>
      <c r="D14" s="116" t="s">
        <v>6979</v>
      </c>
      <c r="E14" s="528" t="s">
        <v>6980</v>
      </c>
      <c r="F14" s="564" t="s">
        <v>6981</v>
      </c>
      <c r="G14" s="564"/>
      <c r="H14" s="390" t="s">
        <v>6982</v>
      </c>
      <c r="I14" s="185" t="s">
        <v>6980</v>
      </c>
      <c r="J14" s="1070" t="s">
        <v>6983</v>
      </c>
      <c r="K14" s="134">
        <v>2</v>
      </c>
      <c r="L14" s="134">
        <v>2</v>
      </c>
      <c r="M14" s="134">
        <v>2</v>
      </c>
      <c r="N14" s="31">
        <f>20/2*2</f>
        <v>20</v>
      </c>
      <c r="O14" s="31">
        <f>N14</f>
        <v>20</v>
      </c>
      <c r="P14" s="338" t="s">
        <v>1339</v>
      </c>
    </row>
    <row r="15" spans="1:26" ht="15" customHeight="1">
      <c r="A15" s="99" t="s">
        <v>4460</v>
      </c>
      <c r="B15" s="99" t="s">
        <v>51</v>
      </c>
      <c r="C15" s="134" t="s">
        <v>6984</v>
      </c>
      <c r="D15" s="564" t="s">
        <v>6985</v>
      </c>
      <c r="E15" s="564" t="s">
        <v>6986</v>
      </c>
      <c r="F15" s="564" t="s">
        <v>6987</v>
      </c>
      <c r="G15" s="564" t="s">
        <v>6988</v>
      </c>
      <c r="H15" s="1035" t="s">
        <v>6989</v>
      </c>
      <c r="I15" s="185"/>
      <c r="J15" s="1070" t="s">
        <v>6990</v>
      </c>
      <c r="K15" s="134">
        <v>1</v>
      </c>
      <c r="L15" s="134">
        <v>1</v>
      </c>
      <c r="M15" s="134">
        <v>1</v>
      </c>
      <c r="N15" s="31">
        <v>30</v>
      </c>
      <c r="O15" s="31">
        <v>30</v>
      </c>
      <c r="P15" s="338" t="s">
        <v>1359</v>
      </c>
    </row>
    <row r="16" spans="1:26" ht="15" customHeight="1">
      <c r="A16" s="134" t="s">
        <v>409</v>
      </c>
      <c r="B16" s="134" t="s">
        <v>401</v>
      </c>
      <c r="C16" s="134" t="s">
        <v>6991</v>
      </c>
      <c r="D16" s="528" t="s">
        <v>6992</v>
      </c>
      <c r="E16" s="528" t="s">
        <v>6993</v>
      </c>
      <c r="F16" s="528" t="s">
        <v>6994</v>
      </c>
      <c r="G16" s="528" t="s">
        <v>6995</v>
      </c>
      <c r="H16" s="1035" t="s">
        <v>6996</v>
      </c>
      <c r="I16" s="99" t="s">
        <v>6997</v>
      </c>
      <c r="J16" s="1070" t="s">
        <v>6998</v>
      </c>
      <c r="K16" s="134"/>
      <c r="L16" s="134"/>
      <c r="M16" s="134"/>
      <c r="N16" s="31">
        <v>150</v>
      </c>
      <c r="O16" s="31">
        <v>150</v>
      </c>
      <c r="P16" s="338" t="s">
        <v>409</v>
      </c>
    </row>
    <row r="17" spans="1:16" ht="15" customHeight="1">
      <c r="A17" s="134" t="s">
        <v>409</v>
      </c>
      <c r="B17" s="134" t="s">
        <v>401</v>
      </c>
      <c r="C17" s="134" t="s">
        <v>6999</v>
      </c>
      <c r="D17" s="528" t="s">
        <v>6992</v>
      </c>
      <c r="E17" s="528" t="s">
        <v>6993</v>
      </c>
      <c r="F17" s="528" t="s">
        <v>6994</v>
      </c>
      <c r="G17" s="528" t="s">
        <v>6995</v>
      </c>
      <c r="H17" s="382" t="s">
        <v>7000</v>
      </c>
      <c r="I17" s="99" t="s">
        <v>6997</v>
      </c>
      <c r="J17" s="1070" t="s">
        <v>7001</v>
      </c>
      <c r="K17" s="134"/>
      <c r="L17" s="134"/>
      <c r="M17" s="134"/>
      <c r="N17" s="31">
        <v>150</v>
      </c>
      <c r="O17" s="31">
        <v>150</v>
      </c>
      <c r="P17" s="338" t="s">
        <v>409</v>
      </c>
    </row>
    <row r="18" spans="1:16" ht="15" customHeight="1">
      <c r="A18" s="134" t="s">
        <v>409</v>
      </c>
      <c r="B18" s="134" t="s">
        <v>401</v>
      </c>
      <c r="C18" s="438" t="s">
        <v>7002</v>
      </c>
      <c r="D18" s="528" t="s">
        <v>6992</v>
      </c>
      <c r="E18" s="528" t="s">
        <v>6993</v>
      </c>
      <c r="F18" s="528" t="s">
        <v>6994</v>
      </c>
      <c r="G18" s="528" t="s">
        <v>6995</v>
      </c>
      <c r="H18" s="382" t="s">
        <v>7003</v>
      </c>
      <c r="I18" s="99" t="s">
        <v>6997</v>
      </c>
      <c r="J18" s="1070" t="s">
        <v>7004</v>
      </c>
      <c r="K18" s="134"/>
      <c r="L18" s="134"/>
      <c r="M18" s="134"/>
      <c r="N18" s="31">
        <v>150</v>
      </c>
      <c r="O18" s="31">
        <v>150</v>
      </c>
      <c r="P18" s="338" t="s">
        <v>409</v>
      </c>
    </row>
    <row r="19" spans="1:16" ht="15" customHeight="1">
      <c r="A19" s="134" t="s">
        <v>409</v>
      </c>
      <c r="B19" s="134" t="s">
        <v>401</v>
      </c>
      <c r="C19" s="134" t="s">
        <v>7005</v>
      </c>
      <c r="D19" s="528" t="s">
        <v>6992</v>
      </c>
      <c r="E19" s="528" t="s">
        <v>6993</v>
      </c>
      <c r="F19" s="528" t="s">
        <v>6994</v>
      </c>
      <c r="G19" s="528" t="s">
        <v>6995</v>
      </c>
      <c r="H19" s="382" t="s">
        <v>7006</v>
      </c>
      <c r="I19" s="99" t="s">
        <v>6997</v>
      </c>
      <c r="J19" s="1070" t="s">
        <v>7007</v>
      </c>
      <c r="K19" s="134"/>
      <c r="L19" s="134"/>
      <c r="M19" s="134"/>
      <c r="N19" s="31">
        <v>150</v>
      </c>
      <c r="O19" s="31">
        <v>150</v>
      </c>
      <c r="P19" s="338" t="s">
        <v>409</v>
      </c>
    </row>
    <row r="20" spans="1:16" ht="15" customHeight="1">
      <c r="A20" s="134" t="s">
        <v>409</v>
      </c>
      <c r="B20" s="134" t="s">
        <v>401</v>
      </c>
      <c r="C20" s="134" t="s">
        <v>7008</v>
      </c>
      <c r="D20" s="528" t="s">
        <v>6992</v>
      </c>
      <c r="E20" s="528" t="s">
        <v>6993</v>
      </c>
      <c r="F20" s="528" t="s">
        <v>6994</v>
      </c>
      <c r="G20" s="528" t="s">
        <v>6995</v>
      </c>
      <c r="H20" s="382" t="s">
        <v>7009</v>
      </c>
      <c r="I20" s="99" t="s">
        <v>6997</v>
      </c>
      <c r="J20" s="1070" t="s">
        <v>7007</v>
      </c>
      <c r="K20" s="186"/>
      <c r="L20" s="186"/>
      <c r="M20" s="186"/>
      <c r="N20" s="31">
        <v>150</v>
      </c>
      <c r="O20" s="31">
        <v>150</v>
      </c>
      <c r="P20" s="338" t="s">
        <v>409</v>
      </c>
    </row>
    <row r="21" spans="1:16" ht="15" customHeight="1">
      <c r="A21" s="134" t="s">
        <v>409</v>
      </c>
      <c r="B21" s="134" t="s">
        <v>401</v>
      </c>
      <c r="C21" s="134" t="s">
        <v>7010</v>
      </c>
      <c r="D21" s="528" t="s">
        <v>7011</v>
      </c>
      <c r="E21" s="528" t="s">
        <v>6993</v>
      </c>
      <c r="F21" s="528" t="s">
        <v>7012</v>
      </c>
      <c r="G21" s="528" t="s">
        <v>7013</v>
      </c>
      <c r="H21" s="382" t="s">
        <v>7014</v>
      </c>
      <c r="I21" s="99" t="s">
        <v>6997</v>
      </c>
      <c r="J21" s="1071" t="s">
        <v>7015</v>
      </c>
      <c r="K21" s="186"/>
      <c r="L21" s="186"/>
      <c r="M21" s="186"/>
      <c r="N21" s="31">
        <v>50</v>
      </c>
      <c r="O21" s="31">
        <v>50</v>
      </c>
      <c r="P21" s="338" t="s">
        <v>409</v>
      </c>
    </row>
    <row r="22" spans="1:16" ht="15" customHeight="1">
      <c r="A22" s="134" t="s">
        <v>409</v>
      </c>
      <c r="B22" s="134" t="s">
        <v>401</v>
      </c>
      <c r="C22" s="134" t="s">
        <v>7016</v>
      </c>
      <c r="D22" s="528" t="s">
        <v>7011</v>
      </c>
      <c r="E22" s="528" t="s">
        <v>6993</v>
      </c>
      <c r="F22" s="528" t="s">
        <v>7017</v>
      </c>
      <c r="G22" s="528" t="s">
        <v>7013</v>
      </c>
      <c r="H22" s="382" t="s">
        <v>7018</v>
      </c>
      <c r="I22" s="99" t="s">
        <v>6997</v>
      </c>
      <c r="J22" s="768" t="s">
        <v>7019</v>
      </c>
      <c r="K22" s="186"/>
      <c r="L22" s="186"/>
      <c r="M22" s="186"/>
      <c r="N22" s="31">
        <v>50</v>
      </c>
      <c r="O22" s="31">
        <v>50</v>
      </c>
      <c r="P22" s="338" t="s">
        <v>409</v>
      </c>
    </row>
    <row r="23" spans="1:16" ht="15" customHeight="1">
      <c r="A23" s="134" t="s">
        <v>409</v>
      </c>
      <c r="B23" s="134" t="s">
        <v>401</v>
      </c>
      <c r="C23" s="134" t="s">
        <v>7020</v>
      </c>
      <c r="D23" s="528" t="s">
        <v>6992</v>
      </c>
      <c r="E23" s="528" t="s">
        <v>6993</v>
      </c>
      <c r="F23" s="528" t="s">
        <v>6994</v>
      </c>
      <c r="G23" s="528" t="s">
        <v>6995</v>
      </c>
      <c r="H23" s="382" t="s">
        <v>7021</v>
      </c>
      <c r="I23" s="99" t="s">
        <v>6997</v>
      </c>
      <c r="J23" s="768" t="s">
        <v>7022</v>
      </c>
      <c r="K23" s="186"/>
      <c r="L23" s="186"/>
      <c r="M23" s="186"/>
      <c r="N23" s="31">
        <v>150</v>
      </c>
      <c r="O23" s="31">
        <v>150</v>
      </c>
      <c r="P23" s="338" t="s">
        <v>409</v>
      </c>
    </row>
    <row r="24" spans="1:16" ht="15" customHeight="1">
      <c r="A24" s="134" t="s">
        <v>409</v>
      </c>
      <c r="B24" s="134" t="s">
        <v>401</v>
      </c>
      <c r="C24" s="134" t="s">
        <v>7023</v>
      </c>
      <c r="D24" s="528" t="s">
        <v>6992</v>
      </c>
      <c r="E24" s="528" t="s">
        <v>6993</v>
      </c>
      <c r="F24" s="528" t="s">
        <v>6994</v>
      </c>
      <c r="G24" s="528" t="s">
        <v>6995</v>
      </c>
      <c r="H24" s="382" t="s">
        <v>7024</v>
      </c>
      <c r="I24" s="99" t="s">
        <v>6997</v>
      </c>
      <c r="J24" s="768" t="s">
        <v>7025</v>
      </c>
      <c r="K24" s="186"/>
      <c r="L24" s="186"/>
      <c r="M24" s="186"/>
      <c r="N24" s="31">
        <v>150</v>
      </c>
      <c r="O24" s="31">
        <v>150</v>
      </c>
      <c r="P24" s="338" t="s">
        <v>409</v>
      </c>
    </row>
    <row r="25" spans="1:16" ht="15" customHeight="1">
      <c r="A25" s="134" t="s">
        <v>409</v>
      </c>
      <c r="B25" s="134" t="s">
        <v>401</v>
      </c>
      <c r="C25" s="134" t="s">
        <v>7026</v>
      </c>
      <c r="D25" s="528" t="s">
        <v>6992</v>
      </c>
      <c r="E25" s="528" t="s">
        <v>6993</v>
      </c>
      <c r="F25" s="528" t="s">
        <v>6994</v>
      </c>
      <c r="G25" s="528" t="s">
        <v>6995</v>
      </c>
      <c r="H25" s="1072" t="s">
        <v>7027</v>
      </c>
      <c r="I25" s="768" t="s">
        <v>6997</v>
      </c>
      <c r="J25" s="768" t="s">
        <v>7028</v>
      </c>
      <c r="K25" s="761"/>
      <c r="L25" s="31"/>
      <c r="M25" s="31"/>
      <c r="N25" s="31">
        <v>150</v>
      </c>
      <c r="O25" s="31">
        <v>150</v>
      </c>
      <c r="P25" s="338" t="s">
        <v>409</v>
      </c>
    </row>
    <row r="26" spans="1:16" ht="15" customHeight="1">
      <c r="A26" s="134" t="s">
        <v>409</v>
      </c>
      <c r="B26" s="134" t="s">
        <v>401</v>
      </c>
      <c r="C26" s="399" t="s">
        <v>7029</v>
      </c>
      <c r="D26" s="528" t="s">
        <v>6992</v>
      </c>
      <c r="E26" s="528" t="s">
        <v>6993</v>
      </c>
      <c r="F26" s="528" t="s">
        <v>6994</v>
      </c>
      <c r="G26" s="528" t="s">
        <v>6995</v>
      </c>
      <c r="H26" s="1072" t="s">
        <v>7030</v>
      </c>
      <c r="I26" s="768" t="s">
        <v>6997</v>
      </c>
      <c r="J26" s="768" t="s">
        <v>7031</v>
      </c>
      <c r="K26" s="761"/>
      <c r="L26" s="761"/>
      <c r="M26" s="761"/>
      <c r="N26" s="31">
        <v>150</v>
      </c>
      <c r="O26" s="31">
        <v>150</v>
      </c>
      <c r="P26" s="338" t="s">
        <v>409</v>
      </c>
    </row>
    <row r="27" spans="1:16" ht="15" customHeight="1">
      <c r="A27" s="134" t="s">
        <v>409</v>
      </c>
      <c r="B27" s="134" t="s">
        <v>401</v>
      </c>
      <c r="C27" s="399" t="s">
        <v>7032</v>
      </c>
      <c r="D27" s="528" t="s">
        <v>6992</v>
      </c>
      <c r="E27" s="528" t="s">
        <v>6993</v>
      </c>
      <c r="F27" s="528" t="s">
        <v>6994</v>
      </c>
      <c r="G27" s="528" t="s">
        <v>6995</v>
      </c>
      <c r="H27" s="1072" t="s">
        <v>7033</v>
      </c>
      <c r="I27" s="768" t="s">
        <v>6997</v>
      </c>
      <c r="J27" s="768" t="s">
        <v>7034</v>
      </c>
      <c r="K27" s="761"/>
      <c r="L27" s="761"/>
      <c r="M27" s="761"/>
      <c r="N27" s="31">
        <v>150</v>
      </c>
      <c r="O27" s="31">
        <v>150</v>
      </c>
      <c r="P27" s="338" t="s">
        <v>409</v>
      </c>
    </row>
    <row r="28" spans="1:16" ht="15" customHeight="1">
      <c r="A28" s="134" t="s">
        <v>409</v>
      </c>
      <c r="B28" s="134" t="s">
        <v>401</v>
      </c>
      <c r="C28" s="399" t="s">
        <v>7035</v>
      </c>
      <c r="D28" s="528" t="s">
        <v>6992</v>
      </c>
      <c r="E28" s="528" t="s">
        <v>6993</v>
      </c>
      <c r="F28" s="528" t="s">
        <v>6994</v>
      </c>
      <c r="G28" s="528" t="s">
        <v>6995</v>
      </c>
      <c r="H28" s="1072" t="s">
        <v>7036</v>
      </c>
      <c r="I28" s="768" t="s">
        <v>6997</v>
      </c>
      <c r="J28" s="768" t="s">
        <v>7037</v>
      </c>
      <c r="K28" s="761"/>
      <c r="L28" s="761"/>
      <c r="M28" s="761"/>
      <c r="N28" s="31">
        <v>150</v>
      </c>
      <c r="O28" s="31">
        <v>150</v>
      </c>
      <c r="P28" s="338" t="s">
        <v>409</v>
      </c>
    </row>
    <row r="29" spans="1:16" ht="15" customHeight="1">
      <c r="A29" s="134" t="s">
        <v>409</v>
      </c>
      <c r="B29" s="134" t="s">
        <v>401</v>
      </c>
      <c r="C29" s="528" t="s">
        <v>7038</v>
      </c>
      <c r="D29" s="528" t="s">
        <v>6992</v>
      </c>
      <c r="E29" s="528" t="s">
        <v>6993</v>
      </c>
      <c r="F29" s="528" t="s">
        <v>6994</v>
      </c>
      <c r="G29" s="528" t="s">
        <v>6995</v>
      </c>
      <c r="H29" s="1072" t="s">
        <v>7039</v>
      </c>
      <c r="I29" s="768" t="s">
        <v>6997</v>
      </c>
      <c r="J29" s="768" t="s">
        <v>7034</v>
      </c>
      <c r="K29" s="761"/>
      <c r="L29" s="761"/>
      <c r="M29" s="761"/>
      <c r="N29" s="31">
        <v>150</v>
      </c>
      <c r="O29" s="31">
        <v>150</v>
      </c>
      <c r="P29" s="338" t="s">
        <v>409</v>
      </c>
    </row>
    <row r="30" spans="1:16" ht="15" customHeight="1">
      <c r="A30" s="134" t="s">
        <v>409</v>
      </c>
      <c r="B30" s="134" t="s">
        <v>401</v>
      </c>
      <c r="C30" s="528" t="s">
        <v>7040</v>
      </c>
      <c r="D30" s="528" t="s">
        <v>6992</v>
      </c>
      <c r="E30" s="528" t="s">
        <v>7041</v>
      </c>
      <c r="F30" s="528" t="s">
        <v>6994</v>
      </c>
      <c r="G30" s="528" t="s">
        <v>6995</v>
      </c>
      <c r="H30" s="1072" t="s">
        <v>7042</v>
      </c>
      <c r="I30" s="768" t="s">
        <v>7043</v>
      </c>
      <c r="J30" s="768" t="s">
        <v>7044</v>
      </c>
      <c r="K30" s="761"/>
      <c r="L30" s="761"/>
      <c r="M30" s="761"/>
      <c r="N30" s="31">
        <v>150</v>
      </c>
      <c r="O30" s="31">
        <v>150</v>
      </c>
      <c r="P30" s="338" t="s">
        <v>409</v>
      </c>
    </row>
    <row r="31" spans="1:16" ht="15" customHeight="1">
      <c r="A31" s="134" t="s">
        <v>409</v>
      </c>
      <c r="B31" s="134" t="s">
        <v>401</v>
      </c>
      <c r="C31" s="528" t="s">
        <v>7045</v>
      </c>
      <c r="D31" s="528" t="s">
        <v>6992</v>
      </c>
      <c r="E31" s="528" t="s">
        <v>6993</v>
      </c>
      <c r="F31" s="528" t="s">
        <v>6994</v>
      </c>
      <c r="G31" s="528" t="s">
        <v>6995</v>
      </c>
      <c r="H31" s="1072" t="s">
        <v>7046</v>
      </c>
      <c r="I31" s="768" t="s">
        <v>6997</v>
      </c>
      <c r="J31" s="768" t="s">
        <v>7037</v>
      </c>
      <c r="K31" s="761"/>
      <c r="L31" s="761"/>
      <c r="M31" s="761"/>
      <c r="N31" s="31">
        <v>150</v>
      </c>
      <c r="O31" s="31">
        <v>150</v>
      </c>
      <c r="P31" s="338" t="s">
        <v>409</v>
      </c>
    </row>
    <row r="32" spans="1:16" ht="15" customHeight="1">
      <c r="A32" s="134" t="s">
        <v>7047</v>
      </c>
      <c r="B32" s="134" t="s">
        <v>401</v>
      </c>
      <c r="C32" s="134" t="s">
        <v>7048</v>
      </c>
      <c r="D32" s="528" t="s">
        <v>7049</v>
      </c>
      <c r="E32" s="528" t="s">
        <v>7050</v>
      </c>
      <c r="F32" s="528" t="s">
        <v>7012</v>
      </c>
      <c r="G32" s="528" t="s">
        <v>7051</v>
      </c>
      <c r="H32" s="1035" t="s">
        <v>7052</v>
      </c>
      <c r="I32" s="185"/>
      <c r="J32" s="1070" t="s">
        <v>6983</v>
      </c>
      <c r="K32" s="134">
        <v>1</v>
      </c>
      <c r="L32" s="134">
        <v>1</v>
      </c>
      <c r="M32" s="134">
        <v>1</v>
      </c>
      <c r="N32" s="767">
        <v>20</v>
      </c>
      <c r="O32" s="767">
        <v>20</v>
      </c>
      <c r="P32" s="338" t="s">
        <v>2115</v>
      </c>
    </row>
    <row r="33" spans="1:16" ht="15" customHeight="1">
      <c r="A33" s="134" t="s">
        <v>466</v>
      </c>
      <c r="B33" s="134" t="s">
        <v>51</v>
      </c>
      <c r="C33" s="134" t="s">
        <v>7053</v>
      </c>
      <c r="D33" s="564" t="s">
        <v>7054</v>
      </c>
      <c r="E33" s="197" t="s">
        <v>7055</v>
      </c>
      <c r="F33" s="197" t="s">
        <v>7056</v>
      </c>
      <c r="G33" s="564"/>
      <c r="H33" s="91" t="s">
        <v>7057</v>
      </c>
      <c r="I33" s="185" t="s">
        <v>7055</v>
      </c>
      <c r="J33" s="1070" t="s">
        <v>7058</v>
      </c>
      <c r="K33" s="134"/>
      <c r="L33" s="134"/>
      <c r="M33" s="134"/>
      <c r="N33" s="767" t="s">
        <v>7059</v>
      </c>
      <c r="O33" s="767">
        <v>75</v>
      </c>
      <c r="P33" s="338" t="s">
        <v>466</v>
      </c>
    </row>
    <row r="34" spans="1:16" ht="15" customHeight="1">
      <c r="A34" s="134" t="s">
        <v>473</v>
      </c>
      <c r="B34" s="134" t="s">
        <v>51</v>
      </c>
      <c r="C34" s="134" t="s">
        <v>7060</v>
      </c>
      <c r="D34" s="564" t="s">
        <v>7061</v>
      </c>
      <c r="E34" s="564" t="s">
        <v>7062</v>
      </c>
      <c r="F34" s="564" t="s">
        <v>7063</v>
      </c>
      <c r="G34" s="564" t="s">
        <v>7064</v>
      </c>
      <c r="H34" s="1035" t="s">
        <v>7065</v>
      </c>
      <c r="I34" s="185" t="s">
        <v>7043</v>
      </c>
      <c r="J34" s="1070" t="s">
        <v>7066</v>
      </c>
      <c r="K34" s="134"/>
      <c r="L34" s="134"/>
      <c r="M34" s="134"/>
      <c r="N34" s="31">
        <v>200</v>
      </c>
      <c r="O34" s="31">
        <v>200</v>
      </c>
      <c r="P34" s="338" t="s">
        <v>473</v>
      </c>
    </row>
    <row r="35" spans="1:16" ht="15" customHeight="1">
      <c r="A35" s="134" t="s">
        <v>5254</v>
      </c>
      <c r="B35" s="134" t="s">
        <v>7067</v>
      </c>
      <c r="C35" s="134" t="s">
        <v>7068</v>
      </c>
      <c r="D35" s="564" t="s">
        <v>7069</v>
      </c>
      <c r="E35" s="564" t="s">
        <v>7070</v>
      </c>
      <c r="F35" s="564" t="s">
        <v>7017</v>
      </c>
      <c r="G35" s="564" t="s">
        <v>7051</v>
      </c>
      <c r="H35" s="1035" t="s">
        <v>7052</v>
      </c>
      <c r="I35" s="185"/>
      <c r="J35" s="1073">
        <v>44834</v>
      </c>
      <c r="K35" s="134">
        <v>1</v>
      </c>
      <c r="L35" s="134">
        <v>1</v>
      </c>
      <c r="M35" s="134">
        <v>1</v>
      </c>
      <c r="N35" s="31">
        <v>20</v>
      </c>
      <c r="O35" s="31">
        <v>40</v>
      </c>
      <c r="P35" s="338" t="s">
        <v>5254</v>
      </c>
    </row>
    <row r="36" spans="1:16" ht="15" customHeight="1">
      <c r="A36" s="134" t="s">
        <v>6415</v>
      </c>
      <c r="B36" s="134" t="s">
        <v>51</v>
      </c>
      <c r="C36" s="134" t="s">
        <v>7071</v>
      </c>
      <c r="D36" s="564" t="s">
        <v>7054</v>
      </c>
      <c r="E36" s="564" t="s">
        <v>7072</v>
      </c>
      <c r="F36" s="564" t="s">
        <v>7073</v>
      </c>
      <c r="G36" s="564" t="s">
        <v>7074</v>
      </c>
      <c r="H36" s="1035" t="s">
        <v>7075</v>
      </c>
      <c r="I36" s="185" t="s">
        <v>7076</v>
      </c>
      <c r="J36" s="1070" t="s">
        <v>7077</v>
      </c>
      <c r="K36" s="134"/>
      <c r="L36" s="134"/>
      <c r="M36" s="134"/>
      <c r="N36" s="1074" t="s">
        <v>7078</v>
      </c>
      <c r="O36" s="31">
        <v>400</v>
      </c>
      <c r="P36" s="338" t="s">
        <v>482</v>
      </c>
    </row>
    <row r="37" spans="1:16" ht="15" customHeight="1">
      <c r="A37" s="134" t="s">
        <v>6415</v>
      </c>
      <c r="B37" s="134" t="s">
        <v>51</v>
      </c>
      <c r="C37" s="134" t="s">
        <v>7079</v>
      </c>
      <c r="D37" s="564" t="s">
        <v>7054</v>
      </c>
      <c r="E37" s="564" t="s">
        <v>7055</v>
      </c>
      <c r="F37" s="564" t="s">
        <v>7056</v>
      </c>
      <c r="G37" s="564"/>
      <c r="H37" s="382" t="s">
        <v>7057</v>
      </c>
      <c r="I37" s="99" t="s">
        <v>7055</v>
      </c>
      <c r="J37" s="1070" t="s">
        <v>7058</v>
      </c>
      <c r="K37" s="134"/>
      <c r="L37" s="134"/>
      <c r="M37" s="134"/>
      <c r="N37" s="1075" t="s">
        <v>7080</v>
      </c>
      <c r="O37" s="31">
        <v>75</v>
      </c>
    </row>
    <row r="38" spans="1:16" ht="15" customHeight="1">
      <c r="A38" s="134" t="s">
        <v>6435</v>
      </c>
      <c r="B38" s="134" t="s">
        <v>51</v>
      </c>
      <c r="C38" s="134" t="s">
        <v>7081</v>
      </c>
      <c r="D38" s="564" t="s">
        <v>7082</v>
      </c>
      <c r="E38" s="564" t="s">
        <v>7062</v>
      </c>
      <c r="F38" s="564" t="s">
        <v>7012</v>
      </c>
      <c r="G38" s="564" t="s">
        <v>6995</v>
      </c>
      <c r="H38" s="1035" t="s">
        <v>7083</v>
      </c>
      <c r="I38" s="185" t="s">
        <v>7043</v>
      </c>
      <c r="J38" s="1070" t="s">
        <v>7084</v>
      </c>
      <c r="K38" s="134"/>
      <c r="L38" s="134"/>
      <c r="M38" s="134"/>
      <c r="N38" s="31">
        <v>50</v>
      </c>
      <c r="O38" s="31">
        <v>75</v>
      </c>
      <c r="P38" s="338" t="s">
        <v>2358</v>
      </c>
    </row>
    <row r="39" spans="1:16" ht="15" customHeight="1">
      <c r="A39" s="134" t="s">
        <v>6435</v>
      </c>
      <c r="B39" s="134" t="s">
        <v>51</v>
      </c>
      <c r="C39" s="134" t="s">
        <v>7085</v>
      </c>
      <c r="D39" s="564" t="s">
        <v>7082</v>
      </c>
      <c r="E39" s="564" t="s">
        <v>7070</v>
      </c>
      <c r="F39" s="564" t="s">
        <v>7012</v>
      </c>
      <c r="G39" s="564"/>
      <c r="H39" s="99" t="s">
        <v>7086</v>
      </c>
      <c r="I39" s="99"/>
      <c r="J39" s="1070" t="s">
        <v>7087</v>
      </c>
      <c r="K39" s="134">
        <v>2</v>
      </c>
      <c r="L39" s="134">
        <v>1</v>
      </c>
      <c r="M39" s="134">
        <v>2</v>
      </c>
      <c r="N39" s="31">
        <v>30</v>
      </c>
      <c r="O39" s="31">
        <v>30</v>
      </c>
      <c r="P39" s="338" t="s">
        <v>2358</v>
      </c>
    </row>
    <row r="40" spans="1:16" ht="15" customHeight="1">
      <c r="A40" s="162" t="s">
        <v>2372</v>
      </c>
      <c r="B40" s="451" t="s">
        <v>51</v>
      </c>
      <c r="C40" s="1076" t="s">
        <v>7088</v>
      </c>
      <c r="D40" s="1077" t="s">
        <v>7089</v>
      </c>
      <c r="E40" s="483" t="s">
        <v>7090</v>
      </c>
      <c r="F40" s="483" t="s">
        <v>7091</v>
      </c>
      <c r="G40" s="483" t="s">
        <v>7092</v>
      </c>
      <c r="H40" s="156" t="s">
        <v>7093</v>
      </c>
      <c r="I40" s="1078"/>
      <c r="J40" s="1076" t="s">
        <v>7094</v>
      </c>
      <c r="K40" s="445"/>
      <c r="L40" s="162">
        <v>1</v>
      </c>
      <c r="M40" s="162">
        <v>1</v>
      </c>
      <c r="N40" s="30">
        <v>100</v>
      </c>
      <c r="O40" s="30">
        <v>100</v>
      </c>
      <c r="P40" s="338" t="s">
        <v>2372</v>
      </c>
    </row>
    <row r="41" spans="1:16" ht="15" customHeight="1">
      <c r="A41" s="162" t="s">
        <v>2372</v>
      </c>
      <c r="B41" s="451" t="s">
        <v>51</v>
      </c>
      <c r="C41" s="1076" t="s">
        <v>7088</v>
      </c>
      <c r="D41" s="1077" t="s">
        <v>7089</v>
      </c>
      <c r="E41" s="483" t="s">
        <v>7095</v>
      </c>
      <c r="F41" s="483" t="s">
        <v>7091</v>
      </c>
      <c r="G41" s="483" t="s">
        <v>7092</v>
      </c>
      <c r="H41" s="156" t="s">
        <v>7093</v>
      </c>
      <c r="I41" s="1078"/>
      <c r="J41" s="1076" t="s">
        <v>7094</v>
      </c>
      <c r="K41" s="445"/>
      <c r="L41" s="162">
        <v>1</v>
      </c>
      <c r="M41" s="162">
        <v>1</v>
      </c>
      <c r="N41" s="30">
        <v>45</v>
      </c>
      <c r="O41" s="30">
        <v>45</v>
      </c>
      <c r="P41" s="338" t="s">
        <v>2372</v>
      </c>
    </row>
    <row r="42" spans="1:16" ht="15" customHeight="1">
      <c r="A42" s="162" t="s">
        <v>2372</v>
      </c>
      <c r="B42" s="451" t="s">
        <v>51</v>
      </c>
      <c r="C42" s="1076" t="s">
        <v>7088</v>
      </c>
      <c r="D42" s="1077" t="s">
        <v>7089</v>
      </c>
      <c r="E42" s="483"/>
      <c r="F42" s="483" t="s">
        <v>7091</v>
      </c>
      <c r="G42" s="483" t="s">
        <v>7092</v>
      </c>
      <c r="H42" s="156" t="s">
        <v>7093</v>
      </c>
      <c r="I42" s="451" t="s">
        <v>7096</v>
      </c>
      <c r="J42" s="1076" t="s">
        <v>7094</v>
      </c>
      <c r="K42" s="445"/>
      <c r="L42" s="162">
        <v>1</v>
      </c>
      <c r="M42" s="162">
        <v>1</v>
      </c>
      <c r="N42" s="30">
        <v>100</v>
      </c>
      <c r="O42" s="30">
        <v>100</v>
      </c>
      <c r="P42" s="338" t="s">
        <v>2372</v>
      </c>
    </row>
    <row r="43" spans="1:16" ht="15" customHeight="1">
      <c r="A43" s="134" t="s">
        <v>7097</v>
      </c>
      <c r="B43" s="133" t="s">
        <v>51</v>
      </c>
      <c r="C43" s="134" t="s">
        <v>7098</v>
      </c>
      <c r="D43" s="238" t="s">
        <v>7082</v>
      </c>
      <c r="E43" s="564" t="s">
        <v>7099</v>
      </c>
      <c r="F43" s="564" t="s">
        <v>7100</v>
      </c>
      <c r="G43" s="564" t="s">
        <v>7051</v>
      </c>
      <c r="H43" s="91" t="s">
        <v>7101</v>
      </c>
      <c r="I43" s="99" t="s">
        <v>7095</v>
      </c>
      <c r="J43" s="500" t="s">
        <v>7102</v>
      </c>
      <c r="K43" s="99">
        <v>1</v>
      </c>
      <c r="L43" s="99">
        <v>1</v>
      </c>
      <c r="M43" s="99">
        <v>1</v>
      </c>
      <c r="N43" s="119">
        <v>30</v>
      </c>
      <c r="O43" s="119">
        <f t="shared" ref="O43:O47" si="0">N43</f>
        <v>30</v>
      </c>
      <c r="P43" s="338" t="s">
        <v>2392</v>
      </c>
    </row>
    <row r="44" spans="1:16" ht="15" customHeight="1">
      <c r="A44" s="134" t="s">
        <v>7097</v>
      </c>
      <c r="B44" s="133" t="s">
        <v>51</v>
      </c>
      <c r="C44" s="134" t="s">
        <v>7098</v>
      </c>
      <c r="D44" s="238" t="s">
        <v>7082</v>
      </c>
      <c r="E44" s="564" t="s">
        <v>7103</v>
      </c>
      <c r="F44" s="564" t="s">
        <v>7100</v>
      </c>
      <c r="G44" s="564" t="s">
        <v>7051</v>
      </c>
      <c r="H44" s="1035" t="s">
        <v>7101</v>
      </c>
      <c r="I44" s="99" t="s">
        <v>7095</v>
      </c>
      <c r="J44" s="500" t="s">
        <v>7102</v>
      </c>
      <c r="K44" s="99">
        <v>1</v>
      </c>
      <c r="L44" s="99">
        <v>1</v>
      </c>
      <c r="M44" s="99">
        <v>1</v>
      </c>
      <c r="N44" s="119">
        <v>30</v>
      </c>
      <c r="O44" s="119">
        <f t="shared" si="0"/>
        <v>30</v>
      </c>
      <c r="P44" s="338" t="s">
        <v>2392</v>
      </c>
    </row>
    <row r="45" spans="1:16" ht="15" customHeight="1">
      <c r="A45" s="134" t="s">
        <v>7097</v>
      </c>
      <c r="B45" s="133" t="s">
        <v>51</v>
      </c>
      <c r="C45" s="438" t="s">
        <v>7104</v>
      </c>
      <c r="D45" s="238" t="s">
        <v>7082</v>
      </c>
      <c r="E45" s="564" t="s">
        <v>7105</v>
      </c>
      <c r="F45" s="564" t="s">
        <v>7100</v>
      </c>
      <c r="G45" s="564" t="s">
        <v>7051</v>
      </c>
      <c r="H45" s="382" t="s">
        <v>7106</v>
      </c>
      <c r="I45" s="99" t="s">
        <v>7095</v>
      </c>
      <c r="J45" s="500" t="s">
        <v>7107</v>
      </c>
      <c r="K45" s="99">
        <v>1</v>
      </c>
      <c r="L45" s="99">
        <v>1</v>
      </c>
      <c r="M45" s="99">
        <v>1</v>
      </c>
      <c r="N45" s="119">
        <v>30</v>
      </c>
      <c r="O45" s="119">
        <f t="shared" si="0"/>
        <v>30</v>
      </c>
      <c r="P45" s="338" t="s">
        <v>2392</v>
      </c>
    </row>
    <row r="46" spans="1:16" ht="15" customHeight="1">
      <c r="A46" s="134" t="s">
        <v>7097</v>
      </c>
      <c r="B46" s="133" t="s">
        <v>51</v>
      </c>
      <c r="C46" s="438" t="s">
        <v>7104</v>
      </c>
      <c r="D46" s="238" t="s">
        <v>7082</v>
      </c>
      <c r="E46" s="564" t="s">
        <v>7108</v>
      </c>
      <c r="F46" s="564" t="s">
        <v>7100</v>
      </c>
      <c r="G46" s="564" t="s">
        <v>7051</v>
      </c>
      <c r="H46" s="382" t="s">
        <v>7106</v>
      </c>
      <c r="I46" s="99" t="s">
        <v>7095</v>
      </c>
      <c r="J46" s="500" t="s">
        <v>7107</v>
      </c>
      <c r="K46" s="99">
        <v>1</v>
      </c>
      <c r="L46" s="99">
        <v>1</v>
      </c>
      <c r="M46" s="99">
        <v>1</v>
      </c>
      <c r="N46" s="119">
        <v>30</v>
      </c>
      <c r="O46" s="119">
        <f t="shared" si="0"/>
        <v>30</v>
      </c>
      <c r="P46" s="338" t="s">
        <v>2392</v>
      </c>
    </row>
    <row r="47" spans="1:16" ht="15" customHeight="1">
      <c r="A47" s="134" t="s">
        <v>7097</v>
      </c>
      <c r="B47" s="133" t="s">
        <v>51</v>
      </c>
      <c r="C47" s="134" t="s">
        <v>7109</v>
      </c>
      <c r="D47" s="238" t="s">
        <v>7082</v>
      </c>
      <c r="E47" s="135" t="s">
        <v>7110</v>
      </c>
      <c r="F47" s="135" t="s">
        <v>7111</v>
      </c>
      <c r="G47" s="564" t="s">
        <v>6995</v>
      </c>
      <c r="H47" s="99" t="s">
        <v>7112</v>
      </c>
      <c r="I47" s="238" t="s">
        <v>7113</v>
      </c>
      <c r="J47" s="768" t="s">
        <v>7114</v>
      </c>
      <c r="K47" s="186"/>
      <c r="L47" s="186"/>
      <c r="M47" s="186"/>
      <c r="N47" s="119">
        <f>50*1.5*1.5</f>
        <v>112.5</v>
      </c>
      <c r="O47" s="119">
        <f t="shared" si="0"/>
        <v>112.5</v>
      </c>
      <c r="P47" s="338" t="s">
        <v>2392</v>
      </c>
    </row>
    <row r="48" spans="1:16" ht="15" customHeight="1">
      <c r="A48" s="134" t="s">
        <v>488</v>
      </c>
      <c r="B48" s="134" t="s">
        <v>51</v>
      </c>
      <c r="C48" s="134" t="s">
        <v>7048</v>
      </c>
      <c r="D48" s="564" t="s">
        <v>7115</v>
      </c>
      <c r="E48" s="564" t="s">
        <v>7116</v>
      </c>
      <c r="F48" s="564" t="s">
        <v>7012</v>
      </c>
      <c r="G48" s="564" t="s">
        <v>7117</v>
      </c>
      <c r="H48" s="1035" t="s">
        <v>6982</v>
      </c>
      <c r="I48" s="99" t="s">
        <v>7118</v>
      </c>
      <c r="J48" s="1070" t="s">
        <v>6983</v>
      </c>
      <c r="K48" s="134">
        <v>5</v>
      </c>
      <c r="L48" s="134">
        <v>5</v>
      </c>
      <c r="M48" s="134">
        <v>5</v>
      </c>
      <c r="N48" s="767">
        <v>20</v>
      </c>
      <c r="O48" s="767">
        <v>20</v>
      </c>
      <c r="P48" s="338" t="s">
        <v>488</v>
      </c>
    </row>
    <row r="49" spans="1:26" ht="15" customHeight="1">
      <c r="A49" s="459" t="s">
        <v>7119</v>
      </c>
      <c r="B49" s="162" t="s">
        <v>51</v>
      </c>
      <c r="C49" s="464" t="s">
        <v>7120</v>
      </c>
      <c r="D49" s="483" t="s">
        <v>7121</v>
      </c>
      <c r="E49" s="483" t="s">
        <v>7062</v>
      </c>
      <c r="F49" s="483" t="s">
        <v>7012</v>
      </c>
      <c r="G49" s="1079" t="s">
        <v>7122</v>
      </c>
      <c r="H49" s="1080" t="s">
        <v>4628</v>
      </c>
      <c r="I49" s="162" t="s">
        <v>7123</v>
      </c>
      <c r="J49" s="1081"/>
      <c r="K49" s="464"/>
      <c r="L49" s="464"/>
      <c r="M49" s="464"/>
      <c r="N49" s="30">
        <v>100</v>
      </c>
      <c r="O49" s="30">
        <v>100</v>
      </c>
      <c r="P49" s="338" t="s">
        <v>4565</v>
      </c>
    </row>
    <row r="50" spans="1:26" ht="15" customHeight="1">
      <c r="A50" s="459" t="s">
        <v>7119</v>
      </c>
      <c r="B50" s="162" t="s">
        <v>51</v>
      </c>
      <c r="C50" s="464" t="s">
        <v>7120</v>
      </c>
      <c r="D50" s="483" t="s">
        <v>7121</v>
      </c>
      <c r="E50" s="483" t="s">
        <v>7124</v>
      </c>
      <c r="F50" s="483" t="s">
        <v>7012</v>
      </c>
      <c r="G50" s="1079" t="s">
        <v>7122</v>
      </c>
      <c r="H50" s="1080" t="s">
        <v>4628</v>
      </c>
      <c r="I50" s="162" t="s">
        <v>7125</v>
      </c>
      <c r="J50" s="1081"/>
      <c r="K50" s="464"/>
      <c r="L50" s="464"/>
      <c r="M50" s="464"/>
      <c r="N50" s="30">
        <v>50</v>
      </c>
      <c r="O50" s="30">
        <v>50</v>
      </c>
      <c r="P50" s="338" t="s">
        <v>4565</v>
      </c>
    </row>
    <row r="51" spans="1:26" ht="15" customHeight="1">
      <c r="A51" s="459" t="s">
        <v>7119</v>
      </c>
      <c r="B51" s="162" t="s">
        <v>51</v>
      </c>
      <c r="C51" s="438" t="s">
        <v>7126</v>
      </c>
      <c r="D51" s="186"/>
      <c r="E51" s="483" t="s">
        <v>7070</v>
      </c>
      <c r="F51" s="483" t="s">
        <v>7012</v>
      </c>
      <c r="G51" s="1079" t="s">
        <v>7122</v>
      </c>
      <c r="H51" s="382"/>
      <c r="I51" s="99" t="s">
        <v>7043</v>
      </c>
      <c r="J51" s="1070"/>
      <c r="K51" s="134"/>
      <c r="L51" s="134"/>
      <c r="M51" s="134"/>
      <c r="N51" s="30">
        <v>20</v>
      </c>
      <c r="O51" s="30">
        <v>20</v>
      </c>
      <c r="P51" s="338" t="s">
        <v>4565</v>
      </c>
    </row>
    <row r="52" spans="1:26" ht="15" customHeight="1">
      <c r="A52" s="459" t="s">
        <v>7119</v>
      </c>
      <c r="B52" s="162" t="s">
        <v>51</v>
      </c>
      <c r="C52" s="134" t="s">
        <v>7127</v>
      </c>
      <c r="D52" s="483" t="s">
        <v>7121</v>
      </c>
      <c r="E52" s="483" t="s">
        <v>7070</v>
      </c>
      <c r="F52" s="483" t="s">
        <v>7012</v>
      </c>
      <c r="G52" s="1079" t="s">
        <v>7122</v>
      </c>
      <c r="H52" s="99"/>
      <c r="I52" s="99"/>
      <c r="J52" s="1082" t="s">
        <v>7128</v>
      </c>
      <c r="K52" s="162">
        <v>0</v>
      </c>
      <c r="L52" s="162">
        <v>2</v>
      </c>
      <c r="M52" s="162">
        <v>2</v>
      </c>
      <c r="N52" s="30" t="s">
        <v>7129</v>
      </c>
      <c r="O52" s="30">
        <v>22.5</v>
      </c>
    </row>
    <row r="53" spans="1:26" ht="15" customHeight="1">
      <c r="A53" s="134" t="s">
        <v>2514</v>
      </c>
      <c r="B53" s="134" t="s">
        <v>51</v>
      </c>
      <c r="C53" s="134" t="s">
        <v>7120</v>
      </c>
      <c r="D53" s="564" t="s">
        <v>7121</v>
      </c>
      <c r="E53" s="564" t="s">
        <v>7062</v>
      </c>
      <c r="F53" s="564" t="s">
        <v>7017</v>
      </c>
      <c r="G53" s="564" t="s">
        <v>7122</v>
      </c>
      <c r="H53" s="91" t="s">
        <v>4628</v>
      </c>
      <c r="I53" s="185" t="s">
        <v>7043</v>
      </c>
      <c r="J53" s="1083">
        <v>44805</v>
      </c>
      <c r="K53" s="134"/>
      <c r="L53" s="134"/>
      <c r="M53" s="134"/>
      <c r="N53" s="31">
        <v>50</v>
      </c>
      <c r="O53" s="31">
        <v>50</v>
      </c>
      <c r="P53" s="338" t="s">
        <v>2514</v>
      </c>
    </row>
    <row r="54" spans="1:26" ht="15" customHeight="1">
      <c r="A54" s="134" t="s">
        <v>2514</v>
      </c>
      <c r="B54" s="134" t="s">
        <v>51</v>
      </c>
      <c r="C54" s="134" t="s">
        <v>7126</v>
      </c>
      <c r="D54" s="564" t="s">
        <v>7130</v>
      </c>
      <c r="E54" s="564" t="s">
        <v>7070</v>
      </c>
      <c r="F54" s="564" t="s">
        <v>7012</v>
      </c>
      <c r="G54" s="564" t="s">
        <v>7122</v>
      </c>
      <c r="H54" s="99" t="s">
        <v>7052</v>
      </c>
      <c r="I54" s="185" t="s">
        <v>7043</v>
      </c>
      <c r="J54" s="1083">
        <v>44835</v>
      </c>
      <c r="K54" s="134"/>
      <c r="L54" s="134"/>
      <c r="M54" s="134"/>
      <c r="N54" s="31">
        <v>20</v>
      </c>
      <c r="O54" s="31">
        <v>20</v>
      </c>
      <c r="P54" s="338" t="s">
        <v>2514</v>
      </c>
    </row>
    <row r="55" spans="1:26" ht="15" customHeight="1">
      <c r="A55" s="162" t="s">
        <v>580</v>
      </c>
      <c r="B55" s="162" t="s">
        <v>51</v>
      </c>
      <c r="C55" s="162" t="s">
        <v>7131</v>
      </c>
      <c r="D55" s="483" t="s">
        <v>7069</v>
      </c>
      <c r="E55" s="483" t="s">
        <v>7132</v>
      </c>
      <c r="F55" s="483" t="s">
        <v>7133</v>
      </c>
      <c r="G55" s="483" t="s">
        <v>7134</v>
      </c>
      <c r="H55" s="480" t="s">
        <v>7135</v>
      </c>
      <c r="I55" s="447" t="s">
        <v>7136</v>
      </c>
      <c r="J55" s="451" t="s">
        <v>7137</v>
      </c>
      <c r="K55" s="162">
        <v>1</v>
      </c>
      <c r="L55" s="162">
        <v>1</v>
      </c>
      <c r="M55" s="162">
        <v>1</v>
      </c>
      <c r="N55" s="30">
        <v>30</v>
      </c>
      <c r="O55" s="30">
        <v>30</v>
      </c>
      <c r="P55" s="338" t="s">
        <v>580</v>
      </c>
    </row>
    <row r="56" spans="1:26" ht="15" customHeight="1">
      <c r="A56" s="162" t="s">
        <v>580</v>
      </c>
      <c r="B56" s="162" t="s">
        <v>51</v>
      </c>
      <c r="C56" s="162" t="s">
        <v>7131</v>
      </c>
      <c r="D56" s="483" t="s">
        <v>7069</v>
      </c>
      <c r="E56" s="483" t="s">
        <v>7132</v>
      </c>
      <c r="F56" s="483" t="s">
        <v>7133</v>
      </c>
      <c r="G56" s="483" t="s">
        <v>7134</v>
      </c>
      <c r="H56" s="480" t="s">
        <v>7135</v>
      </c>
      <c r="I56" s="447" t="s">
        <v>7138</v>
      </c>
      <c r="J56" s="451" t="s">
        <v>7137</v>
      </c>
      <c r="K56" s="162">
        <v>1</v>
      </c>
      <c r="L56" s="162">
        <v>1</v>
      </c>
      <c r="M56" s="162">
        <v>1</v>
      </c>
      <c r="N56" s="30">
        <v>30</v>
      </c>
      <c r="O56" s="30">
        <v>30</v>
      </c>
      <c r="P56" s="338" t="s">
        <v>580</v>
      </c>
    </row>
    <row r="57" spans="1:26" ht="15" customHeight="1">
      <c r="A57" s="162" t="s">
        <v>580</v>
      </c>
      <c r="B57" s="162" t="s">
        <v>51</v>
      </c>
      <c r="C57" s="162" t="s">
        <v>7131</v>
      </c>
      <c r="D57" s="483" t="s">
        <v>7069</v>
      </c>
      <c r="E57" s="483" t="s">
        <v>7062</v>
      </c>
      <c r="F57" s="483" t="s">
        <v>7133</v>
      </c>
      <c r="G57" s="483" t="s">
        <v>7134</v>
      </c>
      <c r="H57" s="480" t="s">
        <v>7135</v>
      </c>
      <c r="I57" s="447" t="s">
        <v>7123</v>
      </c>
      <c r="J57" s="451" t="s">
        <v>7137</v>
      </c>
      <c r="K57" s="162">
        <v>1</v>
      </c>
      <c r="L57" s="162">
        <v>1</v>
      </c>
      <c r="M57" s="162">
        <v>1</v>
      </c>
      <c r="N57" s="30">
        <f t="shared" ref="N57:O57" si="1">2*100</f>
        <v>200</v>
      </c>
      <c r="O57" s="30">
        <f t="shared" si="1"/>
        <v>200</v>
      </c>
      <c r="P57" s="338" t="s">
        <v>580</v>
      </c>
    </row>
    <row r="58" spans="1:26" ht="15" customHeight="1">
      <c r="A58" s="99" t="s">
        <v>592</v>
      </c>
      <c r="B58" s="99" t="s">
        <v>51</v>
      </c>
      <c r="C58" s="99" t="s">
        <v>7139</v>
      </c>
      <c r="D58" s="528" t="s">
        <v>7054</v>
      </c>
      <c r="E58" s="528" t="s">
        <v>7140</v>
      </c>
      <c r="F58" s="528" t="s">
        <v>7141</v>
      </c>
      <c r="G58" s="528" t="s">
        <v>7142</v>
      </c>
      <c r="H58" s="91"/>
      <c r="I58" s="528" t="s">
        <v>7143</v>
      </c>
      <c r="J58" s="1070" t="s">
        <v>7144</v>
      </c>
      <c r="K58" s="134">
        <v>1</v>
      </c>
      <c r="L58" s="134">
        <v>1</v>
      </c>
      <c r="M58" s="134">
        <v>1</v>
      </c>
      <c r="N58" s="31" t="s">
        <v>7145</v>
      </c>
      <c r="O58" s="31">
        <v>75</v>
      </c>
      <c r="P58" s="338" t="s">
        <v>592</v>
      </c>
    </row>
    <row r="59" spans="1:26" ht="15" customHeight="1">
      <c r="A59" s="99" t="s">
        <v>592</v>
      </c>
      <c r="B59" s="99" t="s">
        <v>51</v>
      </c>
      <c r="C59" s="134" t="s">
        <v>7146</v>
      </c>
      <c r="D59" s="564"/>
      <c r="E59" s="528" t="s">
        <v>7070</v>
      </c>
      <c r="F59" s="528" t="s">
        <v>7141</v>
      </c>
      <c r="G59" s="528" t="s">
        <v>7142</v>
      </c>
      <c r="H59" s="99"/>
      <c r="I59" s="99" t="s">
        <v>7070</v>
      </c>
      <c r="J59" s="1070" t="s">
        <v>7147</v>
      </c>
      <c r="K59" s="134">
        <v>1</v>
      </c>
      <c r="L59" s="134">
        <v>1</v>
      </c>
      <c r="M59" s="134">
        <v>1</v>
      </c>
      <c r="N59" s="31">
        <v>20</v>
      </c>
      <c r="O59" s="31">
        <v>20</v>
      </c>
      <c r="P59" s="338" t="s">
        <v>592</v>
      </c>
    </row>
    <row r="60" spans="1:26" ht="15" customHeight="1">
      <c r="A60" s="134" t="s">
        <v>7148</v>
      </c>
      <c r="B60" s="134" t="s">
        <v>51</v>
      </c>
      <c r="C60" s="134" t="s">
        <v>7149</v>
      </c>
      <c r="D60" s="564" t="s">
        <v>6985</v>
      </c>
      <c r="E60" s="564" t="s">
        <v>7150</v>
      </c>
      <c r="F60" s="564" t="s">
        <v>7012</v>
      </c>
      <c r="G60" s="483">
        <v>1.5</v>
      </c>
      <c r="H60" s="1035" t="s">
        <v>7151</v>
      </c>
      <c r="I60" s="162" t="s">
        <v>7123</v>
      </c>
      <c r="J60" s="1070" t="s">
        <v>7152</v>
      </c>
      <c r="K60" s="134"/>
      <c r="L60" s="134"/>
      <c r="M60" s="134"/>
      <c r="N60" s="31">
        <v>100</v>
      </c>
      <c r="O60" s="31">
        <f t="shared" ref="O60:O61" si="2">N60*G60</f>
        <v>150</v>
      </c>
      <c r="P60" s="338" t="s">
        <v>2783</v>
      </c>
    </row>
    <row r="61" spans="1:26" ht="15" customHeight="1">
      <c r="A61" s="134" t="s">
        <v>7148</v>
      </c>
      <c r="B61" s="134" t="s">
        <v>51</v>
      </c>
      <c r="C61" s="464" t="s">
        <v>7120</v>
      </c>
      <c r="D61" s="564" t="s">
        <v>6985</v>
      </c>
      <c r="E61" s="564" t="s">
        <v>7150</v>
      </c>
      <c r="F61" s="564" t="s">
        <v>7012</v>
      </c>
      <c r="G61" s="483">
        <v>1.5</v>
      </c>
      <c r="H61" s="382" t="s">
        <v>4628</v>
      </c>
      <c r="I61" s="185" t="s">
        <v>7043</v>
      </c>
      <c r="J61" s="1070" t="s">
        <v>7153</v>
      </c>
      <c r="K61" s="134"/>
      <c r="L61" s="134"/>
      <c r="M61" s="134"/>
      <c r="N61" s="31">
        <v>50</v>
      </c>
      <c r="O61" s="31">
        <f t="shared" si="2"/>
        <v>75</v>
      </c>
      <c r="P61" s="338" t="s">
        <v>2783</v>
      </c>
    </row>
    <row r="62" spans="1:26" ht="15" customHeight="1">
      <c r="A62" s="134" t="s">
        <v>7148</v>
      </c>
      <c r="B62" s="162" t="s">
        <v>51</v>
      </c>
      <c r="C62" s="438" t="s">
        <v>7126</v>
      </c>
      <c r="D62" s="186"/>
      <c r="E62" s="483" t="s">
        <v>7070</v>
      </c>
      <c r="F62" s="483" t="s">
        <v>7012</v>
      </c>
      <c r="G62" s="1079" t="s">
        <v>7122</v>
      </c>
      <c r="H62" s="382"/>
      <c r="I62" s="99" t="s">
        <v>7043</v>
      </c>
      <c r="J62" s="1070"/>
      <c r="K62" s="134"/>
      <c r="L62" s="134"/>
      <c r="M62" s="134"/>
      <c r="N62" s="30">
        <v>20</v>
      </c>
      <c r="O62" s="31">
        <f>N62</f>
        <v>20</v>
      </c>
      <c r="P62" s="338" t="s">
        <v>2783</v>
      </c>
    </row>
    <row r="63" spans="1:26" ht="15" customHeight="1">
      <c r="A63" s="134" t="s">
        <v>7148</v>
      </c>
      <c r="B63" s="162" t="s">
        <v>51</v>
      </c>
      <c r="C63" s="134" t="s">
        <v>7127</v>
      </c>
      <c r="D63" s="483" t="s">
        <v>7121</v>
      </c>
      <c r="E63" s="483" t="s">
        <v>7070</v>
      </c>
      <c r="F63" s="483" t="s">
        <v>7012</v>
      </c>
      <c r="G63" s="1079">
        <v>1.5</v>
      </c>
      <c r="H63" s="99"/>
      <c r="I63" s="99"/>
      <c r="J63" s="1082" t="s">
        <v>7128</v>
      </c>
      <c r="K63" s="162">
        <v>0</v>
      </c>
      <c r="L63" s="162">
        <v>2</v>
      </c>
      <c r="M63" s="162">
        <v>2</v>
      </c>
      <c r="N63" s="30">
        <v>30</v>
      </c>
      <c r="O63" s="31">
        <f>N63/2*G63</f>
        <v>22.5</v>
      </c>
      <c r="P63" s="338" t="s">
        <v>2783</v>
      </c>
    </row>
    <row r="64" spans="1:26" ht="15.75" customHeight="1">
      <c r="A64" s="438" t="s">
        <v>739</v>
      </c>
      <c r="B64" s="228" t="s">
        <v>141</v>
      </c>
      <c r="C64" s="138" t="s">
        <v>7154</v>
      </c>
      <c r="D64" s="138" t="s">
        <v>7054</v>
      </c>
      <c r="E64" s="564" t="s">
        <v>7155</v>
      </c>
      <c r="F64" s="564" t="s">
        <v>7017</v>
      </c>
      <c r="G64" s="564" t="s">
        <v>7051</v>
      </c>
      <c r="H64" s="1084" t="s">
        <v>7156</v>
      </c>
      <c r="I64" s="99" t="s">
        <v>7157</v>
      </c>
      <c r="J64" s="1070" t="s">
        <v>7158</v>
      </c>
      <c r="K64" s="134"/>
      <c r="L64" s="134"/>
      <c r="M64" s="134"/>
      <c r="N64" s="379" t="s">
        <v>7159</v>
      </c>
      <c r="O64" s="379">
        <v>90</v>
      </c>
      <c r="P64" s="216" t="str">
        <f t="shared" ref="P64:P79" si="3">A64</f>
        <v>Brad Remus</v>
      </c>
      <c r="Q64" s="216"/>
      <c r="R64" s="216"/>
      <c r="S64" s="216"/>
      <c r="T64" s="216"/>
      <c r="U64" s="216"/>
      <c r="V64" s="216"/>
      <c r="W64" s="216"/>
      <c r="X64" s="216"/>
      <c r="Y64" s="216"/>
      <c r="Z64" s="216"/>
    </row>
    <row r="65" spans="1:26" ht="15.75" customHeight="1">
      <c r="A65" s="438" t="s">
        <v>739</v>
      </c>
      <c r="B65" s="228" t="s">
        <v>141</v>
      </c>
      <c r="C65" s="134" t="s">
        <v>7160</v>
      </c>
      <c r="D65" s="138" t="s">
        <v>7054</v>
      </c>
      <c r="E65" s="564" t="s">
        <v>7155</v>
      </c>
      <c r="F65" s="564" t="s">
        <v>7161</v>
      </c>
      <c r="G65" s="564" t="s">
        <v>7051</v>
      </c>
      <c r="H65" s="146" t="s">
        <v>7162</v>
      </c>
      <c r="I65" s="99" t="s">
        <v>6997</v>
      </c>
      <c r="J65" s="1070" t="s">
        <v>7163</v>
      </c>
      <c r="K65" s="134"/>
      <c r="L65" s="134"/>
      <c r="M65" s="134"/>
      <c r="N65" s="379" t="s">
        <v>7164</v>
      </c>
      <c r="O65" s="379">
        <v>200</v>
      </c>
      <c r="P65" s="216" t="str">
        <f t="shared" si="3"/>
        <v>Brad Remus</v>
      </c>
      <c r="Q65" s="216"/>
      <c r="R65" s="216"/>
      <c r="S65" s="216"/>
      <c r="T65" s="216"/>
      <c r="U65" s="216"/>
      <c r="V65" s="216"/>
      <c r="W65" s="216"/>
      <c r="X65" s="216"/>
      <c r="Y65" s="216"/>
      <c r="Z65" s="216"/>
    </row>
    <row r="66" spans="1:26" ht="15.75" customHeight="1">
      <c r="A66" s="438" t="s">
        <v>739</v>
      </c>
      <c r="B66" s="228" t="s">
        <v>141</v>
      </c>
      <c r="C66" s="438" t="s">
        <v>7165</v>
      </c>
      <c r="D66" s="564" t="s">
        <v>7054</v>
      </c>
      <c r="E66" s="564" t="s">
        <v>7155</v>
      </c>
      <c r="F66" s="564" t="s">
        <v>7017</v>
      </c>
      <c r="G66" s="666"/>
      <c r="H66" s="146" t="s">
        <v>7166</v>
      </c>
      <c r="I66" s="99" t="s">
        <v>7155</v>
      </c>
      <c r="J66" s="1070" t="s">
        <v>7167</v>
      </c>
      <c r="K66" s="134"/>
      <c r="L66" s="134"/>
      <c r="M66" s="134"/>
      <c r="N66" s="379" t="s">
        <v>7168</v>
      </c>
      <c r="O66" s="379">
        <v>75</v>
      </c>
      <c r="P66" s="216" t="str">
        <f t="shared" si="3"/>
        <v>Brad Remus</v>
      </c>
      <c r="Q66" s="216"/>
      <c r="R66" s="216"/>
      <c r="S66" s="216"/>
      <c r="T66" s="216"/>
      <c r="U66" s="216"/>
      <c r="V66" s="216"/>
      <c r="W66" s="216"/>
      <c r="X66" s="216"/>
      <c r="Y66" s="216"/>
      <c r="Z66" s="216"/>
    </row>
    <row r="67" spans="1:26" ht="15.75" customHeight="1">
      <c r="A67" s="438" t="s">
        <v>7169</v>
      </c>
      <c r="B67" s="438" t="s">
        <v>141</v>
      </c>
      <c r="C67" s="438" t="s">
        <v>7170</v>
      </c>
      <c r="D67" s="1085" t="s">
        <v>7171</v>
      </c>
      <c r="E67" s="1085" t="s">
        <v>7172</v>
      </c>
      <c r="F67" s="1085" t="s">
        <v>7017</v>
      </c>
      <c r="G67" s="1085" t="s">
        <v>7173</v>
      </c>
      <c r="H67" s="223" t="s">
        <v>7174</v>
      </c>
      <c r="I67" s="237"/>
      <c r="J67" s="1086">
        <v>44604</v>
      </c>
      <c r="K67" s="438"/>
      <c r="L67" s="438">
        <v>1</v>
      </c>
      <c r="M67" s="438"/>
      <c r="N67" s="19" t="s">
        <v>7175</v>
      </c>
      <c r="O67" s="19">
        <v>100</v>
      </c>
      <c r="P67" s="216" t="str">
        <f t="shared" si="3"/>
        <v>Ciurea Stelian</v>
      </c>
      <c r="Q67" s="216"/>
      <c r="R67" s="216"/>
      <c r="S67" s="216"/>
      <c r="T67" s="216"/>
      <c r="U67" s="216"/>
      <c r="V67" s="216"/>
      <c r="W67" s="216"/>
      <c r="X67" s="216"/>
      <c r="Y67" s="216"/>
      <c r="Z67" s="216"/>
    </row>
    <row r="68" spans="1:26" ht="15.75" customHeight="1">
      <c r="A68" s="438" t="s">
        <v>7169</v>
      </c>
      <c r="B68" s="438" t="s">
        <v>141</v>
      </c>
      <c r="C68" s="438" t="s">
        <v>7176</v>
      </c>
      <c r="D68" s="1085" t="s">
        <v>7171</v>
      </c>
      <c r="E68" s="1085" t="s">
        <v>7172</v>
      </c>
      <c r="F68" s="1085" t="s">
        <v>7017</v>
      </c>
      <c r="G68" s="1085" t="s">
        <v>7177</v>
      </c>
      <c r="H68" s="223" t="s">
        <v>7174</v>
      </c>
      <c r="I68" s="228"/>
      <c r="J68" s="1086">
        <v>44660</v>
      </c>
      <c r="K68" s="438"/>
      <c r="L68" s="438">
        <v>1</v>
      </c>
      <c r="M68" s="438"/>
      <c r="N68" s="19" t="s">
        <v>7178</v>
      </c>
      <c r="O68" s="19">
        <v>75</v>
      </c>
      <c r="P68" s="216" t="str">
        <f t="shared" si="3"/>
        <v>Ciurea Stelian</v>
      </c>
      <c r="Q68" s="216"/>
      <c r="R68" s="216"/>
      <c r="S68" s="216"/>
      <c r="T68" s="216"/>
      <c r="U68" s="216"/>
      <c r="V68" s="216"/>
      <c r="W68" s="216"/>
      <c r="X68" s="216"/>
      <c r="Y68" s="216"/>
      <c r="Z68" s="216"/>
    </row>
    <row r="69" spans="1:26" ht="15.75" customHeight="1">
      <c r="A69" s="1087" t="s">
        <v>798</v>
      </c>
      <c r="B69" s="1088" t="s">
        <v>141</v>
      </c>
      <c r="C69" s="162" t="s">
        <v>7179</v>
      </c>
      <c r="D69" s="1088" t="s">
        <v>7054</v>
      </c>
      <c r="E69" s="99" t="s">
        <v>7180</v>
      </c>
      <c r="F69" s="1088" t="s">
        <v>7133</v>
      </c>
      <c r="G69" s="1088" t="s">
        <v>7181</v>
      </c>
      <c r="H69" s="1035" t="s">
        <v>7182</v>
      </c>
      <c r="I69" s="99" t="s">
        <v>7180</v>
      </c>
      <c r="J69" s="1070" t="s">
        <v>7183</v>
      </c>
      <c r="K69" s="162">
        <v>8</v>
      </c>
      <c r="L69" s="1088">
        <v>6</v>
      </c>
      <c r="M69" s="1088">
        <v>49</v>
      </c>
      <c r="N69" s="1088">
        <f>1.5*100</f>
        <v>150</v>
      </c>
      <c r="O69" s="1088">
        <f t="shared" ref="O69:O74" si="4">N69</f>
        <v>150</v>
      </c>
      <c r="P69" s="216" t="str">
        <f t="shared" si="3"/>
        <v>Florea Adrian</v>
      </c>
      <c r="Q69" s="216"/>
      <c r="R69" s="216"/>
      <c r="S69" s="216"/>
      <c r="T69" s="216"/>
      <c r="U69" s="216"/>
      <c r="V69" s="216"/>
      <c r="W69" s="216"/>
      <c r="X69" s="216"/>
      <c r="Y69" s="216"/>
      <c r="Z69" s="216"/>
    </row>
    <row r="70" spans="1:26" ht="15.75" customHeight="1">
      <c r="A70" s="1087" t="s">
        <v>798</v>
      </c>
      <c r="B70" s="1088" t="s">
        <v>141</v>
      </c>
      <c r="C70" s="1088" t="s">
        <v>7184</v>
      </c>
      <c r="D70" s="1088" t="s">
        <v>7054</v>
      </c>
      <c r="E70" s="99" t="s">
        <v>7185</v>
      </c>
      <c r="F70" s="1088" t="s">
        <v>7186</v>
      </c>
      <c r="G70" s="1088" t="s">
        <v>7187</v>
      </c>
      <c r="H70" s="490" t="s">
        <v>7188</v>
      </c>
      <c r="I70" s="99" t="s">
        <v>6997</v>
      </c>
      <c r="J70" s="1070" t="s">
        <v>7189</v>
      </c>
      <c r="K70" s="134"/>
      <c r="L70" s="134"/>
      <c r="M70" s="134"/>
      <c r="N70" s="1088">
        <f t="shared" ref="N70:N71" si="5">2*1.5*50</f>
        <v>150</v>
      </c>
      <c r="O70" s="1088">
        <f t="shared" si="4"/>
        <v>150</v>
      </c>
      <c r="P70" s="216" t="str">
        <f t="shared" si="3"/>
        <v>Florea Adrian</v>
      </c>
      <c r="Q70" s="216"/>
      <c r="R70" s="216"/>
      <c r="S70" s="216"/>
      <c r="T70" s="216"/>
      <c r="U70" s="216"/>
      <c r="V70" s="216"/>
      <c r="W70" s="216"/>
      <c r="X70" s="216"/>
      <c r="Y70" s="216"/>
      <c r="Z70" s="216"/>
    </row>
    <row r="71" spans="1:26" ht="15.75" customHeight="1">
      <c r="A71" s="1087" t="s">
        <v>798</v>
      </c>
      <c r="B71" s="1088" t="s">
        <v>141</v>
      </c>
      <c r="C71" s="133" t="s">
        <v>7190</v>
      </c>
      <c r="D71" s="1088" t="s">
        <v>7054</v>
      </c>
      <c r="E71" s="99" t="s">
        <v>7191</v>
      </c>
      <c r="F71" s="1088" t="s">
        <v>7192</v>
      </c>
      <c r="G71" s="1088" t="s">
        <v>7187</v>
      </c>
      <c r="H71" s="1035" t="s">
        <v>7193</v>
      </c>
      <c r="I71" s="99" t="s">
        <v>6997</v>
      </c>
      <c r="J71" s="1070" t="s">
        <v>7194</v>
      </c>
      <c r="K71" s="134"/>
      <c r="L71" s="134"/>
      <c r="M71" s="134"/>
      <c r="N71" s="1088">
        <f t="shared" si="5"/>
        <v>150</v>
      </c>
      <c r="O71" s="1088">
        <f t="shared" si="4"/>
        <v>150</v>
      </c>
      <c r="P71" s="216" t="str">
        <f t="shared" si="3"/>
        <v>Florea Adrian</v>
      </c>
      <c r="Q71" s="216"/>
      <c r="R71" s="216"/>
      <c r="S71" s="216"/>
      <c r="T71" s="216"/>
      <c r="U71" s="216"/>
      <c r="V71" s="216"/>
      <c r="W71" s="216"/>
      <c r="X71" s="216"/>
      <c r="Y71" s="216"/>
      <c r="Z71" s="216"/>
    </row>
    <row r="72" spans="1:26" ht="15.75" customHeight="1">
      <c r="A72" s="1087" t="s">
        <v>798</v>
      </c>
      <c r="B72" s="1088" t="s">
        <v>141</v>
      </c>
      <c r="C72" s="134" t="s">
        <v>7195</v>
      </c>
      <c r="D72" s="1088" t="s">
        <v>7054</v>
      </c>
      <c r="E72" s="99" t="s">
        <v>7191</v>
      </c>
      <c r="F72" s="1088" t="s">
        <v>7196</v>
      </c>
      <c r="G72" s="1088" t="s">
        <v>7187</v>
      </c>
      <c r="H72" s="1035" t="s">
        <v>7197</v>
      </c>
      <c r="I72" s="99" t="s">
        <v>6997</v>
      </c>
      <c r="J72" s="1070" t="s">
        <v>7198</v>
      </c>
      <c r="K72" s="134"/>
      <c r="L72" s="134"/>
      <c r="M72" s="134"/>
      <c r="N72" s="1088">
        <f>1.5*50</f>
        <v>75</v>
      </c>
      <c r="O72" s="1088">
        <f t="shared" si="4"/>
        <v>75</v>
      </c>
      <c r="P72" s="216" t="str">
        <f t="shared" si="3"/>
        <v>Florea Adrian</v>
      </c>
      <c r="Q72" s="216"/>
      <c r="R72" s="216"/>
      <c r="S72" s="216"/>
      <c r="T72" s="216"/>
      <c r="U72" s="216"/>
      <c r="V72" s="216"/>
      <c r="W72" s="216"/>
      <c r="X72" s="216"/>
      <c r="Y72" s="216"/>
      <c r="Z72" s="216"/>
    </row>
    <row r="73" spans="1:26" ht="15.75" customHeight="1">
      <c r="A73" s="1087" t="s">
        <v>798</v>
      </c>
      <c r="B73" s="1088" t="s">
        <v>141</v>
      </c>
      <c r="C73" s="134" t="s">
        <v>7199</v>
      </c>
      <c r="D73" s="1088" t="s">
        <v>7054</v>
      </c>
      <c r="E73" s="99" t="s">
        <v>7191</v>
      </c>
      <c r="F73" s="1088" t="s">
        <v>7200</v>
      </c>
      <c r="G73" s="564"/>
      <c r="H73" s="1035" t="s">
        <v>7201</v>
      </c>
      <c r="I73" s="99" t="s">
        <v>6997</v>
      </c>
      <c r="J73" s="1070" t="s">
        <v>7202</v>
      </c>
      <c r="K73" s="134"/>
      <c r="L73" s="134"/>
      <c r="M73" s="134"/>
      <c r="N73" s="1088">
        <f>2*50</f>
        <v>100</v>
      </c>
      <c r="O73" s="1088">
        <f t="shared" si="4"/>
        <v>100</v>
      </c>
      <c r="P73" s="216" t="str">
        <f t="shared" si="3"/>
        <v>Florea Adrian</v>
      </c>
      <c r="Q73" s="216"/>
      <c r="R73" s="216"/>
      <c r="S73" s="216"/>
      <c r="T73" s="216"/>
      <c r="U73" s="216"/>
      <c r="V73" s="216"/>
      <c r="W73" s="216"/>
      <c r="X73" s="216"/>
      <c r="Y73" s="216"/>
      <c r="Z73" s="216"/>
    </row>
    <row r="74" spans="1:26" ht="15.75" customHeight="1">
      <c r="A74" s="1089" t="s">
        <v>798</v>
      </c>
      <c r="B74" s="1038" t="s">
        <v>141</v>
      </c>
      <c r="C74" s="1039" t="s">
        <v>7203</v>
      </c>
      <c r="D74" s="1038" t="s">
        <v>7054</v>
      </c>
      <c r="E74" s="1041" t="s">
        <v>7191</v>
      </c>
      <c r="F74" s="1090" t="s">
        <v>7204</v>
      </c>
      <c r="G74" s="1038" t="s">
        <v>7181</v>
      </c>
      <c r="H74" s="1091" t="s">
        <v>7205</v>
      </c>
      <c r="I74" s="1041" t="s">
        <v>6997</v>
      </c>
      <c r="J74" s="1092" t="s">
        <v>7206</v>
      </c>
      <c r="K74" s="1039"/>
      <c r="L74" s="1039"/>
      <c r="M74" s="1039"/>
      <c r="N74" s="1038">
        <f>2*2*50</f>
        <v>200</v>
      </c>
      <c r="O74" s="1038">
        <f t="shared" si="4"/>
        <v>200</v>
      </c>
      <c r="P74" s="216" t="str">
        <f t="shared" si="3"/>
        <v>Florea Adrian</v>
      </c>
      <c r="Q74" s="216"/>
      <c r="R74" s="216"/>
      <c r="S74" s="216"/>
      <c r="T74" s="216"/>
      <c r="U74" s="216"/>
      <c r="V74" s="216"/>
      <c r="W74" s="216"/>
      <c r="X74" s="216"/>
      <c r="Y74" s="216"/>
      <c r="Z74" s="216"/>
    </row>
    <row r="75" spans="1:26" ht="15.75" customHeight="1">
      <c r="A75" s="134" t="s">
        <v>7207</v>
      </c>
      <c r="B75" s="134" t="s">
        <v>141</v>
      </c>
      <c r="C75" s="134" t="s">
        <v>7068</v>
      </c>
      <c r="D75" s="564" t="s">
        <v>7069</v>
      </c>
      <c r="E75" s="564" t="s">
        <v>7070</v>
      </c>
      <c r="F75" s="564" t="s">
        <v>7017</v>
      </c>
      <c r="G75" s="564" t="s">
        <v>7051</v>
      </c>
      <c r="H75" s="1035" t="s">
        <v>7052</v>
      </c>
      <c r="I75" s="185" t="s">
        <v>7043</v>
      </c>
      <c r="J75" s="500" t="s">
        <v>6983</v>
      </c>
      <c r="K75" s="134"/>
      <c r="L75" s="134"/>
      <c r="M75" s="134"/>
      <c r="N75" s="31">
        <v>20</v>
      </c>
      <c r="O75" s="31">
        <v>20</v>
      </c>
      <c r="P75" s="216" t="str">
        <f t="shared" si="3"/>
        <v xml:space="preserve">Mihai Neghina </v>
      </c>
      <c r="Q75" s="216"/>
      <c r="R75" s="216"/>
      <c r="S75" s="216"/>
      <c r="T75" s="216"/>
      <c r="U75" s="216"/>
      <c r="V75" s="216"/>
      <c r="W75" s="216"/>
      <c r="X75" s="216"/>
      <c r="Y75" s="216"/>
      <c r="Z75" s="216"/>
    </row>
    <row r="76" spans="1:26" ht="15.75" customHeight="1">
      <c r="A76" s="134" t="s">
        <v>7207</v>
      </c>
      <c r="B76" s="134" t="s">
        <v>141</v>
      </c>
      <c r="C76" s="564" t="s">
        <v>7179</v>
      </c>
      <c r="D76" s="564" t="s">
        <v>7061</v>
      </c>
      <c r="E76" s="564" t="s">
        <v>7062</v>
      </c>
      <c r="F76" s="564" t="s">
        <v>7017</v>
      </c>
      <c r="G76" s="564" t="s">
        <v>7051</v>
      </c>
      <c r="H76" s="382" t="s">
        <v>7166</v>
      </c>
      <c r="I76" s="99" t="s">
        <v>7043</v>
      </c>
      <c r="J76" s="500" t="s">
        <v>6861</v>
      </c>
      <c r="K76" s="134"/>
      <c r="L76" s="134"/>
      <c r="M76" s="134"/>
      <c r="N76" s="31">
        <v>50</v>
      </c>
      <c r="O76" s="31">
        <v>75</v>
      </c>
      <c r="P76" s="216" t="str">
        <f t="shared" si="3"/>
        <v xml:space="preserve">Mihai Neghina </v>
      </c>
      <c r="Q76" s="216"/>
      <c r="R76" s="216"/>
      <c r="S76" s="216"/>
      <c r="T76" s="216"/>
      <c r="U76" s="216"/>
      <c r="V76" s="216"/>
      <c r="W76" s="216"/>
      <c r="X76" s="216"/>
      <c r="Y76" s="216"/>
      <c r="Z76" s="216"/>
    </row>
    <row r="77" spans="1:26" ht="15.75" customHeight="1">
      <c r="A77" s="134" t="s">
        <v>7207</v>
      </c>
      <c r="B77" s="134" t="s">
        <v>141</v>
      </c>
      <c r="C77" s="564" t="s">
        <v>7208</v>
      </c>
      <c r="D77" s="564" t="s">
        <v>7061</v>
      </c>
      <c r="E77" s="564" t="s">
        <v>7062</v>
      </c>
      <c r="F77" s="564" t="s">
        <v>7017</v>
      </c>
      <c r="G77" s="564" t="s">
        <v>6995</v>
      </c>
      <c r="H77" s="382" t="s">
        <v>7209</v>
      </c>
      <c r="I77" s="99" t="s">
        <v>7123</v>
      </c>
      <c r="J77" s="99" t="s">
        <v>7210</v>
      </c>
      <c r="K77" s="134"/>
      <c r="L77" s="134"/>
      <c r="M77" s="134"/>
      <c r="N77" s="31">
        <v>100</v>
      </c>
      <c r="O77" s="31">
        <v>150</v>
      </c>
      <c r="P77" s="216" t="str">
        <f t="shared" si="3"/>
        <v xml:space="preserve">Mihai Neghina </v>
      </c>
      <c r="Q77" s="216"/>
      <c r="R77" s="216"/>
      <c r="S77" s="216"/>
      <c r="T77" s="216"/>
      <c r="U77" s="216"/>
      <c r="V77" s="216"/>
      <c r="W77" s="216"/>
      <c r="X77" s="216"/>
      <c r="Y77" s="216"/>
      <c r="Z77" s="216"/>
    </row>
    <row r="78" spans="1:26" ht="15.75" customHeight="1">
      <c r="A78" s="134" t="s">
        <v>3417</v>
      </c>
      <c r="B78" s="134" t="s">
        <v>141</v>
      </c>
      <c r="C78" s="134" t="s">
        <v>7211</v>
      </c>
      <c r="D78" s="564" t="s">
        <v>7054</v>
      </c>
      <c r="E78" s="564" t="s">
        <v>7062</v>
      </c>
      <c r="F78" s="564" t="s">
        <v>7017</v>
      </c>
      <c r="G78" s="564"/>
      <c r="H78" s="1035" t="s">
        <v>6635</v>
      </c>
      <c r="I78" s="185" t="s">
        <v>6997</v>
      </c>
      <c r="J78" s="1070" t="s">
        <v>7212</v>
      </c>
      <c r="K78" s="134"/>
      <c r="L78" s="134"/>
      <c r="M78" s="134"/>
      <c r="N78" s="31">
        <v>50</v>
      </c>
      <c r="O78" s="31">
        <v>50</v>
      </c>
      <c r="P78" s="216" t="str">
        <f t="shared" si="3"/>
        <v>Pitic Antoniu</v>
      </c>
      <c r="Q78" s="216"/>
      <c r="R78" s="216"/>
      <c r="S78" s="216"/>
      <c r="T78" s="216"/>
      <c r="U78" s="216"/>
      <c r="V78" s="216"/>
      <c r="W78" s="216"/>
      <c r="X78" s="216"/>
      <c r="Y78" s="216"/>
      <c r="Z78" s="216"/>
    </row>
    <row r="79" spans="1:26" ht="15.75" customHeight="1">
      <c r="A79" s="134" t="s">
        <v>6653</v>
      </c>
      <c r="B79" s="134" t="s">
        <v>141</v>
      </c>
      <c r="C79" s="134" t="s">
        <v>7213</v>
      </c>
      <c r="D79" s="564" t="s">
        <v>7061</v>
      </c>
      <c r="E79" s="564" t="s">
        <v>7155</v>
      </c>
      <c r="F79" s="564" t="s">
        <v>7214</v>
      </c>
      <c r="G79" s="564" t="s">
        <v>7064</v>
      </c>
      <c r="H79" s="91" t="s">
        <v>7075</v>
      </c>
      <c r="I79" s="185" t="s">
        <v>7215</v>
      </c>
      <c r="J79" s="1093" t="s">
        <v>7216</v>
      </c>
      <c r="K79" s="134">
        <v>1</v>
      </c>
      <c r="L79" s="134">
        <v>1</v>
      </c>
      <c r="M79" s="134">
        <v>1</v>
      </c>
      <c r="N79" s="767" t="s">
        <v>7217</v>
      </c>
      <c r="O79" s="767">
        <v>200</v>
      </c>
      <c r="P79" s="216" t="str">
        <f t="shared" si="3"/>
        <v>VOLOVICI Daniel</v>
      </c>
      <c r="Q79" s="216"/>
      <c r="R79" s="216"/>
      <c r="S79" s="216"/>
      <c r="T79" s="216"/>
      <c r="U79" s="216"/>
      <c r="V79" s="216"/>
      <c r="W79" s="216"/>
      <c r="X79" s="216"/>
      <c r="Y79" s="216"/>
      <c r="Z79" s="216"/>
    </row>
    <row r="80" spans="1:26" ht="15.75" customHeight="1">
      <c r="A80" s="134" t="s">
        <v>6654</v>
      </c>
      <c r="B80" s="134" t="s">
        <v>141</v>
      </c>
      <c r="C80" s="134" t="s">
        <v>7218</v>
      </c>
      <c r="D80" s="564" t="s">
        <v>7219</v>
      </c>
      <c r="E80" s="564" t="s">
        <v>7220</v>
      </c>
      <c r="F80" s="564" t="s">
        <v>7221</v>
      </c>
      <c r="G80" s="564" t="s">
        <v>7013</v>
      </c>
      <c r="H80" s="91" t="s">
        <v>7222</v>
      </c>
      <c r="I80" s="185" t="s">
        <v>6997</v>
      </c>
      <c r="J80" s="1093" t="s">
        <v>7223</v>
      </c>
      <c r="K80" s="134"/>
      <c r="L80" s="134"/>
      <c r="M80" s="134"/>
      <c r="N80" s="767">
        <v>50</v>
      </c>
      <c r="O80" s="767">
        <v>50</v>
      </c>
      <c r="P80" s="216" t="s">
        <v>147</v>
      </c>
      <c r="Q80" s="216"/>
      <c r="R80" s="216"/>
      <c r="S80" s="216"/>
      <c r="T80" s="216"/>
      <c r="U80" s="216"/>
      <c r="V80" s="216"/>
      <c r="W80" s="216"/>
      <c r="X80" s="216"/>
      <c r="Y80" s="216"/>
      <c r="Z80" s="216"/>
    </row>
    <row r="81" spans="1:26" ht="15" customHeight="1">
      <c r="A81" s="134" t="s">
        <v>114</v>
      </c>
      <c r="B81" s="134" t="s">
        <v>105</v>
      </c>
      <c r="C81" s="134" t="s">
        <v>7224</v>
      </c>
      <c r="D81" s="564" t="s">
        <v>7115</v>
      </c>
      <c r="E81" s="564" t="s">
        <v>7225</v>
      </c>
      <c r="F81" s="564" t="s">
        <v>7012</v>
      </c>
      <c r="G81" s="564" t="s">
        <v>7134</v>
      </c>
      <c r="H81" s="382" t="s">
        <v>7052</v>
      </c>
      <c r="I81" s="564" t="s">
        <v>7226</v>
      </c>
      <c r="J81" s="134" t="s">
        <v>7227</v>
      </c>
      <c r="K81" s="134">
        <v>1</v>
      </c>
      <c r="L81" s="134">
        <v>1</v>
      </c>
      <c r="M81" s="134">
        <v>1</v>
      </c>
      <c r="N81" s="1053">
        <v>20</v>
      </c>
      <c r="O81" s="1053">
        <v>20</v>
      </c>
      <c r="P81" s="338" t="s">
        <v>114</v>
      </c>
      <c r="Q81" s="216"/>
      <c r="R81" s="216"/>
      <c r="S81" s="216"/>
      <c r="T81" s="216"/>
      <c r="U81" s="216"/>
      <c r="V81" s="216"/>
      <c r="W81" s="216"/>
      <c r="X81" s="216"/>
      <c r="Y81" s="216"/>
      <c r="Z81" s="216"/>
    </row>
    <row r="82" spans="1:26" ht="15" customHeight="1">
      <c r="A82" s="133" t="s">
        <v>139</v>
      </c>
      <c r="B82" s="133" t="s">
        <v>105</v>
      </c>
      <c r="C82" s="133" t="s">
        <v>7048</v>
      </c>
      <c r="D82" s="1026" t="s">
        <v>7228</v>
      </c>
      <c r="E82" s="1026" t="s">
        <v>7225</v>
      </c>
      <c r="F82" s="528" t="s">
        <v>7012</v>
      </c>
      <c r="G82" s="528" t="s">
        <v>7134</v>
      </c>
      <c r="H82" s="822" t="s">
        <v>7229</v>
      </c>
      <c r="I82" s="99" t="s">
        <v>7226</v>
      </c>
      <c r="J82" s="1094" t="s">
        <v>7230</v>
      </c>
      <c r="K82" s="99">
        <v>1</v>
      </c>
      <c r="L82" s="99">
        <v>1</v>
      </c>
      <c r="M82" s="99">
        <v>1</v>
      </c>
      <c r="N82" s="803">
        <v>20</v>
      </c>
      <c r="O82" s="803">
        <v>20</v>
      </c>
      <c r="P82" s="338" t="s">
        <v>916</v>
      </c>
      <c r="Q82" s="216"/>
      <c r="R82" s="216"/>
      <c r="S82" s="216"/>
      <c r="T82" s="216"/>
      <c r="U82" s="216"/>
      <c r="V82" s="216"/>
      <c r="W82" s="216"/>
      <c r="X82" s="216"/>
      <c r="Y82" s="216"/>
      <c r="Z82" s="216"/>
    </row>
    <row r="83" spans="1:26" ht="15" customHeight="1">
      <c r="A83" s="133" t="s">
        <v>139</v>
      </c>
      <c r="B83" s="133" t="s">
        <v>105</v>
      </c>
      <c r="C83" s="133" t="s">
        <v>7231</v>
      </c>
      <c r="D83" s="1026" t="s">
        <v>6985</v>
      </c>
      <c r="E83" s="1026" t="s">
        <v>7225</v>
      </c>
      <c r="F83" s="528" t="s">
        <v>7232</v>
      </c>
      <c r="G83" s="528" t="s">
        <v>7233</v>
      </c>
      <c r="H83" s="382" t="s">
        <v>7234</v>
      </c>
      <c r="I83" s="99" t="s">
        <v>7235</v>
      </c>
      <c r="J83" s="500" t="s">
        <v>7236</v>
      </c>
      <c r="K83" s="99">
        <v>1</v>
      </c>
      <c r="L83" s="99">
        <v>1</v>
      </c>
      <c r="M83" s="99">
        <v>1</v>
      </c>
      <c r="N83" s="803" t="s">
        <v>7237</v>
      </c>
      <c r="O83" s="803">
        <f>30*2</f>
        <v>60</v>
      </c>
      <c r="P83" s="338" t="s">
        <v>916</v>
      </c>
      <c r="Q83" s="216"/>
      <c r="R83" s="216"/>
      <c r="S83" s="216"/>
      <c r="T83" s="216"/>
      <c r="U83" s="216"/>
      <c r="V83" s="216"/>
      <c r="W83" s="216"/>
      <c r="X83" s="216"/>
      <c r="Y83" s="216"/>
      <c r="Z83" s="216"/>
    </row>
    <row r="84" spans="1:26" ht="15" customHeight="1">
      <c r="A84" s="134" t="s">
        <v>6669</v>
      </c>
      <c r="B84" s="134" t="s">
        <v>105</v>
      </c>
      <c r="C84" s="134" t="s">
        <v>7238</v>
      </c>
      <c r="D84" s="564" t="s">
        <v>6985</v>
      </c>
      <c r="E84" s="564" t="s">
        <v>7239</v>
      </c>
      <c r="F84" s="564" t="s">
        <v>7012</v>
      </c>
      <c r="G84" s="564" t="s">
        <v>7233</v>
      </c>
      <c r="H84" s="1035" t="s">
        <v>7240</v>
      </c>
      <c r="I84" s="564" t="s">
        <v>7235</v>
      </c>
      <c r="J84" s="134" t="s">
        <v>7241</v>
      </c>
      <c r="K84" s="134">
        <v>1</v>
      </c>
      <c r="L84" s="134">
        <v>1</v>
      </c>
      <c r="M84" s="134">
        <v>1</v>
      </c>
      <c r="N84" s="1053" t="s">
        <v>7129</v>
      </c>
      <c r="O84" s="1053">
        <f>30*1.5</f>
        <v>45</v>
      </c>
      <c r="P84" s="338" t="s">
        <v>931</v>
      </c>
      <c r="Q84" s="216"/>
      <c r="R84" s="216"/>
      <c r="S84" s="216"/>
      <c r="T84" s="216"/>
      <c r="U84" s="216"/>
      <c r="V84" s="216"/>
      <c r="W84" s="216"/>
      <c r="X84" s="216"/>
      <c r="Y84" s="216"/>
      <c r="Z84" s="216"/>
    </row>
    <row r="85" spans="1:26" ht="15" customHeight="1">
      <c r="A85" s="134" t="s">
        <v>7242</v>
      </c>
      <c r="B85" s="134" t="s">
        <v>105</v>
      </c>
      <c r="C85" s="134" t="s">
        <v>7243</v>
      </c>
      <c r="D85" s="564" t="s">
        <v>6985</v>
      </c>
      <c r="E85" s="564" t="s">
        <v>7225</v>
      </c>
      <c r="F85" s="564" t="s">
        <v>7232</v>
      </c>
      <c r="G85" s="564" t="s">
        <v>7233</v>
      </c>
      <c r="H85" s="378" t="s">
        <v>7234</v>
      </c>
      <c r="I85" s="564" t="s">
        <v>7235</v>
      </c>
      <c r="J85" s="134" t="s">
        <v>7244</v>
      </c>
      <c r="K85" s="134">
        <v>1</v>
      </c>
      <c r="L85" s="134">
        <v>1</v>
      </c>
      <c r="M85" s="134">
        <v>1</v>
      </c>
      <c r="N85" s="1053" t="s">
        <v>7237</v>
      </c>
      <c r="O85" s="1053">
        <f>60</f>
        <v>60</v>
      </c>
      <c r="P85" s="338" t="s">
        <v>931</v>
      </c>
      <c r="Q85" s="216"/>
      <c r="R85" s="216"/>
      <c r="S85" s="216"/>
      <c r="T85" s="216"/>
      <c r="U85" s="216"/>
      <c r="V85" s="216"/>
      <c r="W85" s="216"/>
      <c r="X85" s="216"/>
      <c r="Y85" s="216"/>
      <c r="Z85" s="216"/>
    </row>
    <row r="86" spans="1:26" ht="15" customHeight="1">
      <c r="A86" s="134" t="s">
        <v>6669</v>
      </c>
      <c r="B86" s="134" t="s">
        <v>105</v>
      </c>
      <c r="C86" s="134" t="s">
        <v>7224</v>
      </c>
      <c r="D86" s="564" t="s">
        <v>7115</v>
      </c>
      <c r="E86" s="564" t="s">
        <v>7225</v>
      </c>
      <c r="F86" s="564" t="s">
        <v>7012</v>
      </c>
      <c r="G86" s="564" t="s">
        <v>7134</v>
      </c>
      <c r="H86" s="382" t="s">
        <v>7052</v>
      </c>
      <c r="I86" s="564" t="s">
        <v>7226</v>
      </c>
      <c r="J86" s="134" t="s">
        <v>7227</v>
      </c>
      <c r="K86" s="134">
        <v>1</v>
      </c>
      <c r="L86" s="134">
        <v>1</v>
      </c>
      <c r="M86" s="134">
        <v>1</v>
      </c>
      <c r="N86" s="1053">
        <v>20</v>
      </c>
      <c r="O86" s="1053">
        <v>20</v>
      </c>
      <c r="P86" s="338" t="s">
        <v>931</v>
      </c>
      <c r="Q86" s="216"/>
      <c r="R86" s="216"/>
      <c r="S86" s="216"/>
      <c r="T86" s="216"/>
      <c r="U86" s="216"/>
      <c r="V86" s="216"/>
      <c r="W86" s="216"/>
      <c r="X86" s="216"/>
      <c r="Y86" s="216"/>
      <c r="Z86" s="216"/>
    </row>
    <row r="87" spans="1:26" ht="15" customHeight="1">
      <c r="A87" s="134" t="s">
        <v>7245</v>
      </c>
      <c r="B87" s="134" t="s">
        <v>105</v>
      </c>
      <c r="C87" s="134" t="s">
        <v>7246</v>
      </c>
      <c r="D87" s="564" t="s">
        <v>7228</v>
      </c>
      <c r="E87" s="564" t="s">
        <v>7155</v>
      </c>
      <c r="F87" s="564" t="s">
        <v>7141</v>
      </c>
      <c r="G87" s="564"/>
      <c r="H87" s="1035" t="s">
        <v>6982</v>
      </c>
      <c r="I87" s="185" t="s">
        <v>7247</v>
      </c>
      <c r="J87" s="1070" t="s">
        <v>6983</v>
      </c>
      <c r="K87" s="134"/>
      <c r="L87" s="134"/>
      <c r="M87" s="134"/>
      <c r="N87" s="803">
        <v>20</v>
      </c>
      <c r="O87" s="803">
        <v>20</v>
      </c>
      <c r="P87" s="338" t="s">
        <v>952</v>
      </c>
      <c r="Q87" s="216"/>
      <c r="R87" s="216"/>
      <c r="S87" s="216"/>
      <c r="T87" s="216"/>
      <c r="U87" s="216"/>
      <c r="V87" s="216"/>
      <c r="W87" s="216"/>
      <c r="X87" s="216"/>
      <c r="Y87" s="216"/>
      <c r="Z87" s="216"/>
    </row>
    <row r="88" spans="1:26" ht="15" customHeight="1">
      <c r="A88" s="134" t="s">
        <v>123</v>
      </c>
      <c r="B88" s="134" t="s">
        <v>105</v>
      </c>
      <c r="C88" s="134" t="s">
        <v>7248</v>
      </c>
      <c r="D88" s="564" t="s">
        <v>7061</v>
      </c>
      <c r="E88" s="564" t="s">
        <v>7249</v>
      </c>
      <c r="F88" s="564" t="s">
        <v>7017</v>
      </c>
      <c r="G88" s="1095"/>
      <c r="H88" s="264" t="s">
        <v>7250</v>
      </c>
      <c r="I88" s="216"/>
      <c r="J88" s="1070" t="s">
        <v>7251</v>
      </c>
      <c r="K88" s="134"/>
      <c r="L88" s="134">
        <v>1</v>
      </c>
      <c r="M88" s="134">
        <v>1</v>
      </c>
      <c r="N88" s="1096">
        <v>50</v>
      </c>
      <c r="O88" s="1096">
        <f>1.5*50</f>
        <v>75</v>
      </c>
      <c r="P88" s="338" t="s">
        <v>123</v>
      </c>
      <c r="Q88" s="216"/>
      <c r="R88" s="216"/>
      <c r="S88" s="216"/>
      <c r="T88" s="216"/>
      <c r="U88" s="216"/>
      <c r="V88" s="216"/>
      <c r="W88" s="216"/>
      <c r="X88" s="216"/>
      <c r="Y88" s="216"/>
      <c r="Z88" s="216"/>
    </row>
    <row r="89" spans="1:26" ht="15" customHeight="1">
      <c r="A89" s="134" t="s">
        <v>6722</v>
      </c>
      <c r="B89" s="134" t="s">
        <v>105</v>
      </c>
      <c r="C89" s="134" t="s">
        <v>7252</v>
      </c>
      <c r="D89" s="564" t="s">
        <v>6992</v>
      </c>
      <c r="E89" s="564" t="s">
        <v>7155</v>
      </c>
      <c r="F89" s="564" t="s">
        <v>7253</v>
      </c>
      <c r="G89" s="564" t="s">
        <v>7254</v>
      </c>
      <c r="H89" s="91" t="s">
        <v>7255</v>
      </c>
      <c r="I89" s="185" t="s">
        <v>7256</v>
      </c>
      <c r="J89" s="1070" t="s">
        <v>7025</v>
      </c>
      <c r="K89" s="134"/>
      <c r="L89" s="134"/>
      <c r="M89" s="134"/>
      <c r="N89" s="803">
        <v>30</v>
      </c>
      <c r="O89" s="895">
        <v>120</v>
      </c>
      <c r="P89" s="338" t="s">
        <v>104</v>
      </c>
      <c r="Q89" s="216"/>
      <c r="R89" s="216"/>
      <c r="S89" s="216"/>
      <c r="T89" s="216"/>
      <c r="U89" s="216"/>
      <c r="V89" s="216"/>
      <c r="W89" s="216"/>
      <c r="X89" s="216"/>
      <c r="Y89" s="216"/>
      <c r="Z89" s="216"/>
    </row>
    <row r="90" spans="1:26" ht="15" customHeight="1">
      <c r="A90" s="134" t="s">
        <v>6722</v>
      </c>
      <c r="B90" s="134" t="s">
        <v>105</v>
      </c>
      <c r="C90" s="134" t="s">
        <v>7257</v>
      </c>
      <c r="D90" s="564" t="s">
        <v>6992</v>
      </c>
      <c r="E90" s="564" t="s">
        <v>7155</v>
      </c>
      <c r="F90" s="564" t="s">
        <v>7258</v>
      </c>
      <c r="G90" s="564"/>
      <c r="H90" s="91" t="s">
        <v>7259</v>
      </c>
      <c r="I90" s="185" t="s">
        <v>7090</v>
      </c>
      <c r="J90" s="1070" t="s">
        <v>7260</v>
      </c>
      <c r="K90" s="134"/>
      <c r="L90" s="134"/>
      <c r="M90" s="134"/>
      <c r="N90" s="30">
        <v>50</v>
      </c>
      <c r="O90" s="895">
        <v>75</v>
      </c>
      <c r="P90" s="338" t="s">
        <v>104</v>
      </c>
      <c r="Q90" s="216"/>
      <c r="R90" s="216"/>
      <c r="S90" s="216"/>
      <c r="T90" s="216"/>
      <c r="U90" s="216"/>
      <c r="V90" s="216"/>
      <c r="W90" s="216"/>
      <c r="X90" s="216"/>
      <c r="Y90" s="216"/>
      <c r="Z90" s="216"/>
    </row>
    <row r="91" spans="1:26" ht="15" customHeight="1">
      <c r="A91" s="134" t="s">
        <v>6722</v>
      </c>
      <c r="B91" s="134" t="s">
        <v>105</v>
      </c>
      <c r="C91" s="134" t="s">
        <v>7261</v>
      </c>
      <c r="D91" s="564"/>
      <c r="E91" s="564"/>
      <c r="F91" s="564"/>
      <c r="G91" s="564"/>
      <c r="H91" s="99"/>
      <c r="I91" s="99"/>
      <c r="J91" s="1070"/>
      <c r="K91" s="134"/>
      <c r="L91" s="134"/>
      <c r="M91" s="134"/>
      <c r="N91" s="803">
        <v>20</v>
      </c>
      <c r="O91" s="895">
        <v>20</v>
      </c>
      <c r="P91" s="338" t="s">
        <v>104</v>
      </c>
      <c r="Q91" s="216"/>
      <c r="R91" s="216"/>
      <c r="S91" s="216"/>
      <c r="T91" s="216"/>
      <c r="U91" s="216"/>
      <c r="V91" s="216"/>
      <c r="W91" s="216"/>
      <c r="X91" s="216"/>
      <c r="Y91" s="216"/>
      <c r="Z91" s="216"/>
    </row>
    <row r="92" spans="1:26" ht="15" customHeight="1">
      <c r="A92" s="134" t="s">
        <v>132</v>
      </c>
      <c r="B92" s="134" t="s">
        <v>105</v>
      </c>
      <c r="C92" s="134" t="s">
        <v>7261</v>
      </c>
      <c r="D92" s="564"/>
      <c r="E92" s="564"/>
      <c r="F92" s="564"/>
      <c r="G92" s="564"/>
      <c r="H92" s="99"/>
      <c r="I92" s="99"/>
      <c r="J92" s="1070"/>
      <c r="K92" s="134"/>
      <c r="L92" s="134"/>
      <c r="M92" s="134"/>
      <c r="N92" s="894">
        <v>20</v>
      </c>
      <c r="O92" s="895">
        <v>20</v>
      </c>
      <c r="P92" s="338" t="s">
        <v>132</v>
      </c>
      <c r="Q92" s="216"/>
      <c r="R92" s="216"/>
      <c r="S92" s="216"/>
      <c r="T92" s="216"/>
      <c r="U92" s="216"/>
      <c r="V92" s="216"/>
      <c r="W92" s="216"/>
      <c r="X92" s="216"/>
      <c r="Y92" s="216"/>
      <c r="Z92" s="216"/>
    </row>
    <row r="93" spans="1:26" ht="15" customHeight="1">
      <c r="A93" s="134" t="s">
        <v>7262</v>
      </c>
      <c r="B93" s="134" t="s">
        <v>105</v>
      </c>
      <c r="C93" s="134" t="s">
        <v>7048</v>
      </c>
      <c r="D93" s="564" t="s">
        <v>7115</v>
      </c>
      <c r="E93" s="564" t="s">
        <v>7116</v>
      </c>
      <c r="F93" s="564" t="s">
        <v>7012</v>
      </c>
      <c r="G93" s="564" t="s">
        <v>7117</v>
      </c>
      <c r="H93" s="1035" t="s">
        <v>6982</v>
      </c>
      <c r="I93" s="99" t="s">
        <v>7118</v>
      </c>
      <c r="J93" s="1070" t="s">
        <v>6983</v>
      </c>
      <c r="K93" s="134">
        <v>5</v>
      </c>
      <c r="L93" s="134">
        <v>5</v>
      </c>
      <c r="M93" s="134">
        <v>5</v>
      </c>
      <c r="N93" s="767">
        <v>20</v>
      </c>
      <c r="O93" s="767">
        <v>20</v>
      </c>
      <c r="P93" s="338" t="s">
        <v>971</v>
      </c>
      <c r="Q93" s="216"/>
      <c r="R93" s="216"/>
      <c r="S93" s="216"/>
      <c r="T93" s="216"/>
      <c r="U93" s="216"/>
      <c r="V93" s="216"/>
      <c r="W93" s="216"/>
      <c r="X93" s="216"/>
      <c r="Y93" s="216"/>
      <c r="Z93" s="216"/>
    </row>
    <row r="94" spans="1:26" ht="15" customHeight="1">
      <c r="A94" s="134" t="s">
        <v>7263</v>
      </c>
      <c r="B94" s="134" t="s">
        <v>7264</v>
      </c>
      <c r="C94" s="134" t="s">
        <v>7265</v>
      </c>
      <c r="D94" s="564" t="s">
        <v>7069</v>
      </c>
      <c r="E94" s="564"/>
      <c r="F94" s="564" t="s">
        <v>7017</v>
      </c>
      <c r="G94" s="564" t="s">
        <v>7064</v>
      </c>
      <c r="H94" s="91" t="s">
        <v>7052</v>
      </c>
      <c r="I94" s="185" t="s">
        <v>7043</v>
      </c>
      <c r="J94" s="1070" t="s">
        <v>6983</v>
      </c>
      <c r="K94" s="134">
        <v>0</v>
      </c>
      <c r="L94" s="134">
        <v>1</v>
      </c>
      <c r="M94" s="134">
        <v>1</v>
      </c>
      <c r="N94" s="31">
        <v>20</v>
      </c>
      <c r="O94" s="31">
        <v>20</v>
      </c>
      <c r="P94" s="338" t="s">
        <v>125</v>
      </c>
      <c r="Q94" s="216"/>
      <c r="R94" s="216"/>
      <c r="S94" s="216"/>
      <c r="T94" s="216"/>
      <c r="U94" s="216"/>
      <c r="V94" s="216"/>
      <c r="W94" s="216"/>
      <c r="X94" s="216"/>
      <c r="Y94" s="216"/>
      <c r="Z94" s="216"/>
    </row>
    <row r="95" spans="1:26" ht="15" customHeight="1">
      <c r="A95" s="134" t="s">
        <v>7266</v>
      </c>
      <c r="B95" s="99" t="s">
        <v>105</v>
      </c>
      <c r="C95" s="134" t="s">
        <v>7126</v>
      </c>
      <c r="D95" s="564" t="s">
        <v>7115</v>
      </c>
      <c r="E95" s="564" t="s">
        <v>7225</v>
      </c>
      <c r="F95" s="564" t="s">
        <v>7012</v>
      </c>
      <c r="G95" s="1079">
        <v>200</v>
      </c>
      <c r="H95" s="1035" t="s">
        <v>7052</v>
      </c>
      <c r="I95" s="185"/>
      <c r="J95" s="1070" t="s">
        <v>6983</v>
      </c>
      <c r="K95" s="134">
        <v>2</v>
      </c>
      <c r="L95" s="134">
        <v>2</v>
      </c>
      <c r="M95" s="134">
        <v>2</v>
      </c>
      <c r="N95" s="31"/>
      <c r="O95" s="767">
        <v>20</v>
      </c>
      <c r="P95" s="338" t="s">
        <v>118</v>
      </c>
      <c r="Q95" s="216"/>
      <c r="R95" s="216"/>
      <c r="S95" s="216"/>
      <c r="T95" s="216"/>
      <c r="U95" s="216"/>
      <c r="V95" s="216"/>
      <c r="W95" s="216"/>
      <c r="X95" s="216"/>
      <c r="Y95" s="216"/>
      <c r="Z95" s="216"/>
    </row>
    <row r="96" spans="1:26" ht="15" customHeight="1">
      <c r="A96" s="134" t="s">
        <v>6796</v>
      </c>
      <c r="B96" s="134" t="s">
        <v>105</v>
      </c>
      <c r="C96" s="134" t="s">
        <v>7246</v>
      </c>
      <c r="D96" s="564" t="s">
        <v>7228</v>
      </c>
      <c r="E96" s="564" t="s">
        <v>7155</v>
      </c>
      <c r="F96" s="564" t="s">
        <v>7141</v>
      </c>
      <c r="G96" s="564"/>
      <c r="H96" s="1035" t="s">
        <v>6982</v>
      </c>
      <c r="I96" s="185"/>
      <c r="J96" s="1070" t="s">
        <v>6983</v>
      </c>
      <c r="K96" s="134"/>
      <c r="L96" s="134"/>
      <c r="M96" s="134"/>
      <c r="N96" s="803">
        <v>20</v>
      </c>
      <c r="O96" s="803">
        <v>20</v>
      </c>
      <c r="P96" s="338" t="s">
        <v>126</v>
      </c>
      <c r="Q96" s="216"/>
      <c r="R96" s="216"/>
      <c r="S96" s="216"/>
      <c r="T96" s="216"/>
      <c r="U96" s="216"/>
      <c r="V96" s="216"/>
      <c r="W96" s="216"/>
      <c r="X96" s="216"/>
      <c r="Y96" s="216"/>
      <c r="Z96" s="216"/>
    </row>
    <row r="97" spans="1:26" ht="15" customHeight="1">
      <c r="A97" s="134" t="s">
        <v>6823</v>
      </c>
      <c r="B97" s="134" t="s">
        <v>105</v>
      </c>
      <c r="C97" s="134" t="s">
        <v>7246</v>
      </c>
      <c r="D97" s="564" t="s">
        <v>7228</v>
      </c>
      <c r="E97" s="564" t="s">
        <v>7155</v>
      </c>
      <c r="F97" s="564" t="s">
        <v>7141</v>
      </c>
      <c r="G97" s="564"/>
      <c r="H97" s="1035" t="s">
        <v>6982</v>
      </c>
      <c r="I97" s="185" t="s">
        <v>7267</v>
      </c>
      <c r="J97" s="1070" t="s">
        <v>6983</v>
      </c>
      <c r="K97" s="134"/>
      <c r="L97" s="134"/>
      <c r="M97" s="134"/>
      <c r="N97" s="31">
        <v>20</v>
      </c>
      <c r="O97" s="31">
        <v>20</v>
      </c>
      <c r="P97" s="338" t="s">
        <v>119</v>
      </c>
      <c r="Q97" s="216"/>
      <c r="R97" s="216"/>
      <c r="S97" s="216"/>
      <c r="T97" s="216"/>
      <c r="U97" s="216"/>
      <c r="V97" s="216"/>
      <c r="W97" s="216"/>
      <c r="X97" s="216"/>
      <c r="Y97" s="216"/>
      <c r="Z97" s="216"/>
    </row>
    <row r="98" spans="1:26" ht="15" customHeight="1">
      <c r="A98" s="134" t="s">
        <v>7268</v>
      </c>
      <c r="B98" s="134" t="s">
        <v>105</v>
      </c>
      <c r="C98" s="134" t="s">
        <v>7224</v>
      </c>
      <c r="D98" s="564" t="s">
        <v>7115</v>
      </c>
      <c r="E98" s="564" t="s">
        <v>7225</v>
      </c>
      <c r="F98" s="564" t="s">
        <v>7012</v>
      </c>
      <c r="G98" s="564" t="s">
        <v>7134</v>
      </c>
      <c r="H98" s="1035" t="s">
        <v>7052</v>
      </c>
      <c r="I98" s="185" t="s">
        <v>7226</v>
      </c>
      <c r="J98" s="1070" t="s">
        <v>7227</v>
      </c>
      <c r="K98" s="134">
        <v>1</v>
      </c>
      <c r="L98" s="134">
        <v>1</v>
      </c>
      <c r="M98" s="134">
        <v>1</v>
      </c>
      <c r="N98" s="31">
        <v>20</v>
      </c>
      <c r="O98" s="31">
        <v>20</v>
      </c>
      <c r="P98" s="338" t="s">
        <v>1005</v>
      </c>
      <c r="Q98" s="216"/>
      <c r="R98" s="216"/>
      <c r="S98" s="216"/>
      <c r="T98" s="216"/>
      <c r="U98" s="216"/>
      <c r="V98" s="216"/>
      <c r="W98" s="216"/>
      <c r="X98" s="216"/>
      <c r="Y98" s="216"/>
      <c r="Z98" s="216"/>
    </row>
    <row r="99" spans="1:26" ht="15" customHeight="1">
      <c r="A99" s="134" t="s">
        <v>7268</v>
      </c>
      <c r="B99" s="134" t="s">
        <v>105</v>
      </c>
      <c r="C99" s="134" t="s">
        <v>7269</v>
      </c>
      <c r="D99" s="564" t="s">
        <v>6985</v>
      </c>
      <c r="E99" s="564" t="s">
        <v>7225</v>
      </c>
      <c r="F99" s="564" t="s">
        <v>7012</v>
      </c>
      <c r="G99" s="564" t="s">
        <v>7233</v>
      </c>
      <c r="H99" s="382" t="s">
        <v>7270</v>
      </c>
      <c r="I99" s="564" t="s">
        <v>7235</v>
      </c>
      <c r="J99" s="1097">
        <v>45246</v>
      </c>
      <c r="K99" s="134">
        <v>1</v>
      </c>
      <c r="L99" s="134">
        <v>1</v>
      </c>
      <c r="M99" s="134">
        <v>1</v>
      </c>
      <c r="N99" s="1053" t="s">
        <v>7271</v>
      </c>
      <c r="O99" s="1053">
        <f>30*1.5</f>
        <v>45</v>
      </c>
      <c r="P99" s="338" t="s">
        <v>1005</v>
      </c>
      <c r="Q99" s="216"/>
      <c r="R99" s="216"/>
      <c r="S99" s="216"/>
      <c r="T99" s="216"/>
      <c r="U99" s="216"/>
      <c r="V99" s="216"/>
      <c r="W99" s="216"/>
      <c r="X99" s="216"/>
      <c r="Y99" s="216"/>
      <c r="Z99" s="216"/>
    </row>
    <row r="100" spans="1:26" ht="15" customHeight="1">
      <c r="A100" s="99" t="s">
        <v>4766</v>
      </c>
      <c r="B100" s="134" t="s">
        <v>105</v>
      </c>
      <c r="C100" s="134" t="s">
        <v>7257</v>
      </c>
      <c r="D100" s="564" t="s">
        <v>6985</v>
      </c>
      <c r="E100" s="564" t="s">
        <v>7225</v>
      </c>
      <c r="F100" s="564" t="s">
        <v>7012</v>
      </c>
      <c r="G100" s="564" t="s">
        <v>588</v>
      </c>
      <c r="H100" s="382" t="s">
        <v>7270</v>
      </c>
      <c r="I100" s="564" t="s">
        <v>7235</v>
      </c>
      <c r="J100" s="1070" t="s">
        <v>7272</v>
      </c>
      <c r="K100" s="134">
        <v>2</v>
      </c>
      <c r="L100" s="134">
        <v>2</v>
      </c>
      <c r="M100" s="134">
        <v>2</v>
      </c>
      <c r="N100" s="1053" t="s">
        <v>7129</v>
      </c>
      <c r="O100" s="1053">
        <v>45</v>
      </c>
      <c r="P100" s="338" t="s">
        <v>138</v>
      </c>
      <c r="Q100" s="216"/>
      <c r="R100" s="216"/>
      <c r="S100" s="216"/>
      <c r="T100" s="216"/>
      <c r="U100" s="216"/>
      <c r="V100" s="216"/>
      <c r="W100" s="216"/>
      <c r="X100" s="216"/>
      <c r="Y100" s="216"/>
      <c r="Z100" s="216"/>
    </row>
    <row r="101" spans="1:26" ht="15" customHeight="1">
      <c r="A101" s="99" t="s">
        <v>7273</v>
      </c>
      <c r="B101" s="134" t="s">
        <v>105</v>
      </c>
      <c r="C101" s="134" t="s">
        <v>7224</v>
      </c>
      <c r="D101" s="564" t="s">
        <v>7115</v>
      </c>
      <c r="E101" s="564" t="s">
        <v>7225</v>
      </c>
      <c r="F101" s="564" t="s">
        <v>7012</v>
      </c>
      <c r="G101" s="564" t="s">
        <v>7134</v>
      </c>
      <c r="H101" s="382" t="s">
        <v>7052</v>
      </c>
      <c r="I101" s="564" t="s">
        <v>7226</v>
      </c>
      <c r="J101" s="134" t="s">
        <v>7274</v>
      </c>
      <c r="K101" s="134">
        <v>1</v>
      </c>
      <c r="L101" s="134">
        <v>1</v>
      </c>
      <c r="M101" s="134">
        <v>1</v>
      </c>
      <c r="N101" s="1053" t="s">
        <v>7275</v>
      </c>
      <c r="O101" s="1053">
        <f>20*1.5/M101</f>
        <v>30</v>
      </c>
      <c r="P101" s="338" t="s">
        <v>138</v>
      </c>
      <c r="Q101" s="216"/>
      <c r="R101" s="216"/>
      <c r="S101" s="216"/>
      <c r="T101" s="216"/>
      <c r="U101" s="216"/>
      <c r="V101" s="216"/>
      <c r="W101" s="216"/>
      <c r="X101" s="216"/>
      <c r="Y101" s="216"/>
      <c r="Z101" s="216"/>
    </row>
    <row r="102" spans="1:26" ht="15" customHeight="1">
      <c r="A102" s="134" t="s">
        <v>111</v>
      </c>
      <c r="B102" s="134" t="s">
        <v>105</v>
      </c>
      <c r="C102" s="134" t="s">
        <v>7048</v>
      </c>
      <c r="D102" s="564" t="s">
        <v>7115</v>
      </c>
      <c r="E102" s="582" t="s">
        <v>7276</v>
      </c>
      <c r="F102" s="564" t="s">
        <v>7012</v>
      </c>
      <c r="G102" s="564" t="s">
        <v>7117</v>
      </c>
      <c r="H102" s="1035" t="s">
        <v>6982</v>
      </c>
      <c r="I102" s="99" t="s">
        <v>7118</v>
      </c>
      <c r="J102" s="1070" t="s">
        <v>6983</v>
      </c>
      <c r="K102" s="134">
        <v>5</v>
      </c>
      <c r="L102" s="134">
        <v>5</v>
      </c>
      <c r="M102" s="134">
        <v>5</v>
      </c>
      <c r="N102" s="767">
        <v>20</v>
      </c>
      <c r="O102" s="767">
        <v>20</v>
      </c>
      <c r="P102" s="338" t="s">
        <v>111</v>
      </c>
      <c r="Q102" s="216"/>
      <c r="R102" s="216"/>
      <c r="S102" s="216"/>
      <c r="T102" s="216"/>
      <c r="U102" s="216"/>
      <c r="V102" s="216"/>
      <c r="W102" s="216"/>
      <c r="X102" s="216"/>
      <c r="Y102" s="216"/>
      <c r="Z102" s="216"/>
    </row>
    <row r="103" spans="1:26" ht="15" customHeight="1">
      <c r="A103" s="185" t="s">
        <v>6904</v>
      </c>
      <c r="B103" s="99" t="s">
        <v>105</v>
      </c>
      <c r="C103" s="134" t="s">
        <v>7048</v>
      </c>
      <c r="D103" s="528" t="s">
        <v>7115</v>
      </c>
      <c r="E103" s="513" t="s">
        <v>7276</v>
      </c>
      <c r="F103" s="528" t="s">
        <v>7012</v>
      </c>
      <c r="G103" s="528" t="s">
        <v>7117</v>
      </c>
      <c r="H103" s="1035" t="s">
        <v>6982</v>
      </c>
      <c r="I103" s="99" t="s">
        <v>7118</v>
      </c>
      <c r="J103" s="1070" t="s">
        <v>6983</v>
      </c>
      <c r="K103" s="134">
        <v>5</v>
      </c>
      <c r="L103" s="134">
        <v>5</v>
      </c>
      <c r="M103" s="134">
        <v>5</v>
      </c>
      <c r="N103" s="379">
        <v>20</v>
      </c>
      <c r="O103" s="1098">
        <v>20</v>
      </c>
      <c r="P103" s="338" t="s">
        <v>112</v>
      </c>
      <c r="Q103" s="216"/>
      <c r="R103" s="216"/>
      <c r="S103" s="216"/>
      <c r="T103" s="216"/>
      <c r="U103" s="216"/>
      <c r="V103" s="216"/>
      <c r="W103" s="216"/>
      <c r="X103" s="216"/>
      <c r="Y103" s="216"/>
      <c r="Z103" s="216"/>
    </row>
    <row r="104" spans="1:26" ht="15" customHeight="1">
      <c r="A104" s="185" t="s">
        <v>6904</v>
      </c>
      <c r="B104" s="99" t="s">
        <v>105</v>
      </c>
      <c r="C104" s="438" t="s">
        <v>7277</v>
      </c>
      <c r="D104" s="528" t="s">
        <v>6985</v>
      </c>
      <c r="E104" s="528" t="s">
        <v>6740</v>
      </c>
      <c r="F104" s="528" t="s">
        <v>7278</v>
      </c>
      <c r="G104" s="528" t="s">
        <v>7279</v>
      </c>
      <c r="H104" s="382" t="s">
        <v>7280</v>
      </c>
      <c r="I104" s="528" t="s">
        <v>6740</v>
      </c>
      <c r="J104" s="500" t="s">
        <v>7281</v>
      </c>
      <c r="K104" s="134"/>
      <c r="L104" s="134"/>
      <c r="M104" s="134"/>
      <c r="N104" s="767">
        <v>50</v>
      </c>
      <c r="O104" s="338">
        <f>N104*1.5*2</f>
        <v>150</v>
      </c>
      <c r="P104" s="338" t="s">
        <v>112</v>
      </c>
      <c r="Q104" s="216"/>
      <c r="R104" s="216"/>
      <c r="S104" s="216"/>
      <c r="T104" s="216"/>
      <c r="U104" s="216"/>
      <c r="V104" s="216"/>
      <c r="W104" s="216"/>
      <c r="X104" s="216"/>
      <c r="Y104" s="216"/>
      <c r="Z104" s="216"/>
    </row>
    <row r="105" spans="1:26" ht="15" customHeight="1">
      <c r="A105" s="1099" t="s">
        <v>6904</v>
      </c>
      <c r="B105" s="290" t="s">
        <v>105</v>
      </c>
      <c r="C105" s="514" t="s">
        <v>7277</v>
      </c>
      <c r="D105" s="513" t="s">
        <v>6985</v>
      </c>
      <c r="E105" s="513" t="s">
        <v>7282</v>
      </c>
      <c r="F105" s="513" t="s">
        <v>7278</v>
      </c>
      <c r="G105" s="513" t="s">
        <v>7279</v>
      </c>
      <c r="H105" s="490" t="s">
        <v>7283</v>
      </c>
      <c r="I105" s="513"/>
      <c r="J105" s="1100" t="s">
        <v>7281</v>
      </c>
      <c r="K105" s="302">
        <v>2</v>
      </c>
      <c r="L105" s="302">
        <v>2</v>
      </c>
      <c r="M105" s="302">
        <v>2</v>
      </c>
      <c r="N105" s="574">
        <v>30</v>
      </c>
      <c r="O105" s="1101">
        <f>N105*1.5*2/2</f>
        <v>45</v>
      </c>
      <c r="P105" s="1101" t="s">
        <v>112</v>
      </c>
      <c r="Q105" s="1102"/>
      <c r="R105" s="1102"/>
      <c r="S105" s="1102"/>
      <c r="T105" s="1102"/>
      <c r="U105" s="1102"/>
      <c r="V105" s="1102"/>
      <c r="W105" s="1102"/>
      <c r="X105" s="1102"/>
      <c r="Y105" s="1102"/>
      <c r="Z105" s="1102"/>
    </row>
    <row r="106" spans="1:26" ht="15" customHeight="1">
      <c r="A106" s="134" t="s">
        <v>120</v>
      </c>
      <c r="B106" s="134" t="s">
        <v>105</v>
      </c>
      <c r="C106" s="134" t="s">
        <v>7284</v>
      </c>
      <c r="D106" s="564" t="s">
        <v>7069</v>
      </c>
      <c r="E106" s="564" t="s">
        <v>7070</v>
      </c>
      <c r="F106" s="564" t="s">
        <v>7017</v>
      </c>
      <c r="G106" s="564" t="s">
        <v>7051</v>
      </c>
      <c r="H106" s="1035" t="s">
        <v>7052</v>
      </c>
      <c r="I106" s="185" t="s">
        <v>7043</v>
      </c>
      <c r="J106" s="1073">
        <v>44834</v>
      </c>
      <c r="K106" s="134"/>
      <c r="L106" s="134"/>
      <c r="M106" s="134"/>
      <c r="N106" s="31">
        <v>20</v>
      </c>
      <c r="O106" s="31">
        <v>20</v>
      </c>
      <c r="P106" s="338" t="s">
        <v>120</v>
      </c>
      <c r="Q106" s="216"/>
      <c r="R106" s="216"/>
      <c r="S106" s="216"/>
      <c r="T106" s="216"/>
      <c r="U106" s="216"/>
      <c r="V106" s="216"/>
      <c r="W106" s="216"/>
      <c r="X106" s="216"/>
      <c r="Y106" s="216"/>
      <c r="Z106" s="216"/>
    </row>
    <row r="107" spans="1:26" ht="15" customHeight="1">
      <c r="A107" s="134" t="s">
        <v>6907</v>
      </c>
      <c r="B107" s="134" t="s">
        <v>105</v>
      </c>
      <c r="C107" s="134" t="s">
        <v>7246</v>
      </c>
      <c r="D107" s="564" t="s">
        <v>7228</v>
      </c>
      <c r="E107" s="564" t="s">
        <v>7155</v>
      </c>
      <c r="F107" s="564" t="s">
        <v>7141</v>
      </c>
      <c r="G107" s="564" t="s">
        <v>7285</v>
      </c>
      <c r="H107" s="1035" t="s">
        <v>6982</v>
      </c>
      <c r="I107" s="185" t="s">
        <v>7286</v>
      </c>
      <c r="J107" s="1070" t="s">
        <v>6983</v>
      </c>
      <c r="K107" s="134"/>
      <c r="L107" s="134"/>
      <c r="M107" s="134"/>
      <c r="N107" s="30">
        <v>20</v>
      </c>
      <c r="O107" s="30">
        <v>20</v>
      </c>
      <c r="P107" s="338" t="s">
        <v>113</v>
      </c>
      <c r="Q107" s="216"/>
      <c r="R107" s="216"/>
      <c r="S107" s="216"/>
      <c r="T107" s="216"/>
      <c r="U107" s="216"/>
      <c r="V107" s="216"/>
      <c r="W107" s="216"/>
      <c r="X107" s="216"/>
      <c r="Y107" s="216"/>
      <c r="Z107" s="216"/>
    </row>
    <row r="108" spans="1:26" ht="15" customHeight="1">
      <c r="A108" s="134" t="s">
        <v>6907</v>
      </c>
      <c r="B108" s="134" t="s">
        <v>105</v>
      </c>
      <c r="C108" s="134" t="s">
        <v>7257</v>
      </c>
      <c r="D108" s="564" t="s">
        <v>6992</v>
      </c>
      <c r="E108" s="564" t="s">
        <v>7155</v>
      </c>
      <c r="F108" s="564" t="s">
        <v>7258</v>
      </c>
      <c r="G108" s="564"/>
      <c r="H108" s="1103" t="s">
        <v>7259</v>
      </c>
      <c r="I108" s="185" t="s">
        <v>7090</v>
      </c>
      <c r="J108" s="1070" t="s">
        <v>7260</v>
      </c>
      <c r="K108" s="134"/>
      <c r="L108" s="134"/>
      <c r="M108" s="134"/>
      <c r="N108" s="1104">
        <v>50</v>
      </c>
      <c r="O108" s="1104">
        <f t="shared" ref="O108:O110" si="6">N108*1.5</f>
        <v>75</v>
      </c>
      <c r="P108" s="338" t="s">
        <v>113</v>
      </c>
      <c r="Q108" s="216"/>
      <c r="R108" s="216"/>
      <c r="S108" s="216"/>
      <c r="T108" s="216"/>
      <c r="U108" s="216"/>
      <c r="V108" s="216"/>
      <c r="W108" s="216"/>
      <c r="X108" s="216"/>
      <c r="Y108" s="216"/>
      <c r="Z108" s="216"/>
    </row>
    <row r="109" spans="1:26" ht="15" customHeight="1">
      <c r="A109" s="134" t="s">
        <v>6907</v>
      </c>
      <c r="B109" s="134" t="s">
        <v>105</v>
      </c>
      <c r="C109" s="134" t="s">
        <v>7287</v>
      </c>
      <c r="D109" s="564" t="s">
        <v>6992</v>
      </c>
      <c r="E109" s="564" t="s">
        <v>7155</v>
      </c>
      <c r="F109" s="564" t="s">
        <v>905</v>
      </c>
      <c r="G109" s="666"/>
      <c r="H109" s="382" t="s">
        <v>7288</v>
      </c>
      <c r="I109" s="185" t="s">
        <v>7090</v>
      </c>
      <c r="J109" s="1070" t="s">
        <v>7289</v>
      </c>
      <c r="K109" s="134"/>
      <c r="L109" s="134"/>
      <c r="M109" s="134"/>
      <c r="N109" s="1104">
        <v>50</v>
      </c>
      <c r="O109" s="1104">
        <f t="shared" si="6"/>
        <v>75</v>
      </c>
      <c r="P109" s="338" t="s">
        <v>113</v>
      </c>
      <c r="Q109" s="216"/>
      <c r="R109" s="216"/>
      <c r="S109" s="216"/>
      <c r="T109" s="216"/>
      <c r="U109" s="216"/>
      <c r="V109" s="216"/>
      <c r="W109" s="216"/>
      <c r="X109" s="216"/>
      <c r="Y109" s="216"/>
      <c r="Z109" s="216"/>
    </row>
    <row r="110" spans="1:26" ht="15" customHeight="1">
      <c r="A110" s="134" t="s">
        <v>6907</v>
      </c>
      <c r="B110" s="134" t="s">
        <v>105</v>
      </c>
      <c r="C110" s="134" t="s">
        <v>7290</v>
      </c>
      <c r="D110" s="564" t="s">
        <v>6992</v>
      </c>
      <c r="E110" s="564" t="s">
        <v>7155</v>
      </c>
      <c r="F110" s="564" t="s">
        <v>7141</v>
      </c>
      <c r="G110" s="666"/>
      <c r="H110" s="382" t="s">
        <v>7291</v>
      </c>
      <c r="I110" s="185" t="s">
        <v>7090</v>
      </c>
      <c r="J110" s="1070" t="s">
        <v>7292</v>
      </c>
      <c r="K110" s="134"/>
      <c r="L110" s="134"/>
      <c r="M110" s="134"/>
      <c r="N110" s="1104">
        <v>50</v>
      </c>
      <c r="O110" s="1104">
        <f t="shared" si="6"/>
        <v>75</v>
      </c>
      <c r="P110" s="338" t="s">
        <v>113</v>
      </c>
      <c r="Q110" s="216"/>
      <c r="R110" s="216"/>
      <c r="S110" s="216"/>
      <c r="T110" s="216"/>
      <c r="U110" s="216"/>
      <c r="V110" s="216"/>
      <c r="W110" s="216"/>
      <c r="X110" s="216"/>
      <c r="Y110" s="216"/>
      <c r="Z110" s="216"/>
    </row>
    <row r="111" spans="1:26" ht="15" customHeight="1">
      <c r="A111" s="134" t="s">
        <v>6907</v>
      </c>
      <c r="B111" s="134" t="s">
        <v>105</v>
      </c>
      <c r="C111" s="579" t="s">
        <v>7293</v>
      </c>
      <c r="D111" s="564" t="s">
        <v>6992</v>
      </c>
      <c r="E111" s="564" t="s">
        <v>7155</v>
      </c>
      <c r="F111" s="564" t="s">
        <v>7294</v>
      </c>
      <c r="G111" s="564" t="s">
        <v>7285</v>
      </c>
      <c r="H111" s="382" t="s">
        <v>7295</v>
      </c>
      <c r="I111" s="185" t="s">
        <v>7090</v>
      </c>
      <c r="J111" s="1070" t="s">
        <v>7296</v>
      </c>
      <c r="K111" s="186"/>
      <c r="L111" s="186"/>
      <c r="M111" s="186"/>
      <c r="N111" s="31">
        <v>50</v>
      </c>
      <c r="O111" s="31">
        <f>N111*2*2</f>
        <v>200</v>
      </c>
      <c r="P111" s="338" t="s">
        <v>113</v>
      </c>
      <c r="Q111" s="216"/>
      <c r="R111" s="216"/>
      <c r="S111" s="216"/>
      <c r="T111" s="216"/>
      <c r="U111" s="216"/>
      <c r="V111" s="216"/>
      <c r="W111" s="216"/>
      <c r="X111" s="216"/>
      <c r="Y111" s="216"/>
      <c r="Z111" s="216"/>
    </row>
    <row r="112" spans="1:26" ht="15" customHeight="1">
      <c r="A112" s="134" t="s">
        <v>7297</v>
      </c>
      <c r="B112" s="134" t="s">
        <v>105</v>
      </c>
      <c r="C112" s="134" t="s">
        <v>7298</v>
      </c>
      <c r="D112" s="564" t="s">
        <v>7299</v>
      </c>
      <c r="E112" s="564" t="s">
        <v>7155</v>
      </c>
      <c r="F112" s="564" t="s">
        <v>7300</v>
      </c>
      <c r="G112" s="528">
        <v>200</v>
      </c>
      <c r="H112" s="822" t="s">
        <v>7052</v>
      </c>
      <c r="I112" s="185" t="s">
        <v>7301</v>
      </c>
      <c r="J112" s="500" t="s">
        <v>6983</v>
      </c>
      <c r="K112" s="99">
        <v>0</v>
      </c>
      <c r="L112" s="99">
        <v>1</v>
      </c>
      <c r="M112" s="99">
        <v>1</v>
      </c>
      <c r="N112" s="803">
        <v>20</v>
      </c>
      <c r="O112" s="803">
        <v>20</v>
      </c>
      <c r="P112" s="338" t="s">
        <v>133</v>
      </c>
      <c r="Q112" s="216"/>
      <c r="R112" s="216"/>
      <c r="S112" s="216"/>
      <c r="T112" s="216"/>
      <c r="U112" s="216"/>
      <c r="V112" s="216"/>
      <c r="W112" s="216"/>
      <c r="X112" s="216"/>
      <c r="Y112" s="216"/>
      <c r="Z112" s="216"/>
    </row>
    <row r="113" spans="1:26" ht="15" customHeight="1">
      <c r="A113" s="134" t="s">
        <v>7302</v>
      </c>
      <c r="B113" s="134" t="s">
        <v>105</v>
      </c>
      <c r="C113" s="134" t="s">
        <v>7303</v>
      </c>
      <c r="D113" s="564" t="s">
        <v>7304</v>
      </c>
      <c r="E113" s="564" t="s">
        <v>7305</v>
      </c>
      <c r="F113" s="564" t="s">
        <v>7306</v>
      </c>
      <c r="G113" s="528">
        <v>100</v>
      </c>
      <c r="H113" s="382" t="s">
        <v>7307</v>
      </c>
      <c r="I113" s="99" t="s">
        <v>7308</v>
      </c>
      <c r="J113" s="500" t="s">
        <v>7309</v>
      </c>
      <c r="K113" s="99">
        <v>0</v>
      </c>
      <c r="L113" s="99">
        <v>3</v>
      </c>
      <c r="M113" s="99">
        <v>3</v>
      </c>
      <c r="N113" s="803" t="s">
        <v>7310</v>
      </c>
      <c r="O113" s="803">
        <v>20</v>
      </c>
      <c r="P113" s="338" t="s">
        <v>133</v>
      </c>
      <c r="Q113" s="216"/>
      <c r="R113" s="216"/>
      <c r="S113" s="216"/>
      <c r="T113" s="216"/>
      <c r="U113" s="216"/>
      <c r="V113" s="216"/>
      <c r="W113" s="216"/>
      <c r="X113" s="216"/>
      <c r="Y113" s="216"/>
      <c r="Z113" s="216"/>
    </row>
    <row r="114" spans="1:26" ht="15" customHeight="1">
      <c r="A114" s="134" t="s">
        <v>1278</v>
      </c>
      <c r="B114" s="134" t="s">
        <v>105</v>
      </c>
      <c r="C114" s="134" t="s">
        <v>7265</v>
      </c>
      <c r="D114" s="564" t="s">
        <v>7069</v>
      </c>
      <c r="E114" s="564" t="s">
        <v>7070</v>
      </c>
      <c r="F114" s="564" t="s">
        <v>7017</v>
      </c>
      <c r="G114" s="564"/>
      <c r="H114" s="91" t="s">
        <v>7311</v>
      </c>
      <c r="I114" s="185"/>
      <c r="J114" s="1097">
        <v>44834</v>
      </c>
      <c r="K114" s="134">
        <v>2</v>
      </c>
      <c r="L114" s="134">
        <v>2</v>
      </c>
      <c r="M114" s="134">
        <v>2</v>
      </c>
      <c r="N114" s="31">
        <v>20</v>
      </c>
      <c r="O114" s="31">
        <v>20</v>
      </c>
      <c r="P114" s="338" t="s">
        <v>134</v>
      </c>
      <c r="Q114" s="216"/>
      <c r="R114" s="216"/>
      <c r="S114" s="216"/>
      <c r="T114" s="216"/>
      <c r="U114" s="216"/>
      <c r="V114" s="216"/>
      <c r="W114" s="216"/>
      <c r="X114" s="216"/>
      <c r="Y114" s="216"/>
      <c r="Z114" s="216"/>
    </row>
    <row r="115" spans="1:26" ht="15" customHeight="1">
      <c r="A115" s="134" t="s">
        <v>1278</v>
      </c>
      <c r="B115" s="134" t="s">
        <v>105</v>
      </c>
      <c r="C115" s="134" t="s">
        <v>7312</v>
      </c>
      <c r="D115" s="564" t="s">
        <v>7061</v>
      </c>
      <c r="E115" s="564" t="s">
        <v>7070</v>
      </c>
      <c r="F115" s="564" t="s">
        <v>7313</v>
      </c>
      <c r="G115" s="564" t="s">
        <v>6995</v>
      </c>
      <c r="H115" s="382" t="s">
        <v>7314</v>
      </c>
      <c r="I115" s="99"/>
      <c r="J115" s="1070" t="s">
        <v>7315</v>
      </c>
      <c r="K115" s="134">
        <v>2</v>
      </c>
      <c r="L115" s="134">
        <v>2</v>
      </c>
      <c r="M115" s="134">
        <v>5</v>
      </c>
      <c r="N115" s="31">
        <v>30</v>
      </c>
      <c r="O115" s="31">
        <f>2*N115/L115</f>
        <v>30</v>
      </c>
      <c r="P115" s="338" t="s">
        <v>134</v>
      </c>
      <c r="Q115" s="216"/>
      <c r="R115" s="216"/>
      <c r="S115" s="216"/>
      <c r="T115" s="216"/>
      <c r="U115" s="216"/>
      <c r="V115" s="216"/>
      <c r="W115" s="216"/>
      <c r="X115" s="216"/>
      <c r="Y115" s="216"/>
      <c r="Z115" s="216"/>
    </row>
    <row r="116" spans="1:26" ht="15.75" customHeight="1"/>
    <row r="117" spans="1:26" ht="15" customHeight="1">
      <c r="A117" s="332" t="s">
        <v>169</v>
      </c>
      <c r="O117" s="332">
        <f>SUM(O14:O115)</f>
        <v>8042.5</v>
      </c>
    </row>
    <row r="118" spans="1:26" ht="15.75" customHeight="1"/>
    <row r="119" spans="1:26" ht="15" customHeight="1">
      <c r="A119" s="1231" t="s">
        <v>1156</v>
      </c>
      <c r="B119" s="1232"/>
      <c r="C119" s="1232"/>
      <c r="D119" s="1232"/>
      <c r="E119" s="1232"/>
      <c r="F119" s="1232"/>
      <c r="G119" s="1232"/>
      <c r="H119" s="1233"/>
    </row>
    <row r="120" spans="1:26" ht="15.75" customHeight="1"/>
    <row r="121" spans="1:26" ht="15.75" customHeight="1"/>
    <row r="122" spans="1:26" ht="15.75" customHeight="1"/>
    <row r="123" spans="1:26" ht="15.75" customHeight="1"/>
    <row r="124" spans="1:26" ht="15.75" customHeight="1"/>
    <row r="125" spans="1:26" ht="15.75" customHeight="1"/>
    <row r="126" spans="1:26" ht="15.75" customHeight="1"/>
    <row r="127" spans="1:26" ht="15.75" customHeight="1"/>
    <row r="128" spans="1:26"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119:H119"/>
    <mergeCell ref="A2:O2"/>
    <mergeCell ref="A4:O4"/>
    <mergeCell ref="A5:O5"/>
    <mergeCell ref="A6:O6"/>
    <mergeCell ref="A7:O7"/>
    <mergeCell ref="A8:O8"/>
    <mergeCell ref="A9:O9"/>
  </mergeCells>
  <hyperlinks>
    <hyperlink ref="H15" r:id="rId1" xr:uid="{00000000-0004-0000-0E00-000000000000}"/>
    <hyperlink ref="H16" r:id="rId2" xr:uid="{00000000-0004-0000-0E00-000001000000}"/>
    <hyperlink ref="H17" r:id="rId3" xr:uid="{00000000-0004-0000-0E00-000002000000}"/>
    <hyperlink ref="H18" r:id="rId4" xr:uid="{00000000-0004-0000-0E00-000003000000}"/>
    <hyperlink ref="H19" r:id="rId5" xr:uid="{00000000-0004-0000-0E00-000004000000}"/>
    <hyperlink ref="H20" r:id="rId6" xr:uid="{00000000-0004-0000-0E00-000005000000}"/>
    <hyperlink ref="H21" r:id="rId7" xr:uid="{00000000-0004-0000-0E00-000006000000}"/>
    <hyperlink ref="H22" r:id="rId8" xr:uid="{00000000-0004-0000-0E00-000007000000}"/>
    <hyperlink ref="H23" r:id="rId9" xr:uid="{00000000-0004-0000-0E00-000008000000}"/>
    <hyperlink ref="H24" r:id="rId10" xr:uid="{00000000-0004-0000-0E00-000009000000}"/>
    <hyperlink ref="H25" r:id="rId11" xr:uid="{00000000-0004-0000-0E00-00000A000000}"/>
    <hyperlink ref="H26" r:id="rId12" xr:uid="{00000000-0004-0000-0E00-00000B000000}"/>
    <hyperlink ref="H27" r:id="rId13" xr:uid="{00000000-0004-0000-0E00-00000C000000}"/>
    <hyperlink ref="H28" r:id="rId14" xr:uid="{00000000-0004-0000-0E00-00000D000000}"/>
    <hyperlink ref="H29" r:id="rId15" xr:uid="{00000000-0004-0000-0E00-00000E000000}"/>
    <hyperlink ref="H30" r:id="rId16" xr:uid="{00000000-0004-0000-0E00-00000F000000}"/>
    <hyperlink ref="H31" r:id="rId17" xr:uid="{00000000-0004-0000-0E00-000010000000}"/>
    <hyperlink ref="H32" r:id="rId18" xr:uid="{00000000-0004-0000-0E00-000011000000}"/>
    <hyperlink ref="H34" r:id="rId19" xr:uid="{00000000-0004-0000-0E00-000012000000}"/>
    <hyperlink ref="H35" r:id="rId20" xr:uid="{00000000-0004-0000-0E00-000013000000}"/>
    <hyperlink ref="H36" r:id="rId21" xr:uid="{00000000-0004-0000-0E00-000014000000}"/>
    <hyperlink ref="H37" r:id="rId22" xr:uid="{00000000-0004-0000-0E00-000015000000}"/>
    <hyperlink ref="H38" r:id="rId23" xr:uid="{00000000-0004-0000-0E00-000016000000}"/>
    <hyperlink ref="H44" r:id="rId24" xr:uid="{00000000-0004-0000-0E00-000017000000}"/>
    <hyperlink ref="H45" r:id="rId25" xr:uid="{00000000-0004-0000-0E00-000018000000}"/>
    <hyperlink ref="H46" r:id="rId26" xr:uid="{00000000-0004-0000-0E00-000019000000}"/>
    <hyperlink ref="H48" r:id="rId27" xr:uid="{00000000-0004-0000-0E00-00001A000000}"/>
    <hyperlink ref="H55" r:id="rId28" xr:uid="{00000000-0004-0000-0E00-00001B000000}"/>
    <hyperlink ref="H56" r:id="rId29" xr:uid="{00000000-0004-0000-0E00-00001C000000}"/>
    <hyperlink ref="H57" r:id="rId30" xr:uid="{00000000-0004-0000-0E00-00001D000000}"/>
    <hyperlink ref="H60" r:id="rId31" location="gsc.tab=0" xr:uid="{00000000-0004-0000-0E00-00001E000000}"/>
    <hyperlink ref="H61" r:id="rId32" xr:uid="{00000000-0004-0000-0E00-00001F000000}"/>
    <hyperlink ref="H64" r:id="rId33" xr:uid="{00000000-0004-0000-0E00-000020000000}"/>
    <hyperlink ref="H65" r:id="rId34" xr:uid="{00000000-0004-0000-0E00-000021000000}"/>
    <hyperlink ref="H66" r:id="rId35" xr:uid="{00000000-0004-0000-0E00-000022000000}"/>
    <hyperlink ref="H69" r:id="rId36" xr:uid="{00000000-0004-0000-0E00-000023000000}"/>
    <hyperlink ref="H70" r:id="rId37" xr:uid="{00000000-0004-0000-0E00-000024000000}"/>
    <hyperlink ref="H71" r:id="rId38" xr:uid="{00000000-0004-0000-0E00-000025000000}"/>
    <hyperlink ref="H72" r:id="rId39" xr:uid="{00000000-0004-0000-0E00-000026000000}"/>
    <hyperlink ref="H73" r:id="rId40" xr:uid="{00000000-0004-0000-0E00-000027000000}"/>
    <hyperlink ref="H74" r:id="rId41" xr:uid="{00000000-0004-0000-0E00-000028000000}"/>
    <hyperlink ref="H75" r:id="rId42" xr:uid="{00000000-0004-0000-0E00-000029000000}"/>
    <hyperlink ref="H76" r:id="rId43" xr:uid="{00000000-0004-0000-0E00-00002A000000}"/>
    <hyperlink ref="H77" r:id="rId44" xr:uid="{00000000-0004-0000-0E00-00002B000000}"/>
    <hyperlink ref="H78" r:id="rId45" xr:uid="{00000000-0004-0000-0E00-00002C000000}"/>
    <hyperlink ref="H81" r:id="rId46" xr:uid="{00000000-0004-0000-0E00-00002D000000}"/>
    <hyperlink ref="H82" r:id="rId47" xr:uid="{00000000-0004-0000-0E00-00002E000000}"/>
    <hyperlink ref="H83" r:id="rId48" xr:uid="{00000000-0004-0000-0E00-00002F000000}"/>
    <hyperlink ref="H84" r:id="rId49" xr:uid="{00000000-0004-0000-0E00-000030000000}"/>
    <hyperlink ref="H85" r:id="rId50" xr:uid="{00000000-0004-0000-0E00-000031000000}"/>
    <hyperlink ref="H86" r:id="rId51" xr:uid="{00000000-0004-0000-0E00-000032000000}"/>
    <hyperlink ref="H87" r:id="rId52" xr:uid="{00000000-0004-0000-0E00-000033000000}"/>
    <hyperlink ref="H88" r:id="rId53" xr:uid="{00000000-0004-0000-0E00-000034000000}"/>
    <hyperlink ref="H93" r:id="rId54" xr:uid="{00000000-0004-0000-0E00-000035000000}"/>
    <hyperlink ref="H95" r:id="rId55" xr:uid="{00000000-0004-0000-0E00-000036000000}"/>
    <hyperlink ref="H96" r:id="rId56" xr:uid="{00000000-0004-0000-0E00-000037000000}"/>
    <hyperlink ref="H97" r:id="rId57" xr:uid="{00000000-0004-0000-0E00-000038000000}"/>
    <hyperlink ref="H99" r:id="rId58" xr:uid="{00000000-0004-0000-0E00-000039000000}"/>
    <hyperlink ref="H100" r:id="rId59" xr:uid="{00000000-0004-0000-0E00-00003A000000}"/>
    <hyperlink ref="H101" r:id="rId60" xr:uid="{00000000-0004-0000-0E00-00003B000000}"/>
    <hyperlink ref="H102" r:id="rId61" xr:uid="{00000000-0004-0000-0E00-00003C000000}"/>
    <hyperlink ref="H103" r:id="rId62" xr:uid="{00000000-0004-0000-0E00-00003D000000}"/>
    <hyperlink ref="H104" r:id="rId63" xr:uid="{00000000-0004-0000-0E00-00003E000000}"/>
    <hyperlink ref="H105" r:id="rId64" xr:uid="{00000000-0004-0000-0E00-00003F000000}"/>
    <hyperlink ref="H106" r:id="rId65" xr:uid="{00000000-0004-0000-0E00-000040000000}"/>
    <hyperlink ref="H107" r:id="rId66" xr:uid="{00000000-0004-0000-0E00-000041000000}"/>
    <hyperlink ref="H108" r:id="rId67" xr:uid="{00000000-0004-0000-0E00-000042000000}"/>
    <hyperlink ref="H109" r:id="rId68" xr:uid="{00000000-0004-0000-0E00-000043000000}"/>
    <hyperlink ref="H110" r:id="rId69" xr:uid="{00000000-0004-0000-0E00-000044000000}"/>
    <hyperlink ref="H111" r:id="rId70" xr:uid="{00000000-0004-0000-0E00-000045000000}"/>
    <hyperlink ref="H112" r:id="rId71" xr:uid="{00000000-0004-0000-0E00-000046000000}"/>
    <hyperlink ref="H113" r:id="rId72" xr:uid="{00000000-0004-0000-0E00-000047000000}"/>
    <hyperlink ref="H115" r:id="rId73" xr:uid="{00000000-0004-0000-0E00-000048000000}"/>
  </hyperlinks>
  <pageMargins left="0.75" right="0.75" top="1" bottom="1"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AB1000"/>
  <sheetViews>
    <sheetView workbookViewId="0"/>
  </sheetViews>
  <sheetFormatPr defaultColWidth="14.3984375" defaultRowHeight="15" customHeight="1"/>
  <cols>
    <col min="1" max="1" width="23.73046875" customWidth="1"/>
    <col min="2" max="2" width="10.86328125" customWidth="1"/>
    <col min="3" max="3" width="30" customWidth="1"/>
    <col min="4" max="4" width="22.73046875" customWidth="1"/>
    <col min="5" max="5" width="17.73046875" customWidth="1"/>
    <col min="6" max="6" width="26.3984375" customWidth="1"/>
    <col min="7" max="9" width="13.73046875" customWidth="1"/>
    <col min="10" max="10" width="9" customWidth="1"/>
    <col min="11" max="28" width="8" customWidth="1"/>
  </cols>
  <sheetData>
    <row r="1" spans="1:28" ht="14.25">
      <c r="A1" s="64"/>
      <c r="B1" s="64"/>
      <c r="C1" s="65"/>
      <c r="D1" s="65"/>
      <c r="E1" s="65"/>
      <c r="F1" s="65"/>
      <c r="G1" s="1"/>
      <c r="H1" s="1"/>
      <c r="I1" s="1"/>
      <c r="J1" s="216"/>
      <c r="K1" s="216"/>
      <c r="L1" s="216"/>
      <c r="M1" s="216"/>
      <c r="N1" s="216"/>
      <c r="O1" s="216"/>
      <c r="P1" s="216"/>
      <c r="Q1" s="216"/>
      <c r="R1" s="216"/>
      <c r="S1" s="216"/>
      <c r="T1" s="216"/>
      <c r="U1" s="216"/>
      <c r="V1" s="216"/>
      <c r="W1" s="216"/>
      <c r="X1" s="216"/>
      <c r="Y1" s="216"/>
      <c r="Z1" s="216"/>
      <c r="AA1" s="216"/>
      <c r="AB1" s="216"/>
    </row>
    <row r="2" spans="1:28" ht="15.75" customHeight="1">
      <c r="A2" s="1234" t="s">
        <v>7316</v>
      </c>
      <c r="B2" s="1227"/>
      <c r="C2" s="1227"/>
      <c r="D2" s="1227"/>
      <c r="E2" s="1227"/>
      <c r="F2" s="1227"/>
      <c r="G2" s="1227"/>
      <c r="H2" s="1227"/>
      <c r="I2" s="1228"/>
      <c r="J2" s="69"/>
      <c r="K2" s="69"/>
      <c r="L2" s="69"/>
      <c r="M2" s="69"/>
      <c r="N2" s="69"/>
      <c r="O2" s="69"/>
      <c r="P2" s="69"/>
      <c r="Q2" s="69"/>
      <c r="R2" s="69"/>
      <c r="S2" s="69"/>
      <c r="T2" s="69"/>
      <c r="U2" s="69"/>
      <c r="V2" s="69"/>
      <c r="W2" s="69"/>
      <c r="X2" s="69"/>
      <c r="Y2" s="69"/>
      <c r="Z2" s="69"/>
      <c r="AA2" s="69"/>
      <c r="AB2" s="69"/>
    </row>
    <row r="3" spans="1:28" ht="15.75" customHeight="1">
      <c r="A3" s="375"/>
      <c r="B3" s="375"/>
      <c r="C3" s="375"/>
      <c r="D3" s="375"/>
      <c r="E3" s="375"/>
      <c r="F3" s="375"/>
      <c r="G3" s="375"/>
      <c r="H3" s="375"/>
      <c r="I3" s="375"/>
      <c r="J3" s="69"/>
      <c r="K3" s="69"/>
      <c r="L3" s="69"/>
      <c r="M3" s="69"/>
      <c r="N3" s="69"/>
      <c r="O3" s="69"/>
      <c r="P3" s="69"/>
      <c r="Q3" s="69"/>
      <c r="R3" s="69"/>
      <c r="S3" s="69"/>
      <c r="T3" s="69"/>
      <c r="U3" s="69"/>
      <c r="V3" s="69"/>
      <c r="W3" s="69"/>
      <c r="X3" s="69"/>
      <c r="Y3" s="69"/>
      <c r="Z3" s="69"/>
      <c r="AA3" s="69"/>
      <c r="AB3" s="69"/>
    </row>
    <row r="4" spans="1:28" ht="14.25">
      <c r="A4" s="1236" t="s">
        <v>7317</v>
      </c>
      <c r="B4" s="1227"/>
      <c r="C4" s="1227"/>
      <c r="D4" s="1227"/>
      <c r="E4" s="1227"/>
      <c r="F4" s="1227"/>
      <c r="G4" s="1227"/>
      <c r="H4" s="1227"/>
      <c r="I4" s="1228"/>
      <c r="J4" s="69"/>
      <c r="K4" s="69"/>
      <c r="L4" s="69"/>
      <c r="M4" s="69"/>
      <c r="N4" s="69"/>
      <c r="O4" s="69"/>
      <c r="P4" s="69"/>
      <c r="Q4" s="69"/>
      <c r="R4" s="69"/>
      <c r="S4" s="69"/>
      <c r="T4" s="69"/>
      <c r="U4" s="69"/>
      <c r="V4" s="69"/>
      <c r="W4" s="69"/>
      <c r="X4" s="69"/>
      <c r="Y4" s="69"/>
      <c r="Z4" s="69"/>
      <c r="AA4" s="69"/>
      <c r="AB4" s="69"/>
    </row>
    <row r="5" spans="1:28" ht="14.25">
      <c r="A5" s="1236" t="s">
        <v>7318</v>
      </c>
      <c r="B5" s="1227"/>
      <c r="C5" s="1227"/>
      <c r="D5" s="1227"/>
      <c r="E5" s="1227"/>
      <c r="F5" s="1227"/>
      <c r="G5" s="1227"/>
      <c r="H5" s="1227"/>
      <c r="I5" s="1228"/>
      <c r="J5" s="69"/>
      <c r="K5" s="69"/>
      <c r="L5" s="69"/>
      <c r="M5" s="69"/>
      <c r="N5" s="69"/>
      <c r="O5" s="69"/>
      <c r="P5" s="69"/>
      <c r="Q5" s="69"/>
      <c r="R5" s="69"/>
      <c r="S5" s="69"/>
      <c r="T5" s="69"/>
      <c r="U5" s="69"/>
      <c r="V5" s="69"/>
      <c r="W5" s="69"/>
      <c r="X5" s="69"/>
      <c r="Y5" s="69"/>
      <c r="Z5" s="69"/>
      <c r="AA5" s="69"/>
      <c r="AB5" s="69"/>
    </row>
    <row r="6" spans="1:28" ht="30" customHeight="1">
      <c r="A6" s="1244" t="s">
        <v>7319</v>
      </c>
      <c r="B6" s="1227"/>
      <c r="C6" s="1227"/>
      <c r="D6" s="1227"/>
      <c r="E6" s="1227"/>
      <c r="F6" s="1227"/>
      <c r="G6" s="1227"/>
      <c r="H6" s="1227"/>
      <c r="I6" s="1228"/>
      <c r="J6" s="69"/>
      <c r="K6" s="69"/>
      <c r="L6" s="69"/>
      <c r="M6" s="69"/>
      <c r="N6" s="69"/>
      <c r="O6" s="69"/>
      <c r="P6" s="69"/>
      <c r="Q6" s="69"/>
      <c r="R6" s="69"/>
      <c r="S6" s="69"/>
      <c r="T6" s="69"/>
      <c r="U6" s="69"/>
      <c r="V6" s="69"/>
      <c r="W6" s="69"/>
      <c r="X6" s="69"/>
      <c r="Y6" s="69"/>
      <c r="Z6" s="69"/>
      <c r="AA6" s="69"/>
      <c r="AB6" s="69"/>
    </row>
    <row r="7" spans="1:28" ht="30" customHeight="1">
      <c r="A7" s="1244" t="s">
        <v>7320</v>
      </c>
      <c r="B7" s="1227"/>
      <c r="C7" s="1227"/>
      <c r="D7" s="1227"/>
      <c r="E7" s="1227"/>
      <c r="F7" s="1227"/>
      <c r="G7" s="1227"/>
      <c r="H7" s="1227"/>
      <c r="I7" s="1228"/>
      <c r="J7" s="69"/>
      <c r="K7" s="69"/>
      <c r="L7" s="69"/>
      <c r="M7" s="69"/>
      <c r="N7" s="69"/>
      <c r="O7" s="69"/>
      <c r="P7" s="69"/>
      <c r="Q7" s="69"/>
      <c r="R7" s="69"/>
      <c r="S7" s="69"/>
      <c r="T7" s="69"/>
      <c r="U7" s="69"/>
      <c r="V7" s="69"/>
      <c r="W7" s="69"/>
      <c r="X7" s="69"/>
      <c r="Y7" s="69"/>
      <c r="Z7" s="69"/>
      <c r="AA7" s="69"/>
      <c r="AB7" s="69"/>
    </row>
    <row r="8" spans="1:28" ht="33.75" customHeight="1">
      <c r="A8" s="1244" t="s">
        <v>7321</v>
      </c>
      <c r="B8" s="1227"/>
      <c r="C8" s="1227"/>
      <c r="D8" s="1227"/>
      <c r="E8" s="1227"/>
      <c r="F8" s="1227"/>
      <c r="G8" s="1227"/>
      <c r="H8" s="1227"/>
      <c r="I8" s="1228"/>
      <c r="J8" s="69"/>
      <c r="K8" s="69"/>
      <c r="L8" s="69"/>
      <c r="M8" s="69"/>
      <c r="N8" s="69"/>
      <c r="O8" s="69"/>
      <c r="P8" s="69"/>
      <c r="Q8" s="69"/>
      <c r="R8" s="69"/>
      <c r="S8" s="69"/>
      <c r="T8" s="69"/>
      <c r="U8" s="69"/>
      <c r="V8" s="69"/>
      <c r="W8" s="69"/>
      <c r="X8" s="69"/>
      <c r="Y8" s="69"/>
      <c r="Z8" s="69"/>
      <c r="AA8" s="69"/>
      <c r="AB8" s="69"/>
    </row>
    <row r="9" spans="1:28" ht="14.25">
      <c r="A9" s="77"/>
      <c r="B9" s="77"/>
      <c r="C9" s="78"/>
      <c r="D9" s="78"/>
      <c r="E9" s="78"/>
      <c r="F9" s="78"/>
      <c r="G9" s="77"/>
      <c r="H9" s="77"/>
      <c r="I9" s="77"/>
      <c r="J9" s="69"/>
      <c r="K9" s="69"/>
      <c r="L9" s="69"/>
      <c r="M9" s="69"/>
      <c r="N9" s="69"/>
      <c r="O9" s="69"/>
      <c r="P9" s="69"/>
      <c r="Q9" s="69"/>
      <c r="R9" s="69"/>
      <c r="S9" s="69"/>
      <c r="T9" s="69"/>
      <c r="U9" s="69"/>
      <c r="V9" s="69"/>
      <c r="W9" s="69"/>
      <c r="X9" s="69"/>
      <c r="Y9" s="69"/>
      <c r="Z9" s="69"/>
      <c r="AA9" s="69"/>
      <c r="AB9" s="69"/>
    </row>
    <row r="10" spans="1:28" ht="61.5" customHeight="1">
      <c r="A10" s="350" t="s">
        <v>4384</v>
      </c>
      <c r="B10" s="377" t="s">
        <v>4385</v>
      </c>
      <c r="C10" s="83" t="s">
        <v>7</v>
      </c>
      <c r="D10" s="377" t="s">
        <v>4386</v>
      </c>
      <c r="E10" s="82" t="s">
        <v>203</v>
      </c>
      <c r="F10" s="82" t="s">
        <v>204</v>
      </c>
      <c r="G10" s="82" t="s">
        <v>205</v>
      </c>
      <c r="H10" s="350" t="s">
        <v>206</v>
      </c>
      <c r="I10" s="350" t="s">
        <v>210</v>
      </c>
      <c r="J10" s="336" t="s">
        <v>211</v>
      </c>
      <c r="K10" s="69"/>
      <c r="L10" s="69"/>
      <c r="M10" s="69"/>
      <c r="N10" s="69"/>
      <c r="O10" s="69"/>
      <c r="P10" s="69"/>
      <c r="Q10" s="69"/>
      <c r="R10" s="69"/>
      <c r="S10" s="69"/>
      <c r="T10" s="69"/>
      <c r="U10" s="69"/>
      <c r="V10" s="69"/>
      <c r="W10" s="69"/>
      <c r="X10" s="69"/>
      <c r="Y10" s="69"/>
      <c r="Z10" s="69"/>
      <c r="AA10" s="69"/>
      <c r="AB10" s="69"/>
    </row>
    <row r="12" spans="1:28" ht="15" customHeight="1">
      <c r="A12" s="332" t="s">
        <v>169</v>
      </c>
      <c r="I12" s="332">
        <f>SUM(I10:I11)</f>
        <v>0</v>
      </c>
    </row>
    <row r="14" spans="1:28" ht="15" customHeight="1">
      <c r="A14" s="1231" t="s">
        <v>1156</v>
      </c>
      <c r="B14" s="1232"/>
      <c r="C14" s="1232"/>
      <c r="D14" s="1232"/>
      <c r="E14" s="1232"/>
      <c r="F14" s="1232"/>
      <c r="G14" s="1232"/>
      <c r="H14" s="123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I8"/>
    <mergeCell ref="A14:H14"/>
    <mergeCell ref="A2:I2"/>
    <mergeCell ref="A4:I4"/>
    <mergeCell ref="A5:I5"/>
    <mergeCell ref="A6:I6"/>
    <mergeCell ref="A7:I7"/>
  </mergeCells>
  <pageMargins left="0.75" right="0.75" top="1" bottom="1"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Z1000"/>
  <sheetViews>
    <sheetView workbookViewId="0"/>
  </sheetViews>
  <sheetFormatPr defaultColWidth="14.3984375" defaultRowHeight="15" customHeight="1"/>
  <cols>
    <col min="1" max="1" width="23.73046875" customWidth="1"/>
    <col min="2" max="2" width="10.3984375" customWidth="1"/>
    <col min="3" max="3" width="23" customWidth="1"/>
    <col min="4" max="4" width="17" customWidth="1"/>
    <col min="5" max="5" width="16" customWidth="1"/>
    <col min="6" max="6" width="26.3984375" customWidth="1"/>
    <col min="7" max="7" width="9" customWidth="1"/>
    <col min="8" max="8" width="10.73046875" customWidth="1"/>
  </cols>
  <sheetData>
    <row r="1" spans="1:26" ht="14.25">
      <c r="A1" s="64"/>
      <c r="B1" s="64"/>
      <c r="C1" s="65"/>
      <c r="D1" s="65"/>
      <c r="E1" s="65"/>
      <c r="F1" s="65"/>
      <c r="G1" s="65"/>
      <c r="H1" s="1"/>
      <c r="I1" s="216"/>
      <c r="J1" s="216"/>
      <c r="K1" s="216"/>
      <c r="L1" s="216"/>
      <c r="M1" s="216"/>
      <c r="N1" s="216"/>
      <c r="O1" s="216"/>
      <c r="P1" s="216"/>
      <c r="Q1" s="216"/>
      <c r="R1" s="216"/>
      <c r="S1" s="216"/>
      <c r="T1" s="216"/>
      <c r="U1" s="216"/>
      <c r="V1" s="216"/>
      <c r="W1" s="216"/>
      <c r="X1" s="216"/>
      <c r="Y1" s="216"/>
      <c r="Z1" s="216"/>
    </row>
    <row r="2" spans="1:26" ht="15.75" customHeight="1">
      <c r="A2" s="1234" t="s">
        <v>7322</v>
      </c>
      <c r="B2" s="1227"/>
      <c r="C2" s="1227"/>
      <c r="D2" s="1227"/>
      <c r="E2" s="1227"/>
      <c r="F2" s="1227"/>
      <c r="G2" s="1227"/>
      <c r="H2" s="1235"/>
      <c r="I2" s="216"/>
      <c r="J2" s="216"/>
      <c r="K2" s="216"/>
      <c r="L2" s="216"/>
      <c r="M2" s="216"/>
      <c r="N2" s="216"/>
      <c r="O2" s="216"/>
      <c r="P2" s="216"/>
      <c r="Q2" s="216"/>
      <c r="R2" s="216"/>
      <c r="S2" s="216"/>
      <c r="T2" s="216"/>
      <c r="U2" s="216"/>
      <c r="V2" s="216"/>
      <c r="W2" s="216"/>
      <c r="X2" s="216"/>
      <c r="Y2" s="216"/>
      <c r="Z2" s="216"/>
    </row>
    <row r="3" spans="1:26" ht="15.75" customHeight="1">
      <c r="A3" s="375"/>
      <c r="B3" s="375"/>
      <c r="C3" s="375"/>
      <c r="D3" s="375"/>
      <c r="E3" s="375"/>
      <c r="F3" s="375"/>
      <c r="G3" s="375"/>
      <c r="H3" s="375"/>
      <c r="I3" s="216"/>
      <c r="J3" s="216"/>
      <c r="K3" s="216"/>
      <c r="L3" s="216"/>
      <c r="M3" s="216"/>
      <c r="N3" s="216"/>
      <c r="O3" s="216"/>
      <c r="P3" s="216"/>
      <c r="Q3" s="216"/>
      <c r="R3" s="216"/>
      <c r="S3" s="216"/>
      <c r="T3" s="216"/>
      <c r="U3" s="216"/>
      <c r="V3" s="216"/>
      <c r="W3" s="216"/>
      <c r="X3" s="216"/>
      <c r="Y3" s="216"/>
      <c r="Z3" s="216"/>
    </row>
    <row r="4" spans="1:26" ht="14.25">
      <c r="A4" s="1236" t="s">
        <v>4414</v>
      </c>
      <c r="B4" s="1227"/>
      <c r="C4" s="1227"/>
      <c r="D4" s="1227"/>
      <c r="E4" s="1227"/>
      <c r="F4" s="1227"/>
      <c r="G4" s="1227"/>
      <c r="H4" s="1235"/>
      <c r="I4" s="216"/>
      <c r="J4" s="216"/>
      <c r="K4" s="216"/>
      <c r="L4" s="216"/>
      <c r="M4" s="216"/>
      <c r="N4" s="216"/>
      <c r="O4" s="216"/>
      <c r="P4" s="216"/>
      <c r="Q4" s="216"/>
      <c r="R4" s="216"/>
      <c r="S4" s="216"/>
      <c r="T4" s="216"/>
      <c r="U4" s="216"/>
      <c r="V4" s="216"/>
      <c r="W4" s="216"/>
      <c r="X4" s="216"/>
      <c r="Y4" s="216"/>
      <c r="Z4" s="216"/>
    </row>
    <row r="5" spans="1:26" ht="13.5" customHeight="1">
      <c r="A5" s="1236" t="s">
        <v>7323</v>
      </c>
      <c r="B5" s="1227"/>
      <c r="C5" s="1227"/>
      <c r="D5" s="1227"/>
      <c r="E5" s="1227"/>
      <c r="F5" s="1227"/>
      <c r="G5" s="1227"/>
      <c r="H5" s="1235"/>
      <c r="I5" s="216"/>
      <c r="J5" s="216"/>
      <c r="K5" s="216"/>
      <c r="L5" s="216"/>
      <c r="M5" s="216"/>
      <c r="N5" s="216"/>
      <c r="O5" s="216"/>
      <c r="P5" s="216"/>
      <c r="Q5" s="216"/>
      <c r="R5" s="216"/>
      <c r="S5" s="216"/>
      <c r="T5" s="216"/>
      <c r="U5" s="216"/>
      <c r="V5" s="216"/>
      <c r="W5" s="216"/>
      <c r="X5" s="216"/>
      <c r="Y5" s="216"/>
      <c r="Z5" s="216"/>
    </row>
    <row r="6" spans="1:26" ht="13.5" customHeight="1">
      <c r="A6" s="1236" t="s">
        <v>7324</v>
      </c>
      <c r="B6" s="1227"/>
      <c r="C6" s="1227"/>
      <c r="D6" s="1227"/>
      <c r="E6" s="1227"/>
      <c r="F6" s="1227"/>
      <c r="G6" s="1227"/>
      <c r="H6" s="1235"/>
      <c r="I6" s="216"/>
      <c r="J6" s="216"/>
      <c r="K6" s="216"/>
      <c r="L6" s="216"/>
      <c r="M6" s="216"/>
      <c r="N6" s="216"/>
      <c r="O6" s="216"/>
      <c r="P6" s="216"/>
      <c r="Q6" s="216"/>
      <c r="R6" s="216"/>
      <c r="S6" s="216"/>
      <c r="T6" s="216"/>
      <c r="U6" s="216"/>
      <c r="V6" s="216"/>
      <c r="W6" s="216"/>
      <c r="X6" s="216"/>
      <c r="Y6" s="216"/>
      <c r="Z6" s="216"/>
    </row>
    <row r="7" spans="1:26" ht="12.75" customHeight="1">
      <c r="A7" s="1236" t="s">
        <v>7325</v>
      </c>
      <c r="B7" s="1227"/>
      <c r="C7" s="1227"/>
      <c r="D7" s="1227"/>
      <c r="E7" s="1227"/>
      <c r="F7" s="1227"/>
      <c r="G7" s="1227"/>
      <c r="H7" s="1235"/>
      <c r="I7" s="216"/>
      <c r="J7" s="216"/>
      <c r="K7" s="216"/>
      <c r="L7" s="216"/>
      <c r="M7" s="216"/>
      <c r="N7" s="216"/>
      <c r="O7" s="216"/>
      <c r="P7" s="216"/>
      <c r="Q7" s="216"/>
      <c r="R7" s="216"/>
      <c r="S7" s="216"/>
      <c r="T7" s="216"/>
      <c r="U7" s="216"/>
      <c r="V7" s="216"/>
      <c r="W7" s="216"/>
      <c r="X7" s="216"/>
      <c r="Y7" s="216"/>
      <c r="Z7" s="216"/>
    </row>
    <row r="8" spans="1:26" ht="15" customHeight="1">
      <c r="A8" s="1236" t="s">
        <v>7326</v>
      </c>
      <c r="B8" s="1227"/>
      <c r="C8" s="1227"/>
      <c r="D8" s="1227"/>
      <c r="E8" s="1227"/>
      <c r="F8" s="1227"/>
      <c r="G8" s="1227"/>
      <c r="H8" s="1235"/>
      <c r="I8" s="216"/>
      <c r="J8" s="216"/>
      <c r="K8" s="216"/>
      <c r="L8" s="216"/>
      <c r="M8" s="216"/>
      <c r="N8" s="216"/>
      <c r="O8" s="216"/>
      <c r="P8" s="216"/>
      <c r="Q8" s="216"/>
      <c r="R8" s="216"/>
      <c r="S8" s="216"/>
      <c r="T8" s="216"/>
      <c r="U8" s="216"/>
      <c r="V8" s="216"/>
      <c r="W8" s="216"/>
      <c r="X8" s="216"/>
      <c r="Y8" s="216"/>
      <c r="Z8" s="216"/>
    </row>
    <row r="9" spans="1:26" ht="372.75" customHeight="1">
      <c r="A9" s="1236" t="s">
        <v>7327</v>
      </c>
      <c r="B9" s="1227"/>
      <c r="C9" s="1227"/>
      <c r="D9" s="1227"/>
      <c r="E9" s="1227"/>
      <c r="F9" s="1227"/>
      <c r="G9" s="1227"/>
      <c r="H9" s="1235"/>
      <c r="I9" s="216"/>
      <c r="J9" s="216"/>
      <c r="K9" s="216"/>
      <c r="L9" s="216"/>
      <c r="M9" s="216"/>
      <c r="N9" s="216"/>
      <c r="O9" s="216"/>
      <c r="P9" s="216"/>
      <c r="Q9" s="216"/>
      <c r="R9" s="216"/>
      <c r="S9" s="216"/>
      <c r="T9" s="216"/>
      <c r="U9" s="216"/>
      <c r="V9" s="216"/>
      <c r="W9" s="216"/>
      <c r="X9" s="216"/>
      <c r="Y9" s="216"/>
      <c r="Z9" s="216"/>
    </row>
    <row r="10" spans="1:26" ht="14.25">
      <c r="A10" s="77"/>
      <c r="B10" s="77"/>
      <c r="C10" s="78"/>
      <c r="D10" s="78"/>
      <c r="E10" s="78"/>
      <c r="F10" s="78"/>
      <c r="G10" s="78"/>
      <c r="H10" s="78"/>
      <c r="I10" s="216"/>
      <c r="J10" s="216"/>
      <c r="K10" s="216"/>
      <c r="L10" s="216"/>
      <c r="M10" s="216"/>
      <c r="N10" s="216"/>
      <c r="O10" s="216"/>
      <c r="P10" s="216"/>
      <c r="Q10" s="216"/>
      <c r="R10" s="216"/>
      <c r="S10" s="216"/>
      <c r="T10" s="216"/>
      <c r="U10" s="216"/>
      <c r="V10" s="216"/>
      <c r="W10" s="216"/>
      <c r="X10" s="216"/>
      <c r="Y10" s="216"/>
      <c r="Z10" s="216"/>
    </row>
    <row r="11" spans="1:26" ht="38.25" customHeight="1">
      <c r="A11" s="85" t="s">
        <v>4419</v>
      </c>
      <c r="B11" s="85" t="s">
        <v>7</v>
      </c>
      <c r="C11" s="85" t="s">
        <v>4420</v>
      </c>
      <c r="D11" s="85" t="s">
        <v>4421</v>
      </c>
      <c r="E11" s="85" t="s">
        <v>4422</v>
      </c>
      <c r="F11" s="85" t="s">
        <v>4423</v>
      </c>
      <c r="G11" s="350" t="s">
        <v>206</v>
      </c>
      <c r="H11" s="350" t="s">
        <v>210</v>
      </c>
      <c r="I11" s="336" t="s">
        <v>211</v>
      </c>
      <c r="J11" s="216"/>
      <c r="K11" s="216"/>
      <c r="L11" s="216"/>
      <c r="M11" s="216"/>
      <c r="N11" s="216"/>
      <c r="O11" s="216"/>
      <c r="P11" s="216"/>
      <c r="Q11" s="216"/>
      <c r="R11" s="216"/>
      <c r="S11" s="216"/>
      <c r="T11" s="216"/>
      <c r="U11" s="216"/>
      <c r="V11" s="216"/>
      <c r="W11" s="216"/>
      <c r="X11" s="216"/>
      <c r="Y11" s="216"/>
      <c r="Z11" s="216"/>
    </row>
    <row r="13" spans="1:26" ht="15" customHeight="1">
      <c r="A13" s="332" t="s">
        <v>169</v>
      </c>
      <c r="H13" s="332">
        <f>SUM(H11:H12)</f>
        <v>0</v>
      </c>
    </row>
    <row r="15" spans="1:26" ht="15" customHeight="1">
      <c r="A15" s="1231" t="s">
        <v>1156</v>
      </c>
      <c r="B15" s="1232"/>
      <c r="C15" s="1232"/>
      <c r="D15" s="1232"/>
      <c r="E15" s="1232"/>
      <c r="F15" s="1232"/>
      <c r="G15" s="1232"/>
      <c r="H15" s="123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H8"/>
    <mergeCell ref="A9:H9"/>
    <mergeCell ref="A15:H15"/>
    <mergeCell ref="A2:H2"/>
    <mergeCell ref="A4:H4"/>
    <mergeCell ref="A5:H5"/>
    <mergeCell ref="A6:H6"/>
    <mergeCell ref="A7:H7"/>
  </mergeCells>
  <pageMargins left="0.75" right="0.75" top="1" bottom="1"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Z1000"/>
  <sheetViews>
    <sheetView workbookViewId="0"/>
  </sheetViews>
  <sheetFormatPr defaultColWidth="14.3984375" defaultRowHeight="15" customHeight="1"/>
  <cols>
    <col min="1" max="1" width="23.73046875" customWidth="1"/>
    <col min="2" max="2" width="15.3984375" customWidth="1"/>
    <col min="3" max="3" width="12.3984375" customWidth="1"/>
    <col min="4" max="4" width="16.86328125" customWidth="1"/>
    <col min="5" max="5" width="12.3984375" customWidth="1"/>
    <col min="6" max="6" width="26.3984375" customWidth="1"/>
    <col min="7" max="7" width="12.1328125" customWidth="1"/>
    <col min="8" max="8" width="10.73046875" customWidth="1"/>
    <col min="9" max="9" width="7.3984375" customWidth="1"/>
    <col min="10" max="10" width="11.86328125" customWidth="1"/>
    <col min="11" max="25" width="8" customWidth="1"/>
  </cols>
  <sheetData>
    <row r="1" spans="1:26" ht="14.25">
      <c r="A1" s="64"/>
      <c r="B1" s="64"/>
      <c r="C1" s="64"/>
      <c r="D1" s="64"/>
      <c r="E1" s="65"/>
      <c r="F1" s="65"/>
      <c r="G1" s="65"/>
      <c r="H1" s="65"/>
      <c r="I1" s="1"/>
      <c r="J1" s="216"/>
      <c r="K1" s="216"/>
      <c r="L1" s="216"/>
      <c r="M1" s="216"/>
      <c r="N1" s="216"/>
      <c r="O1" s="216"/>
      <c r="P1" s="216"/>
      <c r="Q1" s="216"/>
      <c r="R1" s="216"/>
      <c r="S1" s="216"/>
      <c r="T1" s="216"/>
      <c r="U1" s="216"/>
      <c r="V1" s="216"/>
      <c r="W1" s="216"/>
      <c r="X1" s="216"/>
      <c r="Y1" s="216"/>
      <c r="Z1" s="216"/>
    </row>
    <row r="2" spans="1:26" ht="14.25">
      <c r="A2" s="1234" t="s">
        <v>7328</v>
      </c>
      <c r="B2" s="1227"/>
      <c r="C2" s="1227"/>
      <c r="D2" s="1227"/>
      <c r="E2" s="1227"/>
      <c r="F2" s="1227"/>
      <c r="G2" s="1227"/>
      <c r="H2" s="1227"/>
      <c r="I2" s="1228"/>
      <c r="J2" s="216"/>
      <c r="K2" s="216"/>
      <c r="L2" s="216"/>
      <c r="M2" s="216"/>
      <c r="N2" s="216"/>
      <c r="O2" s="216"/>
      <c r="P2" s="216"/>
      <c r="Q2" s="216"/>
      <c r="R2" s="216"/>
      <c r="S2" s="216"/>
      <c r="T2" s="216"/>
      <c r="U2" s="216"/>
      <c r="V2" s="216"/>
      <c r="W2" s="216"/>
      <c r="X2" s="216"/>
      <c r="Y2" s="216"/>
      <c r="Z2" s="216"/>
    </row>
    <row r="3" spans="1:26" ht="14.25">
      <c r="A3" s="80"/>
      <c r="B3" s="80"/>
      <c r="C3" s="80"/>
      <c r="D3" s="80"/>
      <c r="E3" s="80"/>
      <c r="F3" s="80"/>
      <c r="G3" s="80"/>
      <c r="H3" s="80"/>
      <c r="I3" s="80"/>
      <c r="J3" s="216"/>
      <c r="K3" s="216"/>
      <c r="L3" s="216"/>
      <c r="M3" s="216"/>
      <c r="N3" s="216"/>
      <c r="O3" s="216"/>
      <c r="P3" s="216"/>
      <c r="Q3" s="216"/>
      <c r="R3" s="216"/>
      <c r="S3" s="216"/>
      <c r="T3" s="216"/>
      <c r="U3" s="216"/>
      <c r="V3" s="216"/>
      <c r="W3" s="216"/>
      <c r="X3" s="216"/>
      <c r="Y3" s="216"/>
      <c r="Z3" s="216"/>
    </row>
    <row r="4" spans="1:26" ht="14.25">
      <c r="A4" s="1236" t="s">
        <v>7329</v>
      </c>
      <c r="B4" s="1227"/>
      <c r="C4" s="1227"/>
      <c r="D4" s="1227"/>
      <c r="E4" s="1227"/>
      <c r="F4" s="1227"/>
      <c r="G4" s="1227"/>
      <c r="H4" s="1227"/>
      <c r="I4" s="1228"/>
      <c r="J4" s="216"/>
      <c r="K4" s="216"/>
      <c r="L4" s="216"/>
      <c r="M4" s="216"/>
      <c r="N4" s="216"/>
      <c r="O4" s="216"/>
      <c r="P4" s="216"/>
      <c r="Q4" s="216"/>
      <c r="R4" s="216"/>
      <c r="S4" s="216"/>
      <c r="T4" s="216"/>
      <c r="U4" s="216"/>
      <c r="V4" s="216"/>
      <c r="W4" s="216"/>
      <c r="X4" s="216"/>
      <c r="Y4" s="216"/>
      <c r="Z4" s="216"/>
    </row>
    <row r="5" spans="1:26" ht="14.25">
      <c r="A5" s="1236" t="s">
        <v>4425</v>
      </c>
      <c r="B5" s="1227"/>
      <c r="C5" s="1227"/>
      <c r="D5" s="1227"/>
      <c r="E5" s="1227"/>
      <c r="F5" s="1227"/>
      <c r="G5" s="1227"/>
      <c r="H5" s="1227"/>
      <c r="I5" s="1228"/>
      <c r="J5" s="216"/>
      <c r="K5" s="216"/>
      <c r="L5" s="216"/>
      <c r="M5" s="216"/>
      <c r="N5" s="216"/>
      <c r="O5" s="216"/>
      <c r="P5" s="216"/>
      <c r="Q5" s="216"/>
      <c r="R5" s="216"/>
      <c r="S5" s="216"/>
      <c r="T5" s="216"/>
      <c r="U5" s="216"/>
      <c r="V5" s="216"/>
      <c r="W5" s="216"/>
      <c r="X5" s="216"/>
      <c r="Y5" s="216"/>
      <c r="Z5" s="216"/>
    </row>
    <row r="6" spans="1:26" ht="14.25">
      <c r="A6" s="1236" t="s">
        <v>4427</v>
      </c>
      <c r="B6" s="1227"/>
      <c r="C6" s="1227"/>
      <c r="D6" s="1227"/>
      <c r="E6" s="1227"/>
      <c r="F6" s="1227"/>
      <c r="G6" s="1227"/>
      <c r="H6" s="1227"/>
      <c r="I6" s="1228"/>
      <c r="J6" s="216"/>
      <c r="K6" s="216"/>
      <c r="L6" s="216"/>
      <c r="M6" s="216"/>
      <c r="N6" s="216"/>
      <c r="O6" s="216"/>
      <c r="P6" s="216"/>
      <c r="Q6" s="216"/>
      <c r="R6" s="216"/>
      <c r="S6" s="216"/>
      <c r="T6" s="216"/>
      <c r="U6" s="216"/>
      <c r="V6" s="216"/>
      <c r="W6" s="216"/>
      <c r="X6" s="216"/>
      <c r="Y6" s="216"/>
      <c r="Z6" s="216"/>
    </row>
    <row r="7" spans="1:26" ht="14.25">
      <c r="A7" s="1236" t="s">
        <v>7330</v>
      </c>
      <c r="B7" s="1227"/>
      <c r="C7" s="1227"/>
      <c r="D7" s="1227"/>
      <c r="E7" s="1227"/>
      <c r="F7" s="1227"/>
      <c r="G7" s="1227"/>
      <c r="H7" s="1227"/>
      <c r="I7" s="1228"/>
      <c r="J7" s="216"/>
      <c r="K7" s="216"/>
      <c r="L7" s="216"/>
      <c r="M7" s="216"/>
      <c r="N7" s="216"/>
      <c r="O7" s="216"/>
      <c r="P7" s="216"/>
      <c r="Q7" s="216"/>
      <c r="R7" s="216"/>
      <c r="S7" s="216"/>
      <c r="T7" s="216"/>
      <c r="U7" s="216"/>
      <c r="V7" s="216"/>
      <c r="W7" s="216"/>
      <c r="X7" s="216"/>
      <c r="Y7" s="216"/>
      <c r="Z7" s="216"/>
    </row>
    <row r="8" spans="1:26" ht="14.25">
      <c r="A8" s="1236" t="s">
        <v>7331</v>
      </c>
      <c r="B8" s="1227"/>
      <c r="C8" s="1227"/>
      <c r="D8" s="1227"/>
      <c r="E8" s="1227"/>
      <c r="F8" s="1227"/>
      <c r="G8" s="1227"/>
      <c r="H8" s="1227"/>
      <c r="I8" s="1228"/>
      <c r="J8" s="216"/>
      <c r="K8" s="216"/>
      <c r="L8" s="216"/>
      <c r="M8" s="216"/>
      <c r="N8" s="216"/>
      <c r="O8" s="216"/>
      <c r="P8" s="216"/>
      <c r="Q8" s="216"/>
      <c r="R8" s="216"/>
      <c r="S8" s="216"/>
      <c r="T8" s="216"/>
      <c r="U8" s="216"/>
      <c r="V8" s="216"/>
      <c r="W8" s="216"/>
      <c r="X8" s="216"/>
      <c r="Y8" s="216"/>
      <c r="Z8" s="216"/>
    </row>
    <row r="9" spans="1:26" ht="14.25">
      <c r="A9" s="1236" t="s">
        <v>7332</v>
      </c>
      <c r="B9" s="1227"/>
      <c r="C9" s="1227"/>
      <c r="D9" s="1227"/>
      <c r="E9" s="1227"/>
      <c r="F9" s="1227"/>
      <c r="G9" s="1227"/>
      <c r="H9" s="1227"/>
      <c r="I9" s="1228"/>
      <c r="J9" s="216"/>
      <c r="K9" s="216"/>
      <c r="L9" s="216"/>
      <c r="M9" s="216"/>
      <c r="N9" s="216"/>
      <c r="O9" s="216"/>
      <c r="P9" s="216"/>
      <c r="Q9" s="216"/>
      <c r="R9" s="216"/>
      <c r="S9" s="216"/>
      <c r="T9" s="216"/>
      <c r="U9" s="216"/>
      <c r="V9" s="216"/>
      <c r="W9" s="216"/>
      <c r="X9" s="216"/>
      <c r="Y9" s="216"/>
      <c r="Z9" s="216"/>
    </row>
    <row r="10" spans="1:26" ht="64.5" customHeight="1">
      <c r="A10" s="1226" t="s">
        <v>7333</v>
      </c>
      <c r="B10" s="1227"/>
      <c r="C10" s="1227"/>
      <c r="D10" s="1227"/>
      <c r="E10" s="1227"/>
      <c r="F10" s="1227"/>
      <c r="G10" s="1227"/>
      <c r="H10" s="1227"/>
      <c r="I10" s="1228"/>
      <c r="J10" s="216"/>
      <c r="K10" s="216"/>
      <c r="L10" s="216"/>
      <c r="M10" s="216"/>
      <c r="N10" s="216"/>
      <c r="O10" s="216"/>
      <c r="P10" s="216"/>
      <c r="Q10" s="216"/>
      <c r="R10" s="216"/>
      <c r="S10" s="216"/>
      <c r="T10" s="216"/>
      <c r="U10" s="216"/>
      <c r="V10" s="216"/>
      <c r="W10" s="216"/>
      <c r="X10" s="216"/>
      <c r="Y10" s="216"/>
      <c r="Z10" s="216"/>
    </row>
    <row r="11" spans="1:26" ht="14.25">
      <c r="A11" s="64"/>
      <c r="B11" s="64"/>
      <c r="C11" s="64"/>
      <c r="D11" s="64"/>
      <c r="E11" s="65"/>
      <c r="F11" s="65"/>
      <c r="G11" s="65"/>
      <c r="H11" s="65"/>
      <c r="I11" s="1"/>
      <c r="J11" s="216"/>
      <c r="K11" s="216"/>
      <c r="L11" s="216"/>
      <c r="M11" s="216"/>
      <c r="N11" s="216"/>
      <c r="O11" s="216"/>
      <c r="P11" s="216"/>
      <c r="Q11" s="216"/>
      <c r="R11" s="216"/>
      <c r="S11" s="216"/>
      <c r="T11" s="216"/>
      <c r="U11" s="216"/>
      <c r="V11" s="216"/>
      <c r="W11" s="216"/>
      <c r="X11" s="216"/>
      <c r="Y11" s="216"/>
      <c r="Z11" s="216"/>
    </row>
    <row r="12" spans="1:26" ht="38.25" customHeight="1">
      <c r="A12" s="85" t="s">
        <v>4419</v>
      </c>
      <c r="B12" s="85" t="s">
        <v>7</v>
      </c>
      <c r="C12" s="85" t="s">
        <v>4420</v>
      </c>
      <c r="D12" s="85" t="s">
        <v>4421</v>
      </c>
      <c r="E12" s="85" t="s">
        <v>4422</v>
      </c>
      <c r="F12" s="85" t="s">
        <v>4423</v>
      </c>
      <c r="G12" s="81" t="s">
        <v>4433</v>
      </c>
      <c r="H12" s="81" t="s">
        <v>1222</v>
      </c>
      <c r="I12" s="81" t="s">
        <v>210</v>
      </c>
      <c r="J12" s="336" t="s">
        <v>211</v>
      </c>
      <c r="K12" s="216"/>
      <c r="L12" s="216"/>
      <c r="M12" s="216"/>
      <c r="N12" s="216"/>
      <c r="O12" s="216"/>
      <c r="P12" s="216"/>
      <c r="Q12" s="216"/>
      <c r="R12" s="216"/>
      <c r="S12" s="216"/>
      <c r="T12" s="216"/>
      <c r="U12" s="216"/>
      <c r="V12" s="216"/>
      <c r="W12" s="216"/>
      <c r="X12" s="216"/>
      <c r="Y12" s="216"/>
      <c r="Z12" s="216"/>
    </row>
    <row r="13" spans="1:26" ht="15" customHeight="1">
      <c r="A13" s="479" t="s">
        <v>580</v>
      </c>
      <c r="B13" s="162" t="s">
        <v>51</v>
      </c>
      <c r="C13" s="162" t="s">
        <v>7334</v>
      </c>
      <c r="D13" s="162" t="s">
        <v>7335</v>
      </c>
      <c r="E13" s="162" t="s">
        <v>7336</v>
      </c>
      <c r="F13" s="365" t="s">
        <v>7337</v>
      </c>
      <c r="G13" s="162" t="s">
        <v>7070</v>
      </c>
      <c r="H13" s="162">
        <v>50</v>
      </c>
      <c r="I13" s="447">
        <v>50</v>
      </c>
      <c r="J13" s="338" t="s">
        <v>580</v>
      </c>
    </row>
    <row r="15" spans="1:26" ht="15" customHeight="1">
      <c r="A15" s="332" t="s">
        <v>169</v>
      </c>
      <c r="I15" s="332">
        <f>SUM(I13)</f>
        <v>50</v>
      </c>
    </row>
    <row r="17" spans="1:8" ht="15" customHeight="1">
      <c r="A17" s="1231" t="s">
        <v>1156</v>
      </c>
      <c r="B17" s="1232"/>
      <c r="C17" s="1232"/>
      <c r="D17" s="1232"/>
      <c r="E17" s="1232"/>
      <c r="F17" s="1232"/>
      <c r="G17" s="1232"/>
      <c r="H17" s="1233"/>
    </row>
    <row r="21" spans="1:8" ht="15.75" customHeight="1"/>
    <row r="22" spans="1:8" ht="15.75" customHeight="1"/>
    <row r="23" spans="1:8" ht="15.75" customHeight="1"/>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17:H17"/>
    <mergeCell ref="A2:I2"/>
    <mergeCell ref="A4:I4"/>
    <mergeCell ref="A5:I5"/>
    <mergeCell ref="A6:I6"/>
    <mergeCell ref="A7:I7"/>
    <mergeCell ref="A8:I8"/>
    <mergeCell ref="A9:I9"/>
  </mergeCells>
  <hyperlinks>
    <hyperlink ref="F13" r:id="rId1" xr:uid="{00000000-0004-0000-1100-000000000000}"/>
  </hyperlinks>
  <pageMargins left="0.75" right="0.75" top="1" bottom="1"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sheetPr>
  <dimension ref="A1:AE1000"/>
  <sheetViews>
    <sheetView workbookViewId="0"/>
  </sheetViews>
  <sheetFormatPr defaultColWidth="14.3984375" defaultRowHeight="15" customHeight="1"/>
  <cols>
    <col min="1" max="1" width="23.73046875" customWidth="1"/>
    <col min="2" max="2" width="20.86328125" customWidth="1"/>
    <col min="3" max="3" width="12" customWidth="1"/>
    <col min="4" max="4" width="16.3984375" customWidth="1"/>
    <col min="5" max="5" width="13.1328125" customWidth="1"/>
    <col min="6" max="7" width="10.3984375" customWidth="1"/>
    <col min="8" max="8" width="10" customWidth="1"/>
    <col min="9" max="9" width="14.3984375" customWidth="1"/>
    <col min="10" max="10" width="6.265625" customWidth="1"/>
    <col min="11" max="11" width="8.1328125" customWidth="1"/>
    <col min="12" max="13" width="8.86328125" customWidth="1"/>
    <col min="14" max="14" width="13.3984375" customWidth="1"/>
    <col min="15" max="31" width="8" customWidth="1"/>
  </cols>
  <sheetData>
    <row r="1" spans="1:31" ht="9" customHeight="1">
      <c r="A1" s="64"/>
      <c r="B1" s="65"/>
      <c r="C1" s="65"/>
      <c r="D1" s="1"/>
      <c r="E1" s="1"/>
      <c r="F1" s="1"/>
      <c r="G1" s="1"/>
      <c r="H1" s="1"/>
      <c r="I1" s="1"/>
      <c r="J1" s="1"/>
      <c r="K1" s="1"/>
    </row>
    <row r="2" spans="1:31" ht="18" customHeight="1">
      <c r="A2" s="1253" t="s">
        <v>7338</v>
      </c>
      <c r="B2" s="1232"/>
      <c r="C2" s="1232"/>
      <c r="D2" s="1232"/>
      <c r="E2" s="1232"/>
      <c r="F2" s="1232"/>
      <c r="G2" s="1232"/>
      <c r="H2" s="1232"/>
      <c r="I2" s="1232"/>
      <c r="J2" s="1232"/>
      <c r="K2" s="1232"/>
      <c r="L2" s="1232"/>
      <c r="M2" s="1233"/>
      <c r="N2" s="69"/>
      <c r="O2" s="69"/>
      <c r="P2" s="69"/>
      <c r="Q2" s="69"/>
      <c r="R2" s="69"/>
      <c r="S2" s="69"/>
      <c r="T2" s="69"/>
      <c r="U2" s="69"/>
      <c r="V2" s="69"/>
      <c r="W2" s="69"/>
      <c r="X2" s="69"/>
      <c r="Y2" s="69"/>
      <c r="Z2" s="69"/>
      <c r="AA2" s="69"/>
      <c r="AB2" s="69"/>
      <c r="AC2" s="69"/>
      <c r="AD2" s="69"/>
      <c r="AE2" s="69"/>
    </row>
    <row r="3" spans="1:31" ht="15.4">
      <c r="A3" s="375"/>
      <c r="B3" s="375"/>
      <c r="C3" s="375"/>
      <c r="D3" s="375"/>
      <c r="E3" s="375"/>
      <c r="F3" s="375"/>
      <c r="G3" s="375"/>
      <c r="H3" s="375"/>
      <c r="I3" s="375"/>
      <c r="J3" s="375"/>
      <c r="K3" s="375"/>
      <c r="L3" s="68"/>
      <c r="M3" s="68"/>
      <c r="N3" s="69"/>
      <c r="O3" s="69"/>
      <c r="P3" s="69"/>
      <c r="Q3" s="69"/>
      <c r="R3" s="69"/>
      <c r="S3" s="69"/>
      <c r="T3" s="69"/>
      <c r="U3" s="69"/>
      <c r="V3" s="69"/>
      <c r="W3" s="69"/>
      <c r="X3" s="69"/>
      <c r="Y3" s="69"/>
      <c r="Z3" s="69"/>
      <c r="AA3" s="69"/>
      <c r="AB3" s="69"/>
      <c r="AC3" s="69"/>
      <c r="AD3" s="69"/>
      <c r="AE3" s="69"/>
    </row>
    <row r="4" spans="1:31" ht="15.75" customHeight="1">
      <c r="A4" s="1226" t="s">
        <v>7339</v>
      </c>
      <c r="B4" s="1227"/>
      <c r="C4" s="1227"/>
      <c r="D4" s="1227"/>
      <c r="E4" s="1227"/>
      <c r="F4" s="1227"/>
      <c r="G4" s="1227"/>
      <c r="H4" s="1227"/>
      <c r="I4" s="1227"/>
      <c r="J4" s="1227"/>
      <c r="K4" s="1227"/>
      <c r="L4" s="1227"/>
      <c r="M4" s="1228"/>
      <c r="N4" s="510"/>
      <c r="O4" s="510"/>
      <c r="P4" s="510"/>
      <c r="Q4" s="510"/>
      <c r="R4" s="510"/>
      <c r="S4" s="510"/>
      <c r="T4" s="510"/>
      <c r="U4" s="510"/>
      <c r="V4" s="510"/>
      <c r="W4" s="510"/>
      <c r="X4" s="510"/>
      <c r="Y4" s="510"/>
      <c r="Z4" s="510"/>
      <c r="AA4" s="510"/>
      <c r="AB4" s="510"/>
      <c r="AC4" s="510"/>
      <c r="AD4" s="510"/>
      <c r="AE4" s="510"/>
    </row>
    <row r="5" spans="1:31" ht="27.75" customHeight="1">
      <c r="A5" s="1226" t="s">
        <v>7340</v>
      </c>
      <c r="B5" s="1227"/>
      <c r="C5" s="1227"/>
      <c r="D5" s="1227"/>
      <c r="E5" s="1227"/>
      <c r="F5" s="1227"/>
      <c r="G5" s="1227"/>
      <c r="H5" s="1227"/>
      <c r="I5" s="1227"/>
      <c r="J5" s="1227"/>
      <c r="K5" s="1227"/>
      <c r="L5" s="1227"/>
      <c r="M5" s="1228"/>
      <c r="N5" s="510"/>
      <c r="O5" s="510"/>
      <c r="P5" s="510"/>
      <c r="Q5" s="510"/>
      <c r="R5" s="510"/>
      <c r="S5" s="510"/>
      <c r="T5" s="510"/>
      <c r="U5" s="510"/>
      <c r="V5" s="510"/>
      <c r="W5" s="510"/>
      <c r="X5" s="510"/>
      <c r="Y5" s="510"/>
      <c r="Z5" s="510"/>
      <c r="AA5" s="510"/>
      <c r="AB5" s="510"/>
      <c r="AC5" s="510"/>
      <c r="AD5" s="510"/>
      <c r="AE5" s="510"/>
    </row>
    <row r="6" spans="1:31" ht="51.75" customHeight="1">
      <c r="A6" s="1226" t="s">
        <v>7341</v>
      </c>
      <c r="B6" s="1227"/>
      <c r="C6" s="1227"/>
      <c r="D6" s="1227"/>
      <c r="E6" s="1227"/>
      <c r="F6" s="1227"/>
      <c r="G6" s="1227"/>
      <c r="H6" s="1227"/>
      <c r="I6" s="1227"/>
      <c r="J6" s="1227"/>
      <c r="K6" s="1227"/>
      <c r="L6" s="1227"/>
      <c r="M6" s="1228"/>
      <c r="N6" s="510"/>
      <c r="O6" s="510"/>
      <c r="P6" s="510"/>
      <c r="Q6" s="510"/>
      <c r="R6" s="510"/>
      <c r="S6" s="510"/>
      <c r="T6" s="510"/>
      <c r="U6" s="510"/>
      <c r="V6" s="510"/>
      <c r="W6" s="510"/>
      <c r="X6" s="510"/>
      <c r="Y6" s="510"/>
      <c r="Z6" s="510"/>
      <c r="AA6" s="510"/>
      <c r="AB6" s="510"/>
      <c r="AC6" s="510"/>
      <c r="AD6" s="510"/>
      <c r="AE6" s="510"/>
    </row>
    <row r="7" spans="1:31" ht="14.25" customHeight="1">
      <c r="A7" s="1226" t="s">
        <v>4787</v>
      </c>
      <c r="B7" s="1227"/>
      <c r="C7" s="1227"/>
      <c r="D7" s="1227"/>
      <c r="E7" s="1227"/>
      <c r="F7" s="1227"/>
      <c r="G7" s="1227"/>
      <c r="H7" s="1227"/>
      <c r="I7" s="1227"/>
      <c r="J7" s="1227"/>
      <c r="K7" s="1227"/>
      <c r="L7" s="1227"/>
      <c r="M7" s="1228"/>
      <c r="N7" s="510"/>
      <c r="O7" s="510"/>
      <c r="P7" s="510"/>
      <c r="Q7" s="510"/>
      <c r="R7" s="510"/>
      <c r="S7" s="510"/>
      <c r="T7" s="510"/>
      <c r="U7" s="510"/>
      <c r="V7" s="510"/>
      <c r="W7" s="510"/>
      <c r="X7" s="510"/>
      <c r="Y7" s="510"/>
      <c r="Z7" s="510"/>
      <c r="AA7" s="510"/>
      <c r="AB7" s="510"/>
      <c r="AC7" s="510"/>
      <c r="AD7" s="510"/>
      <c r="AE7" s="510"/>
    </row>
    <row r="8" spans="1:31" ht="26.25" customHeight="1">
      <c r="A8" s="1226" t="s">
        <v>7342</v>
      </c>
      <c r="B8" s="1227"/>
      <c r="C8" s="1227"/>
      <c r="D8" s="1227"/>
      <c r="E8" s="1227"/>
      <c r="F8" s="1227"/>
      <c r="G8" s="1227"/>
      <c r="H8" s="1227"/>
      <c r="I8" s="1227"/>
      <c r="J8" s="1227"/>
      <c r="K8" s="1227"/>
      <c r="L8" s="1227"/>
      <c r="M8" s="1228"/>
      <c r="N8" s="510"/>
      <c r="O8" s="510"/>
      <c r="P8" s="510"/>
      <c r="Q8" s="510"/>
      <c r="R8" s="510"/>
      <c r="S8" s="510"/>
      <c r="T8" s="510"/>
      <c r="U8" s="510"/>
      <c r="V8" s="510"/>
      <c r="W8" s="510"/>
      <c r="X8" s="510"/>
      <c r="Y8" s="510"/>
      <c r="Z8" s="510"/>
      <c r="AA8" s="510"/>
      <c r="AB8" s="510"/>
      <c r="AC8" s="510"/>
      <c r="AD8" s="510"/>
      <c r="AE8" s="510"/>
    </row>
    <row r="9" spans="1:31" ht="55.5" customHeight="1">
      <c r="A9" s="1229" t="s">
        <v>7343</v>
      </c>
      <c r="B9" s="1227"/>
      <c r="C9" s="1227"/>
      <c r="D9" s="1227"/>
      <c r="E9" s="1227"/>
      <c r="F9" s="1227"/>
      <c r="G9" s="1227"/>
      <c r="H9" s="1227"/>
      <c r="I9" s="1227"/>
      <c r="J9" s="1227"/>
      <c r="K9" s="1227"/>
      <c r="L9" s="1227"/>
      <c r="M9" s="1228"/>
      <c r="N9" s="69"/>
      <c r="O9" s="69"/>
      <c r="P9" s="69"/>
      <c r="Q9" s="69"/>
      <c r="R9" s="69"/>
      <c r="S9" s="69"/>
      <c r="T9" s="69"/>
      <c r="U9" s="69"/>
      <c r="V9" s="69"/>
      <c r="W9" s="69"/>
      <c r="X9" s="69"/>
      <c r="Y9" s="69"/>
      <c r="Z9" s="69"/>
      <c r="AA9" s="69"/>
      <c r="AB9" s="69"/>
      <c r="AC9" s="69"/>
      <c r="AD9" s="69"/>
      <c r="AE9" s="69"/>
    </row>
    <row r="10" spans="1:31" ht="14.25">
      <c r="A10" s="77"/>
      <c r="B10" s="78"/>
      <c r="C10" s="78"/>
      <c r="D10" s="77"/>
      <c r="E10" s="77"/>
      <c r="F10" s="77"/>
      <c r="G10" s="77"/>
      <c r="H10" s="77"/>
      <c r="I10" s="77"/>
      <c r="J10" s="77"/>
      <c r="K10" s="77"/>
      <c r="L10" s="1"/>
      <c r="M10" s="1"/>
    </row>
    <row r="11" spans="1:31" ht="14.25">
      <c r="A11" s="64"/>
      <c r="B11" s="65"/>
      <c r="C11" s="65"/>
      <c r="D11" s="1"/>
      <c r="E11" s="1"/>
      <c r="F11" s="1"/>
      <c r="G11" s="1"/>
      <c r="H11" s="1"/>
      <c r="I11" s="1"/>
      <c r="J11" s="1"/>
      <c r="K11" s="1"/>
    </row>
    <row r="12" spans="1:31" ht="51.75" customHeight="1">
      <c r="A12" s="350" t="s">
        <v>7344</v>
      </c>
      <c r="B12" s="377" t="s">
        <v>4792</v>
      </c>
      <c r="C12" s="83" t="s">
        <v>7</v>
      </c>
      <c r="D12" s="376" t="s">
        <v>4793</v>
      </c>
      <c r="E12" s="377" t="s">
        <v>4794</v>
      </c>
      <c r="F12" s="377" t="s">
        <v>201</v>
      </c>
      <c r="G12" s="377" t="s">
        <v>4795</v>
      </c>
      <c r="H12" s="377" t="s">
        <v>4796</v>
      </c>
      <c r="I12" s="82" t="s">
        <v>203</v>
      </c>
      <c r="J12" s="82" t="s">
        <v>204</v>
      </c>
      <c r="K12" s="82" t="s">
        <v>205</v>
      </c>
      <c r="L12" s="350" t="s">
        <v>206</v>
      </c>
      <c r="M12" s="350" t="s">
        <v>210</v>
      </c>
      <c r="N12" s="336" t="s">
        <v>211</v>
      </c>
    </row>
    <row r="14" spans="1:31" ht="15" customHeight="1">
      <c r="A14" s="332" t="s">
        <v>169</v>
      </c>
      <c r="M14" s="332">
        <f>SUM(M12:M13)</f>
        <v>0</v>
      </c>
    </row>
    <row r="16" spans="1:31" ht="15" customHeight="1">
      <c r="A16" s="1231" t="s">
        <v>1156</v>
      </c>
      <c r="B16" s="1232"/>
      <c r="C16" s="1232"/>
      <c r="D16" s="1232"/>
      <c r="E16" s="1232"/>
      <c r="F16" s="1232"/>
      <c r="G16" s="1232"/>
      <c r="H16" s="123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M8"/>
    <mergeCell ref="A9:M9"/>
    <mergeCell ref="A16:H16"/>
    <mergeCell ref="A2:M2"/>
    <mergeCell ref="A4:M4"/>
    <mergeCell ref="A5:M5"/>
    <mergeCell ref="A6:M6"/>
    <mergeCell ref="A7:M7"/>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E1000"/>
  <sheetViews>
    <sheetView workbookViewId="0"/>
  </sheetViews>
  <sheetFormatPr defaultColWidth="14.3984375" defaultRowHeight="15" customHeight="1"/>
  <cols>
    <col min="1" max="1" width="13.86328125" customWidth="1"/>
    <col min="2" max="2" width="15" customWidth="1"/>
    <col min="3" max="3" width="10.59765625" customWidth="1"/>
    <col min="4" max="4" width="12.1328125" customWidth="1"/>
    <col min="5" max="5" width="5.73046875" customWidth="1"/>
    <col min="6" max="6" width="5.86328125" customWidth="1"/>
    <col min="7" max="7" width="6" customWidth="1"/>
    <col min="8" max="8" width="15" customWidth="1"/>
    <col min="9" max="9" width="23.86328125" customWidth="1"/>
    <col min="10" max="11" width="10.1328125" customWidth="1"/>
    <col min="12" max="12" width="8.86328125" customWidth="1"/>
    <col min="13" max="13" width="8" customWidth="1"/>
    <col min="14" max="14" width="11.3984375" customWidth="1"/>
    <col min="15" max="16" width="8" customWidth="1"/>
    <col min="17" max="19" width="8.73046875" customWidth="1"/>
    <col min="20" max="20" width="8.3984375" customWidth="1"/>
    <col min="21" max="21" width="10.265625" customWidth="1"/>
    <col min="22" max="22" width="9.1328125" customWidth="1"/>
    <col min="23" max="23" width="19.73046875" customWidth="1"/>
    <col min="24" max="24" width="9.1328125" customWidth="1"/>
    <col min="25" max="30" width="8" customWidth="1"/>
  </cols>
  <sheetData>
    <row r="1" spans="1:31" ht="14.25">
      <c r="A1" s="64"/>
      <c r="B1" s="65"/>
      <c r="C1" s="66"/>
      <c r="D1" s="66"/>
      <c r="E1" s="66"/>
      <c r="F1" s="66"/>
      <c r="G1" s="3"/>
      <c r="H1" s="67"/>
      <c r="I1" s="67"/>
      <c r="J1" s="67"/>
      <c r="K1" s="1"/>
      <c r="L1" s="67"/>
      <c r="M1" s="3"/>
      <c r="N1" s="3"/>
      <c r="O1" s="3"/>
      <c r="P1" s="3"/>
      <c r="Q1" s="3"/>
      <c r="R1" s="3"/>
      <c r="S1" s="67"/>
      <c r="T1" s="67"/>
      <c r="U1" s="67"/>
      <c r="V1" s="3"/>
      <c r="W1" s="67"/>
      <c r="X1" s="1"/>
    </row>
    <row r="2" spans="1:31" ht="35.25" customHeight="1">
      <c r="A2" s="1230" t="s">
        <v>182</v>
      </c>
      <c r="B2" s="1227"/>
      <c r="C2" s="1227"/>
      <c r="D2" s="1227"/>
      <c r="E2" s="1227"/>
      <c r="F2" s="1227"/>
      <c r="G2" s="1227"/>
      <c r="H2" s="1227"/>
      <c r="I2" s="1227"/>
      <c r="J2" s="1227"/>
      <c r="K2" s="1227"/>
      <c r="L2" s="1227"/>
      <c r="M2" s="1227"/>
      <c r="N2" s="1227"/>
      <c r="O2" s="1227"/>
      <c r="P2" s="1227"/>
      <c r="Q2" s="1227"/>
      <c r="R2" s="1227"/>
      <c r="S2" s="1227"/>
      <c r="T2" s="1227"/>
      <c r="U2" s="1227"/>
      <c r="V2" s="1228"/>
      <c r="W2" s="67"/>
      <c r="X2" s="68"/>
      <c r="Y2" s="69"/>
      <c r="Z2" s="69"/>
      <c r="AA2" s="69"/>
      <c r="AB2" s="69"/>
      <c r="AC2" s="69"/>
      <c r="AD2" s="69"/>
    </row>
    <row r="3" spans="1:31" ht="14.25">
      <c r="A3" s="69"/>
      <c r="B3" s="69"/>
      <c r="C3" s="70"/>
      <c r="D3" s="70"/>
      <c r="E3" s="70"/>
      <c r="F3" s="70"/>
      <c r="G3" s="70"/>
      <c r="H3" s="71"/>
      <c r="I3" s="71"/>
      <c r="J3" s="72"/>
      <c r="K3" s="69"/>
      <c r="L3" s="72"/>
      <c r="M3" s="70"/>
      <c r="N3" s="70"/>
      <c r="O3" s="70"/>
      <c r="P3" s="70"/>
      <c r="Q3" s="70"/>
      <c r="R3" s="70"/>
      <c r="S3" s="72"/>
      <c r="T3" s="72"/>
      <c r="U3" s="71"/>
      <c r="V3" s="73"/>
      <c r="W3" s="67"/>
      <c r="X3" s="68"/>
      <c r="Y3" s="69"/>
      <c r="Z3" s="69"/>
      <c r="AA3" s="69"/>
      <c r="AB3" s="69"/>
      <c r="AC3" s="69"/>
      <c r="AD3" s="69"/>
    </row>
    <row r="4" spans="1:31" ht="22.5" customHeight="1">
      <c r="A4" s="1226" t="s">
        <v>183</v>
      </c>
      <c r="B4" s="1227"/>
      <c r="C4" s="1227"/>
      <c r="D4" s="1227"/>
      <c r="E4" s="1227"/>
      <c r="F4" s="1227"/>
      <c r="G4" s="1227"/>
      <c r="H4" s="1227"/>
      <c r="I4" s="1227"/>
      <c r="J4" s="1227"/>
      <c r="K4" s="1227"/>
      <c r="L4" s="1227"/>
      <c r="M4" s="1227"/>
      <c r="N4" s="1227"/>
      <c r="O4" s="1227"/>
      <c r="P4" s="1227"/>
      <c r="Q4" s="1227"/>
      <c r="R4" s="1227"/>
      <c r="S4" s="1227"/>
      <c r="T4" s="1227"/>
      <c r="U4" s="1227"/>
      <c r="V4" s="1228"/>
      <c r="W4" s="67"/>
      <c r="X4" s="68"/>
      <c r="Y4" s="69"/>
      <c r="Z4" s="69"/>
      <c r="AA4" s="69"/>
      <c r="AB4" s="69"/>
      <c r="AC4" s="69"/>
      <c r="AD4" s="69"/>
    </row>
    <row r="5" spans="1:31" ht="19.5" customHeight="1">
      <c r="A5" s="1226" t="s">
        <v>184</v>
      </c>
      <c r="B5" s="1227"/>
      <c r="C5" s="1227"/>
      <c r="D5" s="1227"/>
      <c r="E5" s="1227"/>
      <c r="F5" s="1227"/>
      <c r="G5" s="1227"/>
      <c r="H5" s="1227"/>
      <c r="I5" s="1227"/>
      <c r="J5" s="1227"/>
      <c r="K5" s="1227"/>
      <c r="L5" s="1227"/>
      <c r="M5" s="1227"/>
      <c r="N5" s="1227"/>
      <c r="O5" s="1227"/>
      <c r="P5" s="1227"/>
      <c r="Q5" s="1227"/>
      <c r="R5" s="1227"/>
      <c r="S5" s="1227"/>
      <c r="T5" s="1227"/>
      <c r="U5" s="1227"/>
      <c r="V5" s="1228"/>
      <c r="W5" s="67"/>
      <c r="X5" s="68"/>
      <c r="Y5" s="69"/>
      <c r="Z5" s="69"/>
      <c r="AA5" s="69"/>
      <c r="AB5" s="69"/>
      <c r="AC5" s="69"/>
      <c r="AD5" s="69"/>
    </row>
    <row r="6" spans="1:31" ht="14.25" customHeight="1">
      <c r="A6" s="1226" t="s">
        <v>185</v>
      </c>
      <c r="B6" s="1227"/>
      <c r="C6" s="1227"/>
      <c r="D6" s="1227"/>
      <c r="E6" s="1227"/>
      <c r="F6" s="1227"/>
      <c r="G6" s="1227"/>
      <c r="H6" s="1227"/>
      <c r="I6" s="1227"/>
      <c r="J6" s="1227"/>
      <c r="K6" s="1227"/>
      <c r="L6" s="1227"/>
      <c r="M6" s="1227"/>
      <c r="N6" s="1227"/>
      <c r="O6" s="1227"/>
      <c r="P6" s="1227"/>
      <c r="Q6" s="1227"/>
      <c r="R6" s="1227"/>
      <c r="S6" s="1227"/>
      <c r="T6" s="1227"/>
      <c r="U6" s="1227"/>
      <c r="V6" s="1228"/>
      <c r="W6" s="67"/>
      <c r="X6" s="68"/>
      <c r="Y6" s="69"/>
      <c r="Z6" s="69"/>
      <c r="AA6" s="69"/>
      <c r="AB6" s="69"/>
      <c r="AC6" s="69"/>
      <c r="AD6" s="69"/>
    </row>
    <row r="7" spans="1:31" ht="26.25" customHeight="1">
      <c r="A7" s="1226" t="s">
        <v>186</v>
      </c>
      <c r="B7" s="1227"/>
      <c r="C7" s="1227"/>
      <c r="D7" s="1227"/>
      <c r="E7" s="1227"/>
      <c r="F7" s="1227"/>
      <c r="G7" s="1227"/>
      <c r="H7" s="1227"/>
      <c r="I7" s="1227"/>
      <c r="J7" s="1227"/>
      <c r="K7" s="1227"/>
      <c r="L7" s="1227"/>
      <c r="M7" s="1227"/>
      <c r="N7" s="1227"/>
      <c r="O7" s="1227"/>
      <c r="P7" s="1227"/>
      <c r="Q7" s="1227"/>
      <c r="R7" s="1227"/>
      <c r="S7" s="1227"/>
      <c r="T7" s="1227"/>
      <c r="U7" s="1227"/>
      <c r="V7" s="1228"/>
      <c r="W7" s="74"/>
      <c r="X7" s="75"/>
      <c r="Y7" s="76"/>
      <c r="Z7" s="76"/>
      <c r="AA7" s="76"/>
      <c r="AB7" s="76"/>
      <c r="AC7" s="76"/>
      <c r="AD7" s="76"/>
    </row>
    <row r="8" spans="1:31" ht="14.25" customHeight="1">
      <c r="A8" s="1226" t="s">
        <v>187</v>
      </c>
      <c r="B8" s="1227"/>
      <c r="C8" s="1227"/>
      <c r="D8" s="1227"/>
      <c r="E8" s="1227"/>
      <c r="F8" s="1227"/>
      <c r="G8" s="1227"/>
      <c r="H8" s="1227"/>
      <c r="I8" s="1227"/>
      <c r="J8" s="1227"/>
      <c r="K8" s="1227"/>
      <c r="L8" s="1227"/>
      <c r="M8" s="1227"/>
      <c r="N8" s="1227"/>
      <c r="O8" s="1227"/>
      <c r="P8" s="1227"/>
      <c r="Q8" s="1227"/>
      <c r="R8" s="1227"/>
      <c r="S8" s="1227"/>
      <c r="T8" s="1227"/>
      <c r="U8" s="1227"/>
      <c r="V8" s="1228"/>
      <c r="W8" s="74"/>
      <c r="X8" s="75"/>
      <c r="Y8" s="76"/>
      <c r="Z8" s="76"/>
      <c r="AA8" s="76"/>
      <c r="AB8" s="76"/>
      <c r="AC8" s="76"/>
      <c r="AD8" s="76"/>
    </row>
    <row r="9" spans="1:31" ht="146.25" customHeight="1">
      <c r="A9" s="1229" t="s">
        <v>188</v>
      </c>
      <c r="B9" s="1227"/>
      <c r="C9" s="1227"/>
      <c r="D9" s="1227"/>
      <c r="E9" s="1227"/>
      <c r="F9" s="1227"/>
      <c r="G9" s="1227"/>
      <c r="H9" s="1227"/>
      <c r="I9" s="1227"/>
      <c r="J9" s="1227"/>
      <c r="K9" s="1227"/>
      <c r="L9" s="1227"/>
      <c r="M9" s="1227"/>
      <c r="N9" s="1227"/>
      <c r="O9" s="1227"/>
      <c r="P9" s="1227"/>
      <c r="Q9" s="1227"/>
      <c r="R9" s="1227"/>
      <c r="S9" s="1227"/>
      <c r="T9" s="1227"/>
      <c r="U9" s="1227"/>
      <c r="V9" s="1228"/>
      <c r="W9" s="74"/>
      <c r="X9" s="75"/>
      <c r="Y9" s="76"/>
      <c r="Z9" s="76"/>
      <c r="AA9" s="76"/>
      <c r="AB9" s="76"/>
      <c r="AC9" s="76"/>
      <c r="AD9" s="76"/>
    </row>
    <row r="10" spans="1:31" ht="14.25">
      <c r="A10" s="77"/>
      <c r="B10" s="78"/>
      <c r="C10" s="79"/>
      <c r="D10" s="79"/>
      <c r="E10" s="79"/>
      <c r="F10" s="79"/>
      <c r="G10" s="80"/>
      <c r="H10" s="72"/>
      <c r="I10" s="72"/>
      <c r="J10" s="77"/>
      <c r="K10" s="77"/>
      <c r="L10" s="77"/>
      <c r="M10" s="80"/>
      <c r="N10" s="80"/>
      <c r="O10" s="80"/>
      <c r="P10" s="80"/>
      <c r="Q10" s="80"/>
      <c r="R10" s="80"/>
      <c r="S10" s="77"/>
      <c r="T10" s="77"/>
      <c r="U10" s="71"/>
      <c r="V10" s="73"/>
      <c r="W10" s="67"/>
      <c r="X10" s="68"/>
      <c r="Y10" s="69"/>
      <c r="Z10" s="69"/>
      <c r="AA10" s="69"/>
      <c r="AB10" s="69"/>
      <c r="AC10" s="69"/>
      <c r="AD10" s="69"/>
    </row>
    <row r="11" spans="1:31" ht="101.25" customHeight="1">
      <c r="A11" s="81" t="s">
        <v>189</v>
      </c>
      <c r="B11" s="81" t="s">
        <v>190</v>
      </c>
      <c r="C11" s="81" t="s">
        <v>191</v>
      </c>
      <c r="D11" s="82" t="s">
        <v>192</v>
      </c>
      <c r="E11" s="82" t="s">
        <v>193</v>
      </c>
      <c r="F11" s="82" t="s">
        <v>194</v>
      </c>
      <c r="G11" s="81" t="s">
        <v>195</v>
      </c>
      <c r="H11" s="83" t="s">
        <v>196</v>
      </c>
      <c r="I11" s="83" t="s">
        <v>197</v>
      </c>
      <c r="J11" s="82" t="s">
        <v>198</v>
      </c>
      <c r="K11" s="82" t="s">
        <v>199</v>
      </c>
      <c r="L11" s="82" t="s">
        <v>200</v>
      </c>
      <c r="M11" s="82" t="s">
        <v>201</v>
      </c>
      <c r="N11" s="82" t="s">
        <v>202</v>
      </c>
      <c r="O11" s="82" t="s">
        <v>203</v>
      </c>
      <c r="P11" s="82" t="s">
        <v>204</v>
      </c>
      <c r="Q11" s="84" t="s">
        <v>205</v>
      </c>
      <c r="R11" s="85" t="s">
        <v>206</v>
      </c>
      <c r="S11" s="85" t="s">
        <v>207</v>
      </c>
      <c r="T11" s="82" t="s">
        <v>208</v>
      </c>
      <c r="U11" s="82" t="s">
        <v>209</v>
      </c>
      <c r="V11" s="85" t="s">
        <v>210</v>
      </c>
      <c r="W11" s="86" t="s">
        <v>211</v>
      </c>
      <c r="X11" s="87"/>
      <c r="Y11" s="88"/>
      <c r="Z11" s="88"/>
      <c r="AA11" s="88"/>
      <c r="AB11" s="88"/>
      <c r="AC11" s="88"/>
      <c r="AD11" s="88"/>
      <c r="AE11" s="89"/>
    </row>
    <row r="12" spans="1:31" ht="15.75" customHeight="1">
      <c r="A12" s="90" t="s">
        <v>212</v>
      </c>
      <c r="B12" s="91" t="s">
        <v>213</v>
      </c>
      <c r="C12" s="92" t="s">
        <v>51</v>
      </c>
      <c r="D12" s="92" t="s">
        <v>214</v>
      </c>
      <c r="E12" s="93" t="s">
        <v>215</v>
      </c>
      <c r="F12" s="94"/>
      <c r="G12" s="92" t="s">
        <v>216</v>
      </c>
      <c r="H12" s="95"/>
      <c r="I12" s="96" t="s">
        <v>217</v>
      </c>
      <c r="J12" s="96" t="s">
        <v>218</v>
      </c>
      <c r="K12" s="97" t="s">
        <v>219</v>
      </c>
      <c r="L12" s="98"/>
      <c r="M12" s="99">
        <v>2022</v>
      </c>
      <c r="N12" s="99" t="s">
        <v>220</v>
      </c>
      <c r="O12" s="99">
        <v>5</v>
      </c>
      <c r="P12" s="100">
        <v>4</v>
      </c>
      <c r="Q12" s="100">
        <v>5</v>
      </c>
      <c r="R12" s="101">
        <v>1000</v>
      </c>
      <c r="S12" s="102"/>
      <c r="T12" s="103"/>
      <c r="U12" s="103"/>
      <c r="V12" s="104">
        <v>200</v>
      </c>
      <c r="W12" s="105" t="s">
        <v>221</v>
      </c>
    </row>
    <row r="13" spans="1:31" ht="15.75" customHeight="1">
      <c r="A13" s="106" t="s">
        <v>222</v>
      </c>
      <c r="B13" s="107" t="s">
        <v>223</v>
      </c>
      <c r="C13" s="108" t="s">
        <v>51</v>
      </c>
      <c r="D13" s="108" t="s">
        <v>224</v>
      </c>
      <c r="E13" s="108">
        <v>20</v>
      </c>
      <c r="F13" s="109" t="s">
        <v>225</v>
      </c>
      <c r="G13" s="110" t="s">
        <v>226</v>
      </c>
      <c r="H13" s="96" t="s">
        <v>227</v>
      </c>
      <c r="I13" s="95" t="s">
        <v>228</v>
      </c>
      <c r="J13" s="95"/>
      <c r="K13" s="111"/>
      <c r="L13" s="112" t="s">
        <v>229</v>
      </c>
      <c r="M13" s="99">
        <v>2022</v>
      </c>
      <c r="N13" s="113" t="s">
        <v>230</v>
      </c>
      <c r="O13" s="99">
        <v>3</v>
      </c>
      <c r="P13" s="100">
        <v>3</v>
      </c>
      <c r="Q13" s="100">
        <v>4</v>
      </c>
      <c r="R13" s="100">
        <v>300</v>
      </c>
      <c r="S13" s="102"/>
      <c r="T13" s="103"/>
      <c r="U13" s="103"/>
      <c r="V13" s="114">
        <v>100</v>
      </c>
      <c r="W13" s="105" t="s">
        <v>231</v>
      </c>
    </row>
    <row r="14" spans="1:31" ht="15.75" customHeight="1">
      <c r="A14" s="90" t="s">
        <v>232</v>
      </c>
      <c r="B14" s="91" t="s">
        <v>233</v>
      </c>
      <c r="C14" s="108" t="s">
        <v>51</v>
      </c>
      <c r="D14" s="92" t="s">
        <v>234</v>
      </c>
      <c r="E14" s="93">
        <v>12</v>
      </c>
      <c r="F14" s="94">
        <v>13</v>
      </c>
      <c r="G14" s="92" t="s">
        <v>235</v>
      </c>
      <c r="H14" s="96" t="s">
        <v>236</v>
      </c>
      <c r="I14" s="96" t="s">
        <v>237</v>
      </c>
      <c r="J14" s="95" t="s">
        <v>238</v>
      </c>
      <c r="K14" s="91" t="s">
        <v>239</v>
      </c>
      <c r="L14" s="115"/>
      <c r="M14" s="99">
        <v>2022</v>
      </c>
      <c r="N14" s="113" t="s">
        <v>220</v>
      </c>
      <c r="O14" s="99">
        <v>7</v>
      </c>
      <c r="P14" s="116">
        <v>7</v>
      </c>
      <c r="Q14" s="116">
        <v>8</v>
      </c>
      <c r="R14" s="116">
        <v>1000</v>
      </c>
      <c r="S14" s="117"/>
      <c r="T14" s="103"/>
      <c r="U14" s="103"/>
      <c r="V14" s="114">
        <v>142.85</v>
      </c>
      <c r="W14" s="105" t="s">
        <v>231</v>
      </c>
    </row>
    <row r="15" spans="1:31" ht="15.75" customHeight="1">
      <c r="A15" s="90" t="s">
        <v>240</v>
      </c>
      <c r="B15" s="90" t="s">
        <v>241</v>
      </c>
      <c r="C15" s="118" t="s">
        <v>51</v>
      </c>
      <c r="D15" s="118" t="s">
        <v>242</v>
      </c>
      <c r="E15" s="118">
        <v>7</v>
      </c>
      <c r="F15" s="119">
        <v>4</v>
      </c>
      <c r="G15" s="118" t="s">
        <v>243</v>
      </c>
      <c r="H15" s="120" t="s">
        <v>244</v>
      </c>
      <c r="I15" s="120" t="s">
        <v>245</v>
      </c>
      <c r="J15" s="121" t="s">
        <v>246</v>
      </c>
      <c r="K15" s="122">
        <v>868786400008</v>
      </c>
      <c r="L15" s="123" t="s">
        <v>247</v>
      </c>
      <c r="M15" s="119">
        <v>2022</v>
      </c>
      <c r="N15" s="119" t="s">
        <v>248</v>
      </c>
      <c r="O15" s="99">
        <v>1</v>
      </c>
      <c r="P15" s="100">
        <v>1</v>
      </c>
      <c r="Q15" s="100">
        <v>5</v>
      </c>
      <c r="R15" s="100">
        <v>1500</v>
      </c>
      <c r="S15" s="124"/>
      <c r="T15" s="103"/>
      <c r="U15" s="103"/>
      <c r="V15" s="125">
        <v>1500</v>
      </c>
      <c r="W15" s="105" t="s">
        <v>249</v>
      </c>
    </row>
    <row r="16" spans="1:31" ht="15.75" customHeight="1">
      <c r="A16" s="90" t="s">
        <v>250</v>
      </c>
      <c r="B16" s="90" t="s">
        <v>251</v>
      </c>
      <c r="C16" s="118" t="s">
        <v>51</v>
      </c>
      <c r="D16" s="118" t="s">
        <v>252</v>
      </c>
      <c r="E16" s="118">
        <v>19</v>
      </c>
      <c r="F16" s="118">
        <v>24</v>
      </c>
      <c r="G16" s="118" t="s">
        <v>253</v>
      </c>
      <c r="H16" s="120" t="s">
        <v>254</v>
      </c>
      <c r="I16" s="120" t="s">
        <v>255</v>
      </c>
      <c r="J16" s="90" t="s">
        <v>256</v>
      </c>
      <c r="K16" s="122">
        <v>902493300001</v>
      </c>
      <c r="L16" s="126" t="s">
        <v>257</v>
      </c>
      <c r="M16" s="119">
        <v>2022</v>
      </c>
      <c r="N16" s="119" t="s">
        <v>248</v>
      </c>
      <c r="O16" s="99">
        <v>5</v>
      </c>
      <c r="P16" s="116">
        <v>1</v>
      </c>
      <c r="Q16" s="116">
        <v>5</v>
      </c>
      <c r="R16" s="116">
        <v>1500</v>
      </c>
      <c r="S16" s="124"/>
      <c r="T16" s="103"/>
      <c r="U16" s="103"/>
      <c r="V16" s="125">
        <v>300</v>
      </c>
      <c r="W16" s="105" t="s">
        <v>249</v>
      </c>
    </row>
    <row r="17" spans="1:23" ht="15.75" customHeight="1">
      <c r="A17" s="121" t="s">
        <v>258</v>
      </c>
      <c r="B17" s="121" t="s">
        <v>259</v>
      </c>
      <c r="C17" s="119" t="s">
        <v>51</v>
      </c>
      <c r="D17" s="119" t="s">
        <v>252</v>
      </c>
      <c r="E17" s="119">
        <v>19</v>
      </c>
      <c r="F17" s="119">
        <v>18</v>
      </c>
      <c r="G17" s="119" t="s">
        <v>253</v>
      </c>
      <c r="H17" s="120" t="s">
        <v>260</v>
      </c>
      <c r="I17" s="120" t="s">
        <v>261</v>
      </c>
      <c r="J17" s="121" t="s">
        <v>262</v>
      </c>
      <c r="K17" s="122">
        <v>856495600001</v>
      </c>
      <c r="L17" s="123" t="s">
        <v>263</v>
      </c>
      <c r="M17" s="119">
        <v>2022</v>
      </c>
      <c r="N17" s="119" t="s">
        <v>248</v>
      </c>
      <c r="O17" s="99">
        <v>1</v>
      </c>
      <c r="P17" s="100">
        <v>1</v>
      </c>
      <c r="Q17" s="100">
        <v>5</v>
      </c>
      <c r="R17" s="100">
        <v>1500</v>
      </c>
      <c r="S17" s="124"/>
      <c r="T17" s="103"/>
      <c r="U17" s="103"/>
      <c r="V17" s="125">
        <v>1500</v>
      </c>
      <c r="W17" s="105" t="s">
        <v>249</v>
      </c>
    </row>
    <row r="18" spans="1:23" ht="15.75" customHeight="1">
      <c r="A18" s="121" t="s">
        <v>264</v>
      </c>
      <c r="B18" s="121" t="s">
        <v>265</v>
      </c>
      <c r="C18" s="119" t="s">
        <v>51</v>
      </c>
      <c r="D18" s="119" t="s">
        <v>252</v>
      </c>
      <c r="E18" s="119">
        <v>19</v>
      </c>
      <c r="F18" s="119">
        <v>18</v>
      </c>
      <c r="G18" s="119" t="s">
        <v>253</v>
      </c>
      <c r="H18" s="120" t="s">
        <v>266</v>
      </c>
      <c r="I18" s="120" t="s">
        <v>267</v>
      </c>
      <c r="J18" s="121" t="s">
        <v>268</v>
      </c>
      <c r="K18" s="122">
        <v>857692700001</v>
      </c>
      <c r="L18" s="123" t="s">
        <v>269</v>
      </c>
      <c r="M18" s="119">
        <v>2022</v>
      </c>
      <c r="N18" s="119" t="s">
        <v>248</v>
      </c>
      <c r="O18" s="99">
        <v>5</v>
      </c>
      <c r="P18" s="116">
        <v>1</v>
      </c>
      <c r="Q18" s="116">
        <v>5</v>
      </c>
      <c r="R18" s="116">
        <v>1500</v>
      </c>
      <c r="S18" s="124"/>
      <c r="T18" s="103"/>
      <c r="U18" s="103"/>
      <c r="V18" s="125">
        <v>300</v>
      </c>
      <c r="W18" s="105" t="s">
        <v>249</v>
      </c>
    </row>
    <row r="19" spans="1:23" ht="15.75" customHeight="1">
      <c r="A19" s="121" t="s">
        <v>270</v>
      </c>
      <c r="B19" s="121" t="s">
        <v>271</v>
      </c>
      <c r="C19" s="119" t="s">
        <v>51</v>
      </c>
      <c r="D19" s="119" t="s">
        <v>252</v>
      </c>
      <c r="E19" s="119">
        <v>19</v>
      </c>
      <c r="F19" s="119">
        <v>9</v>
      </c>
      <c r="G19" s="119" t="s">
        <v>253</v>
      </c>
      <c r="H19" s="120" t="s">
        <v>272</v>
      </c>
      <c r="I19" s="120" t="s">
        <v>273</v>
      </c>
      <c r="J19" s="121" t="s">
        <v>274</v>
      </c>
      <c r="K19" s="122">
        <v>794689400001</v>
      </c>
      <c r="L19" s="123" t="s">
        <v>275</v>
      </c>
      <c r="M19" s="119">
        <v>2022</v>
      </c>
      <c r="N19" s="119" t="s">
        <v>248</v>
      </c>
      <c r="O19" s="99">
        <v>6</v>
      </c>
      <c r="P19" s="116">
        <v>1</v>
      </c>
      <c r="Q19" s="116">
        <v>7</v>
      </c>
      <c r="R19" s="116">
        <v>1500</v>
      </c>
      <c r="S19" s="124"/>
      <c r="T19" s="103"/>
      <c r="U19" s="103"/>
      <c r="V19" s="125">
        <v>250</v>
      </c>
      <c r="W19" s="105" t="s">
        <v>249</v>
      </c>
    </row>
    <row r="20" spans="1:23" ht="15.75" customHeight="1">
      <c r="A20" s="121" t="s">
        <v>276</v>
      </c>
      <c r="B20" s="121" t="s">
        <v>277</v>
      </c>
      <c r="C20" s="119" t="s">
        <v>51</v>
      </c>
      <c r="D20" s="119" t="s">
        <v>252</v>
      </c>
      <c r="E20" s="119">
        <v>19</v>
      </c>
      <c r="F20" s="119">
        <v>2</v>
      </c>
      <c r="G20" s="119" t="s">
        <v>253</v>
      </c>
      <c r="H20" s="120" t="s">
        <v>278</v>
      </c>
      <c r="I20" s="120" t="s">
        <v>279</v>
      </c>
      <c r="J20" s="121" t="s">
        <v>280</v>
      </c>
      <c r="K20" s="122">
        <v>758396600001</v>
      </c>
      <c r="L20" s="123" t="s">
        <v>281</v>
      </c>
      <c r="M20" s="119">
        <v>2022</v>
      </c>
      <c r="N20" s="119" t="s">
        <v>248</v>
      </c>
      <c r="O20" s="99">
        <v>7</v>
      </c>
      <c r="P20" s="116">
        <v>1</v>
      </c>
      <c r="Q20" s="116">
        <v>7</v>
      </c>
      <c r="R20" s="116">
        <v>1500</v>
      </c>
      <c r="S20" s="124"/>
      <c r="T20" s="103"/>
      <c r="U20" s="103"/>
      <c r="V20" s="125">
        <v>214.28</v>
      </c>
      <c r="W20" s="105" t="s">
        <v>249</v>
      </c>
    </row>
    <row r="21" spans="1:23" ht="15.75" customHeight="1">
      <c r="A21" s="121" t="s">
        <v>282</v>
      </c>
      <c r="B21" s="121" t="s">
        <v>283</v>
      </c>
      <c r="C21" s="119" t="s">
        <v>51</v>
      </c>
      <c r="D21" s="119" t="s">
        <v>284</v>
      </c>
      <c r="E21" s="119">
        <v>10</v>
      </c>
      <c r="F21" s="119">
        <v>12</v>
      </c>
      <c r="G21" s="119" t="s">
        <v>285</v>
      </c>
      <c r="H21" s="120" t="s">
        <v>286</v>
      </c>
      <c r="I21" s="120" t="s">
        <v>287</v>
      </c>
      <c r="J21" s="121" t="s">
        <v>288</v>
      </c>
      <c r="K21" s="122">
        <v>904239800001</v>
      </c>
      <c r="L21" s="123" t="s">
        <v>275</v>
      </c>
      <c r="M21" s="119">
        <v>2022</v>
      </c>
      <c r="N21" s="119" t="s">
        <v>220</v>
      </c>
      <c r="O21" s="99">
        <v>6</v>
      </c>
      <c r="P21" s="116">
        <v>1</v>
      </c>
      <c r="Q21" s="116">
        <v>6</v>
      </c>
      <c r="R21" s="116">
        <v>1000</v>
      </c>
      <c r="S21" s="124"/>
      <c r="T21" s="103"/>
      <c r="U21" s="103"/>
      <c r="V21" s="125">
        <v>166.66</v>
      </c>
      <c r="W21" s="105" t="s">
        <v>249</v>
      </c>
    </row>
    <row r="22" spans="1:23" ht="15.75" customHeight="1">
      <c r="A22" s="121" t="s">
        <v>289</v>
      </c>
      <c r="B22" s="121" t="s">
        <v>290</v>
      </c>
      <c r="C22" s="119" t="s">
        <v>51</v>
      </c>
      <c r="D22" s="119" t="s">
        <v>291</v>
      </c>
      <c r="E22" s="119">
        <v>13</v>
      </c>
      <c r="F22" s="119">
        <v>11</v>
      </c>
      <c r="G22" s="119" t="s">
        <v>292</v>
      </c>
      <c r="H22" s="120" t="s">
        <v>293</v>
      </c>
      <c r="I22" s="120" t="s">
        <v>294</v>
      </c>
      <c r="J22" s="121" t="s">
        <v>295</v>
      </c>
      <c r="K22" s="122">
        <v>894903400001</v>
      </c>
      <c r="L22" s="123" t="s">
        <v>296</v>
      </c>
      <c r="M22" s="119">
        <v>2022</v>
      </c>
      <c r="N22" s="119" t="s">
        <v>248</v>
      </c>
      <c r="O22" s="99">
        <v>6</v>
      </c>
      <c r="P22" s="116">
        <v>1</v>
      </c>
      <c r="Q22" s="116">
        <v>6</v>
      </c>
      <c r="R22" s="116">
        <v>1500</v>
      </c>
      <c r="S22" s="124"/>
      <c r="T22" s="103"/>
      <c r="U22" s="103"/>
      <c r="V22" s="125">
        <v>250</v>
      </c>
      <c r="W22" s="105" t="s">
        <v>249</v>
      </c>
    </row>
    <row r="23" spans="1:23" ht="15.75" customHeight="1">
      <c r="A23" s="121" t="s">
        <v>297</v>
      </c>
      <c r="B23" s="121" t="s">
        <v>298</v>
      </c>
      <c r="C23" s="119" t="s">
        <v>51</v>
      </c>
      <c r="D23" s="119" t="s">
        <v>299</v>
      </c>
      <c r="E23" s="119">
        <v>13</v>
      </c>
      <c r="F23" s="119"/>
      <c r="G23" s="119" t="s">
        <v>300</v>
      </c>
      <c r="H23" s="120" t="s">
        <v>301</v>
      </c>
      <c r="I23" s="120" t="s">
        <v>302</v>
      </c>
      <c r="J23" s="121" t="s">
        <v>303</v>
      </c>
      <c r="K23" s="122">
        <v>892702000001</v>
      </c>
      <c r="L23" s="123" t="s">
        <v>304</v>
      </c>
      <c r="M23" s="119">
        <v>2022</v>
      </c>
      <c r="N23" s="119" t="s">
        <v>248</v>
      </c>
      <c r="O23" s="99">
        <v>1</v>
      </c>
      <c r="P23" s="116">
        <v>1</v>
      </c>
      <c r="Q23" s="116">
        <v>5</v>
      </c>
      <c r="R23" s="116">
        <v>1500</v>
      </c>
      <c r="S23" s="124"/>
      <c r="T23" s="103"/>
      <c r="U23" s="103"/>
      <c r="V23" s="125">
        <v>1500</v>
      </c>
      <c r="W23" s="105" t="s">
        <v>249</v>
      </c>
    </row>
    <row r="24" spans="1:23" ht="15.75" customHeight="1">
      <c r="A24" s="121" t="s">
        <v>305</v>
      </c>
      <c r="B24" s="121" t="s">
        <v>306</v>
      </c>
      <c r="C24" s="119" t="s">
        <v>51</v>
      </c>
      <c r="D24" s="119" t="s">
        <v>307</v>
      </c>
      <c r="E24" s="119">
        <v>17</v>
      </c>
      <c r="F24" s="119">
        <v>5</v>
      </c>
      <c r="G24" s="119" t="s">
        <v>308</v>
      </c>
      <c r="H24" s="120" t="s">
        <v>309</v>
      </c>
      <c r="I24" s="120" t="s">
        <v>310</v>
      </c>
      <c r="J24" s="121" t="s">
        <v>311</v>
      </c>
      <c r="K24" s="122">
        <v>869482700004</v>
      </c>
      <c r="L24" s="123" t="s">
        <v>269</v>
      </c>
      <c r="M24" s="119">
        <v>2022</v>
      </c>
      <c r="N24" s="119" t="s">
        <v>312</v>
      </c>
      <c r="O24" s="99">
        <v>3</v>
      </c>
      <c r="P24" s="116">
        <v>2</v>
      </c>
      <c r="Q24" s="116">
        <v>3</v>
      </c>
      <c r="R24" s="116">
        <v>500</v>
      </c>
      <c r="S24" s="124"/>
      <c r="T24" s="103"/>
      <c r="U24" s="103"/>
      <c r="V24" s="125">
        <v>250</v>
      </c>
      <c r="W24" s="105" t="s">
        <v>249</v>
      </c>
    </row>
    <row r="25" spans="1:23" ht="15.75" customHeight="1">
      <c r="A25" s="121" t="s">
        <v>313</v>
      </c>
      <c r="B25" s="121" t="s">
        <v>314</v>
      </c>
      <c r="C25" s="119" t="s">
        <v>51</v>
      </c>
      <c r="D25" s="119" t="s">
        <v>315</v>
      </c>
      <c r="E25" s="119">
        <v>13</v>
      </c>
      <c r="F25" s="119">
        <v>9</v>
      </c>
      <c r="G25" s="119" t="s">
        <v>316</v>
      </c>
      <c r="H25" s="120" t="s">
        <v>317</v>
      </c>
      <c r="I25" s="120" t="s">
        <v>318</v>
      </c>
      <c r="J25" s="121" t="s">
        <v>319</v>
      </c>
      <c r="K25" s="122">
        <v>858039400001</v>
      </c>
      <c r="L25" s="123" t="s">
        <v>304</v>
      </c>
      <c r="M25" s="119">
        <v>2022</v>
      </c>
      <c r="N25" s="119" t="s">
        <v>312</v>
      </c>
      <c r="O25" s="99">
        <v>7</v>
      </c>
      <c r="P25" s="116">
        <v>1</v>
      </c>
      <c r="Q25" s="116">
        <v>7</v>
      </c>
      <c r="R25" s="116">
        <v>500</v>
      </c>
      <c r="S25" s="124"/>
      <c r="T25" s="103"/>
      <c r="U25" s="103"/>
      <c r="V25" s="125">
        <v>71.42</v>
      </c>
      <c r="W25" s="105" t="s">
        <v>249</v>
      </c>
    </row>
    <row r="26" spans="1:23" ht="15.75" customHeight="1">
      <c r="A26" s="121" t="s">
        <v>320</v>
      </c>
      <c r="B26" s="121" t="s">
        <v>321</v>
      </c>
      <c r="C26" s="119" t="s">
        <v>51</v>
      </c>
      <c r="D26" s="119" t="s">
        <v>322</v>
      </c>
      <c r="E26" s="119">
        <v>68</v>
      </c>
      <c r="F26" s="119">
        <v>3</v>
      </c>
      <c r="G26" s="119" t="s">
        <v>323</v>
      </c>
      <c r="H26" s="120" t="s">
        <v>324</v>
      </c>
      <c r="I26" s="120" t="s">
        <v>325</v>
      </c>
      <c r="J26" s="121" t="s">
        <v>326</v>
      </c>
      <c r="K26" s="122">
        <v>913381000020</v>
      </c>
      <c r="L26" s="123" t="s">
        <v>327</v>
      </c>
      <c r="M26" s="119">
        <v>2022</v>
      </c>
      <c r="N26" s="119"/>
      <c r="O26" s="99">
        <v>1</v>
      </c>
      <c r="P26" s="116">
        <v>1</v>
      </c>
      <c r="Q26" s="116">
        <v>4</v>
      </c>
      <c r="R26" s="116">
        <v>300</v>
      </c>
      <c r="S26" s="124"/>
      <c r="T26" s="103"/>
      <c r="U26" s="103"/>
      <c r="V26" s="125">
        <v>300</v>
      </c>
      <c r="W26" s="105" t="s">
        <v>249</v>
      </c>
    </row>
    <row r="27" spans="1:23" ht="15.75" customHeight="1">
      <c r="A27" s="121" t="s">
        <v>328</v>
      </c>
      <c r="B27" s="121" t="s">
        <v>329</v>
      </c>
      <c r="C27" s="119" t="s">
        <v>51</v>
      </c>
      <c r="D27" s="119" t="s">
        <v>322</v>
      </c>
      <c r="E27" s="119">
        <v>68</v>
      </c>
      <c r="F27" s="119">
        <v>3</v>
      </c>
      <c r="G27" s="119" t="s">
        <v>323</v>
      </c>
      <c r="H27" s="120" t="s">
        <v>330</v>
      </c>
      <c r="I27" s="120" t="s">
        <v>331</v>
      </c>
      <c r="J27" s="121" t="s">
        <v>332</v>
      </c>
      <c r="K27" s="122">
        <v>907185300001</v>
      </c>
      <c r="L27" s="123" t="s">
        <v>333</v>
      </c>
      <c r="M27" s="119">
        <v>2022</v>
      </c>
      <c r="N27" s="119"/>
      <c r="O27" s="99">
        <v>3</v>
      </c>
      <c r="P27" s="116">
        <v>1</v>
      </c>
      <c r="Q27" s="116">
        <v>4</v>
      </c>
      <c r="R27" s="116">
        <v>300</v>
      </c>
      <c r="S27" s="124"/>
      <c r="T27" s="103"/>
      <c r="U27" s="103"/>
      <c r="V27" s="125">
        <v>100</v>
      </c>
      <c r="W27" s="105" t="s">
        <v>249</v>
      </c>
    </row>
    <row r="28" spans="1:23" ht="15.75" customHeight="1">
      <c r="A28" s="121" t="s">
        <v>334</v>
      </c>
      <c r="B28" s="121" t="s">
        <v>335</v>
      </c>
      <c r="C28" s="119" t="s">
        <v>51</v>
      </c>
      <c r="D28" s="119" t="s">
        <v>214</v>
      </c>
      <c r="E28" s="119">
        <v>14</v>
      </c>
      <c r="F28" s="119">
        <v>14</v>
      </c>
      <c r="G28" s="119" t="s">
        <v>336</v>
      </c>
      <c r="H28" s="120" t="s">
        <v>337</v>
      </c>
      <c r="I28" s="120" t="s">
        <v>338</v>
      </c>
      <c r="J28" s="121" t="s">
        <v>339</v>
      </c>
      <c r="K28" s="122">
        <v>831967800001</v>
      </c>
      <c r="L28" s="123" t="s">
        <v>340</v>
      </c>
      <c r="M28" s="119">
        <v>2022</v>
      </c>
      <c r="N28" s="119"/>
      <c r="O28" s="99">
        <v>1</v>
      </c>
      <c r="P28" s="116">
        <v>1</v>
      </c>
      <c r="Q28" s="116">
        <v>4</v>
      </c>
      <c r="R28" s="116">
        <v>300</v>
      </c>
      <c r="S28" s="124"/>
      <c r="T28" s="103"/>
      <c r="U28" s="103"/>
      <c r="V28" s="125">
        <v>300</v>
      </c>
      <c r="W28" s="105" t="s">
        <v>249</v>
      </c>
    </row>
    <row r="29" spans="1:23" ht="15.75" customHeight="1">
      <c r="A29" s="121" t="s">
        <v>341</v>
      </c>
      <c r="B29" s="121" t="s">
        <v>342</v>
      </c>
      <c r="C29" s="119" t="s">
        <v>51</v>
      </c>
      <c r="D29" s="119" t="s">
        <v>214</v>
      </c>
      <c r="E29" s="119">
        <v>14</v>
      </c>
      <c r="F29" s="119">
        <v>9</v>
      </c>
      <c r="G29" s="119" t="str">
        <f>$G$26</f>
        <v>2068-2239</v>
      </c>
      <c r="H29" s="120" t="s">
        <v>343</v>
      </c>
      <c r="I29" s="120" t="s">
        <v>344</v>
      </c>
      <c r="J29" s="121" t="s">
        <v>345</v>
      </c>
      <c r="K29" s="122">
        <v>795272300001</v>
      </c>
      <c r="L29" s="123" t="s">
        <v>257</v>
      </c>
      <c r="M29" s="119">
        <v>2022</v>
      </c>
      <c r="N29" s="119" t="s">
        <v>220</v>
      </c>
      <c r="O29" s="99">
        <v>1</v>
      </c>
      <c r="P29" s="116">
        <v>1</v>
      </c>
      <c r="Q29" s="116">
        <v>4</v>
      </c>
      <c r="R29" s="116">
        <v>1000</v>
      </c>
      <c r="S29" s="124"/>
      <c r="T29" s="103"/>
      <c r="U29" s="103"/>
      <c r="V29" s="125">
        <v>1000</v>
      </c>
      <c r="W29" s="105" t="s">
        <v>249</v>
      </c>
    </row>
    <row r="30" spans="1:23" ht="15.75" customHeight="1">
      <c r="A30" s="121" t="s">
        <v>346</v>
      </c>
      <c r="B30" s="121" t="s">
        <v>347</v>
      </c>
      <c r="C30" s="119" t="s">
        <v>51</v>
      </c>
      <c r="D30" s="119" t="s">
        <v>214</v>
      </c>
      <c r="E30" s="119">
        <v>14</v>
      </c>
      <c r="F30" s="119">
        <v>1</v>
      </c>
      <c r="G30" s="119" t="str">
        <f>$G$27</f>
        <v>2068-2239</v>
      </c>
      <c r="H30" s="120" t="s">
        <v>348</v>
      </c>
      <c r="I30" s="120" t="s">
        <v>349</v>
      </c>
      <c r="J30" s="121" t="s">
        <v>350</v>
      </c>
      <c r="K30" s="122">
        <v>743124200001</v>
      </c>
      <c r="L30" s="123" t="s">
        <v>304</v>
      </c>
      <c r="M30" s="119">
        <v>2022</v>
      </c>
      <c r="N30" s="119" t="s">
        <v>220</v>
      </c>
      <c r="O30" s="99">
        <v>2</v>
      </c>
      <c r="P30" s="116">
        <v>1</v>
      </c>
      <c r="Q30" s="116">
        <v>3</v>
      </c>
      <c r="R30" s="116">
        <v>1000</v>
      </c>
      <c r="S30" s="124"/>
      <c r="T30" s="103"/>
      <c r="U30" s="103"/>
      <c r="V30" s="125">
        <v>500</v>
      </c>
      <c r="W30" s="105" t="s">
        <v>249</v>
      </c>
    </row>
    <row r="31" spans="1:23" ht="15.75" customHeight="1">
      <c r="A31" s="90" t="s">
        <v>351</v>
      </c>
      <c r="B31" s="91" t="s">
        <v>352</v>
      </c>
      <c r="C31" s="92" t="s">
        <v>51</v>
      </c>
      <c r="D31" s="92" t="s">
        <v>353</v>
      </c>
      <c r="E31" s="93">
        <v>12</v>
      </c>
      <c r="F31" s="94">
        <v>17</v>
      </c>
      <c r="G31" s="92" t="s">
        <v>235</v>
      </c>
      <c r="H31" s="96" t="s">
        <v>354</v>
      </c>
      <c r="I31" s="96" t="s">
        <v>355</v>
      </c>
      <c r="J31" s="127" t="s">
        <v>356</v>
      </c>
      <c r="K31" s="97" t="s">
        <v>357</v>
      </c>
      <c r="L31" s="98" t="s">
        <v>358</v>
      </c>
      <c r="M31" s="99">
        <v>2022</v>
      </c>
      <c r="N31" s="99" t="s">
        <v>220</v>
      </c>
      <c r="O31" s="99">
        <v>2</v>
      </c>
      <c r="P31" s="116">
        <v>1</v>
      </c>
      <c r="Q31" s="116">
        <v>2</v>
      </c>
      <c r="R31" s="128">
        <v>1000</v>
      </c>
      <c r="S31" s="102"/>
      <c r="T31" s="103"/>
      <c r="U31" s="103"/>
      <c r="V31" s="129">
        <v>500</v>
      </c>
      <c r="W31" s="105" t="s">
        <v>359</v>
      </c>
    </row>
    <row r="32" spans="1:23" ht="15.75" customHeight="1">
      <c r="A32" s="90" t="s">
        <v>360</v>
      </c>
      <c r="B32" s="91" t="s">
        <v>361</v>
      </c>
      <c r="C32" s="92" t="s">
        <v>51</v>
      </c>
      <c r="D32" s="92" t="s">
        <v>362</v>
      </c>
      <c r="E32" s="92">
        <v>14</v>
      </c>
      <c r="F32" s="92">
        <v>14</v>
      </c>
      <c r="G32" s="92" t="s">
        <v>336</v>
      </c>
      <c r="H32" s="130" t="s">
        <v>363</v>
      </c>
      <c r="I32" s="130" t="s">
        <v>364</v>
      </c>
      <c r="J32" s="131" t="s">
        <v>365</v>
      </c>
      <c r="K32" s="91" t="s">
        <v>366</v>
      </c>
      <c r="L32" s="115" t="s">
        <v>263</v>
      </c>
      <c r="M32" s="99">
        <v>2022</v>
      </c>
      <c r="N32" s="99" t="s">
        <v>220</v>
      </c>
      <c r="O32" s="99">
        <v>4</v>
      </c>
      <c r="P32" s="116">
        <v>1</v>
      </c>
      <c r="Q32" s="116">
        <v>5</v>
      </c>
      <c r="R32" s="132">
        <v>1000</v>
      </c>
      <c r="S32" s="117"/>
      <c r="T32" s="103"/>
      <c r="U32" s="103"/>
      <c r="V32" s="129">
        <v>250</v>
      </c>
      <c r="W32" s="105" t="s">
        <v>359</v>
      </c>
    </row>
    <row r="33" spans="1:23" ht="15.75" customHeight="1">
      <c r="A33" s="121" t="s">
        <v>367</v>
      </c>
      <c r="B33" s="99" t="s">
        <v>368</v>
      </c>
      <c r="C33" s="99" t="s">
        <v>51</v>
      </c>
      <c r="D33" s="99"/>
      <c r="E33" s="99"/>
      <c r="F33" s="99"/>
      <c r="G33" s="99"/>
      <c r="H33" s="130" t="s">
        <v>369</v>
      </c>
      <c r="I33" s="133"/>
      <c r="J33" s="133" t="s">
        <v>370</v>
      </c>
      <c r="K33" s="134"/>
      <c r="L33" s="135" t="s">
        <v>371</v>
      </c>
      <c r="M33" s="99">
        <v>2022</v>
      </c>
      <c r="N33" s="99"/>
      <c r="O33" s="99">
        <v>2</v>
      </c>
      <c r="P33" s="116">
        <v>1</v>
      </c>
      <c r="Q33" s="116">
        <v>2</v>
      </c>
      <c r="R33" s="132">
        <v>200</v>
      </c>
      <c r="S33" s="136" t="s">
        <v>372</v>
      </c>
      <c r="T33" s="137" t="s">
        <v>373</v>
      </c>
      <c r="U33" s="138" t="s">
        <v>374</v>
      </c>
      <c r="V33" s="129">
        <v>100</v>
      </c>
      <c r="W33" s="105" t="s">
        <v>359</v>
      </c>
    </row>
    <row r="34" spans="1:23" ht="15.75" customHeight="1">
      <c r="A34" s="90" t="s">
        <v>375</v>
      </c>
      <c r="B34" s="91" t="s">
        <v>376</v>
      </c>
      <c r="C34" s="92" t="s">
        <v>51</v>
      </c>
      <c r="D34" s="92" t="s">
        <v>377</v>
      </c>
      <c r="E34" s="93" t="s">
        <v>378</v>
      </c>
      <c r="F34" s="94">
        <v>2475</v>
      </c>
      <c r="G34" s="92" t="s">
        <v>379</v>
      </c>
      <c r="H34" s="96" t="s">
        <v>380</v>
      </c>
      <c r="I34" s="96" t="s">
        <v>381</v>
      </c>
      <c r="J34" s="96" t="s">
        <v>382</v>
      </c>
      <c r="K34" s="97" t="s">
        <v>383</v>
      </c>
      <c r="L34" s="98"/>
      <c r="M34" s="99">
        <v>2022</v>
      </c>
      <c r="N34" s="99" t="s">
        <v>220</v>
      </c>
      <c r="O34" s="99">
        <v>7</v>
      </c>
      <c r="P34" s="100">
        <v>7</v>
      </c>
      <c r="Q34" s="100">
        <v>7</v>
      </c>
      <c r="R34" s="101">
        <v>1000</v>
      </c>
      <c r="S34" s="102"/>
      <c r="T34" s="103"/>
      <c r="U34" s="103"/>
      <c r="V34" s="104">
        <v>142.86000000000001</v>
      </c>
      <c r="W34" s="105" t="s">
        <v>384</v>
      </c>
    </row>
    <row r="35" spans="1:23" ht="15.75" customHeight="1">
      <c r="A35" s="90" t="s">
        <v>385</v>
      </c>
      <c r="B35" s="91" t="s">
        <v>386</v>
      </c>
      <c r="C35" s="92" t="s">
        <v>51</v>
      </c>
      <c r="D35" s="92" t="s">
        <v>387</v>
      </c>
      <c r="E35" s="92" t="s">
        <v>388</v>
      </c>
      <c r="F35" s="92">
        <v>6636</v>
      </c>
      <c r="G35" s="92" t="s">
        <v>379</v>
      </c>
      <c r="H35" s="130" t="s">
        <v>389</v>
      </c>
      <c r="I35" s="133" t="s">
        <v>237</v>
      </c>
      <c r="J35" s="131" t="s">
        <v>390</v>
      </c>
      <c r="K35" s="91" t="s">
        <v>239</v>
      </c>
      <c r="L35" s="115"/>
      <c r="M35" s="99">
        <v>2022</v>
      </c>
      <c r="N35" s="99" t="s">
        <v>220</v>
      </c>
      <c r="O35" s="99">
        <v>7</v>
      </c>
      <c r="P35" s="116">
        <v>7</v>
      </c>
      <c r="Q35" s="116">
        <v>8</v>
      </c>
      <c r="R35" s="132">
        <v>1000</v>
      </c>
      <c r="S35" s="117"/>
      <c r="T35" s="103"/>
      <c r="U35" s="103"/>
      <c r="V35" s="104">
        <v>142.86000000000001</v>
      </c>
      <c r="W35" s="105" t="s">
        <v>384</v>
      </c>
    </row>
    <row r="36" spans="1:23" ht="15.75" customHeight="1">
      <c r="A36" s="121" t="s">
        <v>391</v>
      </c>
      <c r="B36" s="99" t="s">
        <v>392</v>
      </c>
      <c r="C36" s="92" t="s">
        <v>51</v>
      </c>
      <c r="D36" s="99" t="s">
        <v>393</v>
      </c>
      <c r="E36" s="99" t="s">
        <v>394</v>
      </c>
      <c r="F36" s="99" t="s">
        <v>395</v>
      </c>
      <c r="G36" s="139" t="s">
        <v>226</v>
      </c>
      <c r="H36" s="133" t="s">
        <v>396</v>
      </c>
      <c r="I36" s="133" t="s">
        <v>397</v>
      </c>
      <c r="J36" s="133"/>
      <c r="K36" s="134"/>
      <c r="L36" s="135" t="s">
        <v>229</v>
      </c>
      <c r="M36" s="99">
        <v>2022</v>
      </c>
      <c r="N36" s="99" t="s">
        <v>398</v>
      </c>
      <c r="O36" s="99">
        <v>3</v>
      </c>
      <c r="P36" s="100">
        <v>3</v>
      </c>
      <c r="Q36" s="100">
        <v>4</v>
      </c>
      <c r="R36" s="140">
        <v>300</v>
      </c>
      <c r="S36" s="117"/>
      <c r="T36" s="103"/>
      <c r="U36" s="103"/>
      <c r="V36" s="104">
        <v>100</v>
      </c>
      <c r="W36" s="105" t="s">
        <v>384</v>
      </c>
    </row>
    <row r="37" spans="1:23" ht="15.75" customHeight="1">
      <c r="A37" s="90" t="s">
        <v>399</v>
      </c>
      <c r="B37" s="92" t="s">
        <v>400</v>
      </c>
      <c r="C37" s="92" t="s">
        <v>401</v>
      </c>
      <c r="D37" s="92" t="s">
        <v>402</v>
      </c>
      <c r="E37" s="93">
        <v>22</v>
      </c>
      <c r="F37" s="94">
        <v>1</v>
      </c>
      <c r="G37" s="92" t="s">
        <v>403</v>
      </c>
      <c r="H37" s="96" t="s">
        <v>404</v>
      </c>
      <c r="I37" s="96" t="s">
        <v>405</v>
      </c>
      <c r="J37" s="96" t="s">
        <v>406</v>
      </c>
      <c r="K37" s="94" t="s">
        <v>407</v>
      </c>
      <c r="L37" s="98" t="s">
        <v>408</v>
      </c>
      <c r="M37" s="99">
        <v>2022</v>
      </c>
      <c r="N37" s="99" t="s">
        <v>220</v>
      </c>
      <c r="O37" s="99">
        <v>6</v>
      </c>
      <c r="P37" s="116">
        <v>6</v>
      </c>
      <c r="Q37" s="116">
        <v>6</v>
      </c>
      <c r="R37" s="116">
        <v>1000</v>
      </c>
      <c r="S37" s="141"/>
      <c r="T37" s="141"/>
      <c r="U37" s="141"/>
      <c r="V37" s="114">
        <v>166.66</v>
      </c>
      <c r="W37" s="105" t="s">
        <v>409</v>
      </c>
    </row>
    <row r="38" spans="1:23" ht="15.75" customHeight="1">
      <c r="A38" s="90" t="s">
        <v>410</v>
      </c>
      <c r="B38" s="92" t="s">
        <v>411</v>
      </c>
      <c r="C38" s="92" t="s">
        <v>401</v>
      </c>
      <c r="D38" s="92" t="s">
        <v>412</v>
      </c>
      <c r="E38" s="93">
        <v>23</v>
      </c>
      <c r="F38" s="94">
        <v>2</v>
      </c>
      <c r="G38" s="92" t="s">
        <v>413</v>
      </c>
      <c r="H38" s="130" t="s">
        <v>414</v>
      </c>
      <c r="I38" s="96" t="s">
        <v>415</v>
      </c>
      <c r="J38" s="96" t="s">
        <v>416</v>
      </c>
      <c r="K38" s="94" t="s">
        <v>417</v>
      </c>
      <c r="L38" s="98" t="s">
        <v>418</v>
      </c>
      <c r="M38" s="99">
        <v>2022</v>
      </c>
      <c r="N38" s="99" t="s">
        <v>220</v>
      </c>
      <c r="O38" s="99">
        <v>4</v>
      </c>
      <c r="P38" s="116">
        <v>3</v>
      </c>
      <c r="Q38" s="116">
        <v>4</v>
      </c>
      <c r="R38" s="116">
        <v>1000</v>
      </c>
      <c r="S38" s="141"/>
      <c r="T38" s="141"/>
      <c r="U38" s="141"/>
      <c r="V38" s="114">
        <v>250</v>
      </c>
      <c r="W38" s="105" t="s">
        <v>409</v>
      </c>
    </row>
    <row r="39" spans="1:23" ht="15.75" customHeight="1">
      <c r="A39" s="90" t="s">
        <v>419</v>
      </c>
      <c r="B39" s="99" t="s">
        <v>420</v>
      </c>
      <c r="C39" s="99" t="s">
        <v>401</v>
      </c>
      <c r="D39" s="92" t="s">
        <v>421</v>
      </c>
      <c r="E39" s="99">
        <v>15</v>
      </c>
      <c r="F39" s="99">
        <v>8</v>
      </c>
      <c r="G39" s="92" t="s">
        <v>422</v>
      </c>
      <c r="H39" s="130" t="s">
        <v>423</v>
      </c>
      <c r="I39" s="130" t="s">
        <v>424</v>
      </c>
      <c r="J39" s="130" t="s">
        <v>425</v>
      </c>
      <c r="K39" s="99" t="s">
        <v>426</v>
      </c>
      <c r="L39" s="135" t="s">
        <v>418</v>
      </c>
      <c r="M39" s="99">
        <v>2022</v>
      </c>
      <c r="N39" s="99" t="s">
        <v>248</v>
      </c>
      <c r="O39" s="99">
        <v>3</v>
      </c>
      <c r="P39" s="99">
        <v>3</v>
      </c>
      <c r="Q39" s="99">
        <v>3</v>
      </c>
      <c r="R39" s="99">
        <v>1500</v>
      </c>
      <c r="S39" s="133"/>
      <c r="T39" s="133"/>
      <c r="U39" s="133"/>
      <c r="V39" s="114">
        <v>500</v>
      </c>
      <c r="W39" s="105" t="s">
        <v>409</v>
      </c>
    </row>
    <row r="40" spans="1:23" ht="15.75" customHeight="1">
      <c r="A40" s="121" t="s">
        <v>427</v>
      </c>
      <c r="B40" s="134" t="s">
        <v>428</v>
      </c>
      <c r="C40" s="99" t="s">
        <v>401</v>
      </c>
      <c r="D40" s="92" t="s">
        <v>421</v>
      </c>
      <c r="E40" s="99">
        <v>15</v>
      </c>
      <c r="F40" s="99">
        <v>8</v>
      </c>
      <c r="G40" s="92" t="s">
        <v>422</v>
      </c>
      <c r="H40" s="130" t="s">
        <v>429</v>
      </c>
      <c r="I40" s="142" t="s">
        <v>430</v>
      </c>
      <c r="J40" s="130" t="s">
        <v>431</v>
      </c>
      <c r="K40" s="134" t="s">
        <v>432</v>
      </c>
      <c r="L40" s="135" t="s">
        <v>418</v>
      </c>
      <c r="M40" s="99">
        <v>2022</v>
      </c>
      <c r="N40" s="99" t="s">
        <v>248</v>
      </c>
      <c r="O40" s="99">
        <v>1</v>
      </c>
      <c r="P40" s="116">
        <v>1</v>
      </c>
      <c r="Q40" s="116">
        <v>7</v>
      </c>
      <c r="R40" s="116">
        <v>1500</v>
      </c>
      <c r="S40" s="141"/>
      <c r="T40" s="141"/>
      <c r="U40" s="141"/>
      <c r="V40" s="114">
        <v>1500</v>
      </c>
      <c r="W40" s="105" t="s">
        <v>409</v>
      </c>
    </row>
    <row r="41" spans="1:23" ht="15.75" customHeight="1">
      <c r="A41" s="121" t="s">
        <v>433</v>
      </c>
      <c r="B41" s="134" t="s">
        <v>434</v>
      </c>
      <c r="C41" s="99" t="s">
        <v>401</v>
      </c>
      <c r="D41" s="92" t="s">
        <v>421</v>
      </c>
      <c r="E41" s="99">
        <v>15</v>
      </c>
      <c r="F41" s="99">
        <v>14</v>
      </c>
      <c r="G41" s="92" t="s">
        <v>422</v>
      </c>
      <c r="H41" s="130" t="s">
        <v>435</v>
      </c>
      <c r="I41" s="142" t="s">
        <v>436</v>
      </c>
      <c r="J41" s="130" t="s">
        <v>437</v>
      </c>
      <c r="K41" s="134" t="s">
        <v>438</v>
      </c>
      <c r="L41" s="135" t="s">
        <v>418</v>
      </c>
      <c r="M41" s="99">
        <v>2022</v>
      </c>
      <c r="N41" s="99" t="s">
        <v>248</v>
      </c>
      <c r="O41" s="99">
        <v>1</v>
      </c>
      <c r="P41" s="116">
        <v>1</v>
      </c>
      <c r="Q41" s="116">
        <v>5</v>
      </c>
      <c r="R41" s="116">
        <v>1500</v>
      </c>
      <c r="S41" s="141"/>
      <c r="T41" s="141"/>
      <c r="U41" s="141"/>
      <c r="V41" s="114">
        <v>1500</v>
      </c>
      <c r="W41" s="105" t="s">
        <v>409</v>
      </c>
    </row>
    <row r="42" spans="1:23" ht="15.75" customHeight="1">
      <c r="A42" s="121" t="s">
        <v>439</v>
      </c>
      <c r="B42" s="99" t="s">
        <v>440</v>
      </c>
      <c r="C42" s="99" t="s">
        <v>401</v>
      </c>
      <c r="D42" s="99" t="s">
        <v>214</v>
      </c>
      <c r="E42" s="99">
        <v>14</v>
      </c>
      <c r="F42" s="99">
        <v>14</v>
      </c>
      <c r="G42" s="99" t="s">
        <v>441</v>
      </c>
      <c r="H42" s="130" t="s">
        <v>442</v>
      </c>
      <c r="I42" s="130" t="s">
        <v>443</v>
      </c>
      <c r="J42" s="130" t="s">
        <v>444</v>
      </c>
      <c r="K42" s="134" t="s">
        <v>445</v>
      </c>
      <c r="L42" s="135" t="s">
        <v>446</v>
      </c>
      <c r="M42" s="99">
        <v>2022</v>
      </c>
      <c r="N42" s="99" t="s">
        <v>220</v>
      </c>
      <c r="O42" s="99">
        <v>2</v>
      </c>
      <c r="P42" s="116">
        <v>1</v>
      </c>
      <c r="Q42" s="116">
        <v>3</v>
      </c>
      <c r="R42" s="116">
        <v>1000</v>
      </c>
      <c r="S42" s="141"/>
      <c r="T42" s="141"/>
      <c r="U42" s="141"/>
      <c r="V42" s="114">
        <v>500</v>
      </c>
      <c r="W42" s="105" t="s">
        <v>409</v>
      </c>
    </row>
    <row r="43" spans="1:23" ht="15.75" customHeight="1">
      <c r="A43" s="121" t="s">
        <v>447</v>
      </c>
      <c r="B43" s="99" t="s">
        <v>448</v>
      </c>
      <c r="C43" s="99" t="s">
        <v>401</v>
      </c>
      <c r="D43" s="99" t="s">
        <v>421</v>
      </c>
      <c r="E43" s="99">
        <v>15</v>
      </c>
      <c r="F43" s="99">
        <v>19</v>
      </c>
      <c r="G43" s="92" t="s">
        <v>422</v>
      </c>
      <c r="H43" s="130" t="s">
        <v>449</v>
      </c>
      <c r="I43" s="142" t="s">
        <v>450</v>
      </c>
      <c r="J43" s="130" t="s">
        <v>451</v>
      </c>
      <c r="K43" s="99" t="s">
        <v>452</v>
      </c>
      <c r="L43" s="135" t="s">
        <v>453</v>
      </c>
      <c r="M43" s="99">
        <v>2022</v>
      </c>
      <c r="N43" s="99" t="s">
        <v>248</v>
      </c>
      <c r="O43" s="99">
        <v>1</v>
      </c>
      <c r="P43" s="99">
        <v>2</v>
      </c>
      <c r="Q43" s="99">
        <v>7</v>
      </c>
      <c r="R43" s="99">
        <v>1500</v>
      </c>
      <c r="S43" s="133"/>
      <c r="T43" s="133"/>
      <c r="U43" s="133"/>
      <c r="V43" s="114">
        <v>1500</v>
      </c>
      <c r="W43" s="105" t="s">
        <v>409</v>
      </c>
    </row>
    <row r="44" spans="1:23" ht="15.75" customHeight="1">
      <c r="A44" s="121" t="s">
        <v>454</v>
      </c>
      <c r="B44" s="99" t="s">
        <v>455</v>
      </c>
      <c r="C44" s="99" t="s">
        <v>401</v>
      </c>
      <c r="D44" s="99" t="s">
        <v>456</v>
      </c>
      <c r="E44" s="99">
        <v>13</v>
      </c>
      <c r="F44" s="99">
        <v>11</v>
      </c>
      <c r="G44" s="92" t="s">
        <v>457</v>
      </c>
      <c r="H44" s="130" t="s">
        <v>458</v>
      </c>
      <c r="I44" s="142" t="s">
        <v>459</v>
      </c>
      <c r="J44" s="130" t="s">
        <v>460</v>
      </c>
      <c r="K44" s="99" t="s">
        <v>461</v>
      </c>
      <c r="L44" s="135" t="s">
        <v>446</v>
      </c>
      <c r="M44" s="99">
        <v>2022</v>
      </c>
      <c r="N44" s="99" t="s">
        <v>220</v>
      </c>
      <c r="O44" s="99">
        <v>2</v>
      </c>
      <c r="P44" s="99">
        <v>2</v>
      </c>
      <c r="Q44" s="99">
        <v>10</v>
      </c>
      <c r="R44" s="99">
        <v>1000</v>
      </c>
      <c r="S44" s="133"/>
      <c r="T44" s="133"/>
      <c r="U44" s="133"/>
      <c r="V44" s="99">
        <v>500</v>
      </c>
      <c r="W44" s="105" t="s">
        <v>409</v>
      </c>
    </row>
    <row r="45" spans="1:23" ht="15.75" customHeight="1">
      <c r="A45" s="90" t="s">
        <v>462</v>
      </c>
      <c r="B45" s="91" t="s">
        <v>411</v>
      </c>
      <c r="C45" s="92" t="s">
        <v>401</v>
      </c>
      <c r="D45" s="92" t="s">
        <v>463</v>
      </c>
      <c r="E45" s="93">
        <v>23</v>
      </c>
      <c r="F45" s="94">
        <v>3</v>
      </c>
      <c r="G45" s="143" t="s">
        <v>413</v>
      </c>
      <c r="H45" s="133" t="s">
        <v>464</v>
      </c>
      <c r="I45" s="95" t="s">
        <v>415</v>
      </c>
      <c r="J45" s="127" t="s">
        <v>416</v>
      </c>
      <c r="K45" s="144" t="s">
        <v>417</v>
      </c>
      <c r="L45" s="98" t="s">
        <v>465</v>
      </c>
      <c r="M45" s="99">
        <v>2022</v>
      </c>
      <c r="N45" s="99" t="s">
        <v>220</v>
      </c>
      <c r="O45" s="99">
        <v>4</v>
      </c>
      <c r="P45" s="100">
        <v>3</v>
      </c>
      <c r="Q45" s="100">
        <v>4</v>
      </c>
      <c r="R45" s="100">
        <v>1000</v>
      </c>
      <c r="S45" s="102"/>
      <c r="T45" s="103"/>
      <c r="U45" s="103"/>
      <c r="V45" s="114">
        <v>250</v>
      </c>
      <c r="W45" s="105" t="s">
        <v>466</v>
      </c>
    </row>
    <row r="46" spans="1:23" ht="15.75" customHeight="1">
      <c r="A46" s="90" t="s">
        <v>467</v>
      </c>
      <c r="B46" s="91" t="s">
        <v>468</v>
      </c>
      <c r="C46" s="92" t="s">
        <v>51</v>
      </c>
      <c r="D46" s="92" t="s">
        <v>214</v>
      </c>
      <c r="E46" s="93">
        <v>14</v>
      </c>
      <c r="F46" s="94">
        <v>7985</v>
      </c>
      <c r="G46" s="92" t="s">
        <v>336</v>
      </c>
      <c r="H46" s="96" t="s">
        <v>469</v>
      </c>
      <c r="I46" s="96" t="s">
        <v>470</v>
      </c>
      <c r="J46" s="127" t="s">
        <v>471</v>
      </c>
      <c r="K46" s="97" t="s">
        <v>472</v>
      </c>
      <c r="L46" s="98"/>
      <c r="M46" s="99">
        <v>2022</v>
      </c>
      <c r="N46" s="99" t="s">
        <v>220</v>
      </c>
      <c r="O46" s="99">
        <v>2</v>
      </c>
      <c r="P46" s="100">
        <v>2</v>
      </c>
      <c r="Q46" s="100">
        <v>4</v>
      </c>
      <c r="R46" s="101">
        <v>1000</v>
      </c>
      <c r="S46" s="102"/>
      <c r="T46" s="103"/>
      <c r="U46" s="103"/>
      <c r="V46" s="104">
        <f>R46/P46</f>
        <v>500</v>
      </c>
      <c r="W46" s="105" t="s">
        <v>473</v>
      </c>
    </row>
    <row r="47" spans="1:23" ht="15.75" customHeight="1">
      <c r="A47" s="90" t="s">
        <v>474</v>
      </c>
      <c r="B47" s="91" t="s">
        <v>475</v>
      </c>
      <c r="C47" s="92" t="s">
        <v>51</v>
      </c>
      <c r="D47" s="92" t="s">
        <v>252</v>
      </c>
      <c r="E47" s="92">
        <v>19</v>
      </c>
      <c r="F47" s="92">
        <v>17</v>
      </c>
      <c r="G47" s="92" t="s">
        <v>476</v>
      </c>
      <c r="H47" s="145" t="s">
        <v>477</v>
      </c>
      <c r="I47" s="146" t="s">
        <v>478</v>
      </c>
      <c r="J47" s="138" t="s">
        <v>479</v>
      </c>
      <c r="K47" s="91" t="s">
        <v>480</v>
      </c>
      <c r="L47" s="147" t="s">
        <v>481</v>
      </c>
      <c r="M47" s="99">
        <v>2022</v>
      </c>
      <c r="N47" s="99" t="s">
        <v>248</v>
      </c>
      <c r="O47" s="99">
        <v>3</v>
      </c>
      <c r="P47" s="99">
        <v>3</v>
      </c>
      <c r="Q47" s="116">
        <v>3</v>
      </c>
      <c r="R47" s="116">
        <v>1500</v>
      </c>
      <c r="S47" s="141"/>
      <c r="T47" s="136"/>
      <c r="U47" s="103"/>
      <c r="V47" s="129">
        <f t="shared" ref="V47:V50" si="0">R47/O47</f>
        <v>500</v>
      </c>
      <c r="W47" s="105" t="s">
        <v>482</v>
      </c>
    </row>
    <row r="48" spans="1:23" ht="15.75" customHeight="1">
      <c r="A48" s="90" t="s">
        <v>483</v>
      </c>
      <c r="B48" s="91" t="s">
        <v>484</v>
      </c>
      <c r="C48" s="92" t="s">
        <v>51</v>
      </c>
      <c r="D48" s="92" t="s">
        <v>421</v>
      </c>
      <c r="E48" s="93">
        <v>15</v>
      </c>
      <c r="F48" s="94">
        <v>8</v>
      </c>
      <c r="G48" s="92" t="s">
        <v>485</v>
      </c>
      <c r="H48" s="96" t="s">
        <v>486</v>
      </c>
      <c r="I48" s="96" t="s">
        <v>424</v>
      </c>
      <c r="J48" s="96" t="s">
        <v>425</v>
      </c>
      <c r="K48" s="97" t="s">
        <v>426</v>
      </c>
      <c r="L48" s="98" t="s">
        <v>487</v>
      </c>
      <c r="M48" s="99">
        <v>2022</v>
      </c>
      <c r="N48" s="99" t="s">
        <v>248</v>
      </c>
      <c r="O48" s="99">
        <v>3</v>
      </c>
      <c r="P48" s="99">
        <v>3</v>
      </c>
      <c r="Q48" s="99">
        <v>3</v>
      </c>
      <c r="R48" s="116">
        <v>1500</v>
      </c>
      <c r="S48" s="102"/>
      <c r="T48" s="103"/>
      <c r="U48" s="103"/>
      <c r="V48" s="129">
        <f t="shared" si="0"/>
        <v>500</v>
      </c>
      <c r="W48" s="105" t="s">
        <v>488</v>
      </c>
    </row>
    <row r="49" spans="1:23" ht="15.75" customHeight="1">
      <c r="A49" s="90" t="s">
        <v>489</v>
      </c>
      <c r="B49" s="91" t="s">
        <v>490</v>
      </c>
      <c r="C49" s="92" t="s">
        <v>51</v>
      </c>
      <c r="D49" s="92" t="s">
        <v>491</v>
      </c>
      <c r="E49" s="92">
        <v>12</v>
      </c>
      <c r="F49" s="92">
        <v>13</v>
      </c>
      <c r="G49" s="92" t="s">
        <v>235</v>
      </c>
      <c r="H49" s="130" t="s">
        <v>492</v>
      </c>
      <c r="I49" s="130" t="s">
        <v>237</v>
      </c>
      <c r="J49" s="142" t="s">
        <v>390</v>
      </c>
      <c r="K49" s="91" t="s">
        <v>239</v>
      </c>
      <c r="L49" s="115" t="s">
        <v>493</v>
      </c>
      <c r="M49" s="99">
        <v>2022</v>
      </c>
      <c r="N49" s="99" t="s">
        <v>220</v>
      </c>
      <c r="O49" s="99">
        <v>8</v>
      </c>
      <c r="P49" s="99">
        <v>7</v>
      </c>
      <c r="Q49" s="99">
        <v>8</v>
      </c>
      <c r="R49" s="116">
        <v>1000</v>
      </c>
      <c r="S49" s="117"/>
      <c r="T49" s="103"/>
      <c r="U49" s="103"/>
      <c r="V49" s="129">
        <f t="shared" si="0"/>
        <v>125</v>
      </c>
      <c r="W49" s="105" t="s">
        <v>488</v>
      </c>
    </row>
    <row r="50" spans="1:23" ht="15.75" customHeight="1">
      <c r="A50" s="121" t="s">
        <v>494</v>
      </c>
      <c r="B50" s="133" t="s">
        <v>495</v>
      </c>
      <c r="C50" s="92" t="s">
        <v>51</v>
      </c>
      <c r="D50" s="99" t="s">
        <v>496</v>
      </c>
      <c r="E50" s="99">
        <v>22</v>
      </c>
      <c r="F50" s="99">
        <v>1</v>
      </c>
      <c r="G50" s="99" t="s">
        <v>403</v>
      </c>
      <c r="H50" s="130" t="s">
        <v>497</v>
      </c>
      <c r="I50" s="130" t="s">
        <v>405</v>
      </c>
      <c r="J50" s="130" t="s">
        <v>498</v>
      </c>
      <c r="K50" s="134" t="s">
        <v>407</v>
      </c>
      <c r="L50" s="135" t="s">
        <v>408</v>
      </c>
      <c r="M50" s="99">
        <v>2022</v>
      </c>
      <c r="N50" s="99" t="s">
        <v>220</v>
      </c>
      <c r="O50" s="99">
        <v>6</v>
      </c>
      <c r="P50" s="99">
        <v>6</v>
      </c>
      <c r="Q50" s="99">
        <v>6</v>
      </c>
      <c r="R50" s="116">
        <v>1000</v>
      </c>
      <c r="S50" s="117"/>
      <c r="T50" s="103"/>
      <c r="U50" s="103"/>
      <c r="V50" s="129">
        <f t="shared" si="0"/>
        <v>166.66666666666666</v>
      </c>
      <c r="W50" s="105" t="s">
        <v>488</v>
      </c>
    </row>
    <row r="51" spans="1:23" ht="15.75" customHeight="1">
      <c r="A51" s="90" t="s">
        <v>499</v>
      </c>
      <c r="B51" s="91" t="s">
        <v>500</v>
      </c>
      <c r="C51" s="92" t="s">
        <v>51</v>
      </c>
      <c r="D51" s="92" t="s">
        <v>501</v>
      </c>
      <c r="E51" s="93"/>
      <c r="F51" s="94"/>
      <c r="G51" s="92" t="s">
        <v>502</v>
      </c>
      <c r="H51" s="96" t="s">
        <v>503</v>
      </c>
      <c r="I51" s="96" t="s">
        <v>504</v>
      </c>
      <c r="J51" s="127" t="s">
        <v>505</v>
      </c>
      <c r="K51" s="97"/>
      <c r="L51" s="98"/>
      <c r="M51" s="99">
        <v>2022</v>
      </c>
      <c r="N51" s="99" t="s">
        <v>506</v>
      </c>
      <c r="O51" s="99">
        <v>4</v>
      </c>
      <c r="P51" s="100">
        <v>4</v>
      </c>
      <c r="Q51" s="100">
        <v>5</v>
      </c>
      <c r="R51" s="101">
        <v>200</v>
      </c>
      <c r="S51" s="102" t="s">
        <v>507</v>
      </c>
      <c r="T51" s="137" t="s">
        <v>508</v>
      </c>
      <c r="U51" s="137" t="s">
        <v>509</v>
      </c>
      <c r="V51" s="129">
        <f t="shared" ref="V51:V54" si="1">R51/P51</f>
        <v>50</v>
      </c>
      <c r="W51" s="105" t="s">
        <v>510</v>
      </c>
    </row>
    <row r="52" spans="1:23" ht="15.75" customHeight="1">
      <c r="A52" s="90" t="s">
        <v>511</v>
      </c>
      <c r="B52" s="91" t="s">
        <v>512</v>
      </c>
      <c r="C52" s="92" t="s">
        <v>51</v>
      </c>
      <c r="D52" s="92" t="s">
        <v>496</v>
      </c>
      <c r="E52" s="93">
        <v>22</v>
      </c>
      <c r="F52" s="94">
        <v>2</v>
      </c>
      <c r="G52" s="92" t="s">
        <v>403</v>
      </c>
      <c r="H52" s="96" t="s">
        <v>513</v>
      </c>
      <c r="I52" s="96" t="s">
        <v>514</v>
      </c>
      <c r="J52" s="127" t="s">
        <v>515</v>
      </c>
      <c r="K52" s="97" t="s">
        <v>516</v>
      </c>
      <c r="L52" s="98" t="s">
        <v>517</v>
      </c>
      <c r="M52" s="99">
        <v>2022</v>
      </c>
      <c r="N52" s="99" t="s">
        <v>248</v>
      </c>
      <c r="O52" s="99">
        <v>3</v>
      </c>
      <c r="P52" s="100">
        <v>3</v>
      </c>
      <c r="Q52" s="100">
        <v>3</v>
      </c>
      <c r="R52" s="101">
        <v>1500</v>
      </c>
      <c r="S52" s="102"/>
      <c r="T52" s="103"/>
      <c r="U52" s="103"/>
      <c r="V52" s="104">
        <f t="shared" si="1"/>
        <v>500</v>
      </c>
      <c r="W52" s="105" t="s">
        <v>518</v>
      </c>
    </row>
    <row r="53" spans="1:23" ht="15.75" customHeight="1">
      <c r="A53" s="90" t="s">
        <v>519</v>
      </c>
      <c r="B53" s="91" t="s">
        <v>520</v>
      </c>
      <c r="C53" s="92" t="s">
        <v>51</v>
      </c>
      <c r="D53" s="92" t="s">
        <v>521</v>
      </c>
      <c r="E53" s="92">
        <v>10</v>
      </c>
      <c r="F53" s="92">
        <v>15</v>
      </c>
      <c r="G53" s="92" t="s">
        <v>522</v>
      </c>
      <c r="H53" s="130" t="s">
        <v>523</v>
      </c>
      <c r="I53" s="130" t="s">
        <v>524</v>
      </c>
      <c r="J53" s="131" t="s">
        <v>525</v>
      </c>
      <c r="K53" s="91" t="s">
        <v>526</v>
      </c>
      <c r="L53" s="115" t="s">
        <v>527</v>
      </c>
      <c r="M53" s="99">
        <v>2022</v>
      </c>
      <c r="N53" s="99" t="s">
        <v>248</v>
      </c>
      <c r="O53" s="99">
        <v>5</v>
      </c>
      <c r="P53" s="116">
        <v>5</v>
      </c>
      <c r="Q53" s="116">
        <v>5</v>
      </c>
      <c r="R53" s="132">
        <v>1500</v>
      </c>
      <c r="S53" s="117"/>
      <c r="T53" s="103"/>
      <c r="U53" s="103"/>
      <c r="V53" s="104">
        <f t="shared" si="1"/>
        <v>300</v>
      </c>
      <c r="W53" s="105" t="s">
        <v>518</v>
      </c>
    </row>
    <row r="54" spans="1:23" ht="15.75" customHeight="1">
      <c r="A54" s="121" t="s">
        <v>528</v>
      </c>
      <c r="B54" s="99" t="s">
        <v>529</v>
      </c>
      <c r="C54" s="99" t="s">
        <v>51</v>
      </c>
      <c r="D54" s="99"/>
      <c r="E54" s="99"/>
      <c r="F54" s="99"/>
      <c r="G54" s="99"/>
      <c r="H54" s="130" t="s">
        <v>530</v>
      </c>
      <c r="I54" s="130" t="s">
        <v>531</v>
      </c>
      <c r="J54" s="133" t="s">
        <v>532</v>
      </c>
      <c r="K54" s="134" t="s">
        <v>533</v>
      </c>
      <c r="L54" s="135" t="s">
        <v>534</v>
      </c>
      <c r="M54" s="99">
        <v>2021</v>
      </c>
      <c r="N54" s="99"/>
      <c r="O54" s="99">
        <v>3</v>
      </c>
      <c r="P54" s="100">
        <v>3</v>
      </c>
      <c r="Q54" s="100">
        <v>6</v>
      </c>
      <c r="R54" s="140">
        <v>200</v>
      </c>
      <c r="S54" s="136" t="s">
        <v>535</v>
      </c>
      <c r="T54" s="138" t="s">
        <v>536</v>
      </c>
      <c r="U54" s="138" t="s">
        <v>537</v>
      </c>
      <c r="V54" s="104">
        <f t="shared" si="1"/>
        <v>66.666666666666671</v>
      </c>
      <c r="W54" s="105" t="s">
        <v>518</v>
      </c>
    </row>
    <row r="55" spans="1:23" ht="15.75" customHeight="1">
      <c r="A55" s="90" t="s">
        <v>538</v>
      </c>
      <c r="B55" s="91" t="s">
        <v>539</v>
      </c>
      <c r="C55" s="92" t="s">
        <v>51</v>
      </c>
      <c r="D55" s="92" t="s">
        <v>421</v>
      </c>
      <c r="E55" s="93">
        <v>15</v>
      </c>
      <c r="F55" s="94">
        <v>18</v>
      </c>
      <c r="G55" s="92" t="s">
        <v>485</v>
      </c>
      <c r="H55" s="148" t="s">
        <v>540</v>
      </c>
      <c r="I55" s="96" t="s">
        <v>541</v>
      </c>
      <c r="J55" s="127" t="s">
        <v>542</v>
      </c>
      <c r="K55" s="97" t="s">
        <v>543</v>
      </c>
      <c r="L55" s="98"/>
      <c r="M55" s="99">
        <v>2022</v>
      </c>
      <c r="N55" s="99" t="s">
        <v>544</v>
      </c>
      <c r="O55" s="99">
        <v>2</v>
      </c>
      <c r="P55" s="99">
        <v>2</v>
      </c>
      <c r="Q55" s="116">
        <v>2</v>
      </c>
      <c r="R55" s="116">
        <v>1500</v>
      </c>
      <c r="S55" s="149"/>
      <c r="T55" s="117"/>
      <c r="U55" s="103"/>
      <c r="V55" s="129">
        <v>750</v>
      </c>
      <c r="W55" s="105" t="s">
        <v>545</v>
      </c>
    </row>
    <row r="56" spans="1:23" ht="15.75" customHeight="1">
      <c r="A56" s="90" t="s">
        <v>399</v>
      </c>
      <c r="B56" s="92" t="s">
        <v>400</v>
      </c>
      <c r="C56" s="92" t="s">
        <v>401</v>
      </c>
      <c r="D56" s="92" t="s">
        <v>402</v>
      </c>
      <c r="E56" s="93">
        <v>22</v>
      </c>
      <c r="F56" s="94">
        <v>1</v>
      </c>
      <c r="G56" s="92" t="s">
        <v>403</v>
      </c>
      <c r="H56" s="96" t="s">
        <v>404</v>
      </c>
      <c r="I56" s="96" t="s">
        <v>405</v>
      </c>
      <c r="J56" s="96" t="s">
        <v>406</v>
      </c>
      <c r="K56" s="94" t="s">
        <v>407</v>
      </c>
      <c r="L56" s="98" t="s">
        <v>408</v>
      </c>
      <c r="M56" s="99">
        <v>2022</v>
      </c>
      <c r="N56" s="99" t="s">
        <v>220</v>
      </c>
      <c r="O56" s="99">
        <v>6</v>
      </c>
      <c r="P56" s="116">
        <v>6</v>
      </c>
      <c r="Q56" s="116">
        <v>6</v>
      </c>
      <c r="R56" s="116">
        <v>1000</v>
      </c>
      <c r="S56" s="141"/>
      <c r="T56" s="141"/>
      <c r="U56" s="141"/>
      <c r="V56" s="114">
        <v>166.66</v>
      </c>
      <c r="W56" s="105" t="s">
        <v>546</v>
      </c>
    </row>
    <row r="57" spans="1:23" ht="15.75" customHeight="1">
      <c r="A57" s="90" t="s">
        <v>410</v>
      </c>
      <c r="B57" s="92" t="s">
        <v>411</v>
      </c>
      <c r="C57" s="92" t="s">
        <v>401</v>
      </c>
      <c r="D57" s="92" t="s">
        <v>412</v>
      </c>
      <c r="E57" s="93">
        <v>23</v>
      </c>
      <c r="F57" s="94">
        <v>2</v>
      </c>
      <c r="G57" s="92" t="s">
        <v>413</v>
      </c>
      <c r="H57" s="130" t="s">
        <v>414</v>
      </c>
      <c r="I57" s="96" t="s">
        <v>415</v>
      </c>
      <c r="J57" s="96" t="s">
        <v>416</v>
      </c>
      <c r="K57" s="94" t="s">
        <v>417</v>
      </c>
      <c r="L57" s="98" t="s">
        <v>418</v>
      </c>
      <c r="M57" s="99">
        <v>2022</v>
      </c>
      <c r="N57" s="99" t="s">
        <v>220</v>
      </c>
      <c r="O57" s="99">
        <v>4</v>
      </c>
      <c r="P57" s="116">
        <v>3</v>
      </c>
      <c r="Q57" s="116">
        <v>4</v>
      </c>
      <c r="R57" s="116">
        <v>1000</v>
      </c>
      <c r="S57" s="141"/>
      <c r="T57" s="141"/>
      <c r="U57" s="141"/>
      <c r="V57" s="114">
        <v>250</v>
      </c>
      <c r="W57" s="105" t="s">
        <v>546</v>
      </c>
    </row>
    <row r="58" spans="1:23" ht="15.75" customHeight="1">
      <c r="A58" s="90" t="s">
        <v>474</v>
      </c>
      <c r="B58" s="91" t="s">
        <v>475</v>
      </c>
      <c r="C58" s="92" t="s">
        <v>51</v>
      </c>
      <c r="D58" s="92" t="s">
        <v>252</v>
      </c>
      <c r="E58" s="92">
        <v>19</v>
      </c>
      <c r="F58" s="92">
        <v>17</v>
      </c>
      <c r="G58" s="92" t="s">
        <v>476</v>
      </c>
      <c r="H58" s="145" t="s">
        <v>477</v>
      </c>
      <c r="I58" s="146" t="s">
        <v>478</v>
      </c>
      <c r="J58" s="138" t="s">
        <v>479</v>
      </c>
      <c r="K58" s="91" t="s">
        <v>480</v>
      </c>
      <c r="L58" s="147" t="s">
        <v>481</v>
      </c>
      <c r="M58" s="99">
        <v>2022</v>
      </c>
      <c r="N58" s="99" t="s">
        <v>248</v>
      </c>
      <c r="O58" s="99">
        <v>3</v>
      </c>
      <c r="P58" s="99">
        <v>3</v>
      </c>
      <c r="Q58" s="116">
        <v>3</v>
      </c>
      <c r="R58" s="116">
        <v>1500</v>
      </c>
      <c r="S58" s="141"/>
      <c r="T58" s="136"/>
      <c r="U58" s="103"/>
      <c r="V58" s="129">
        <f t="shared" ref="V58:V59" si="2">R58/O58</f>
        <v>500</v>
      </c>
      <c r="W58" s="105" t="s">
        <v>547</v>
      </c>
    </row>
    <row r="59" spans="1:23" ht="15.75" customHeight="1">
      <c r="A59" s="90" t="s">
        <v>548</v>
      </c>
      <c r="B59" s="91" t="s">
        <v>549</v>
      </c>
      <c r="C59" s="92" t="s">
        <v>51</v>
      </c>
      <c r="D59" s="92" t="s">
        <v>214</v>
      </c>
      <c r="E59" s="92">
        <v>14</v>
      </c>
      <c r="F59" s="92" t="s">
        <v>550</v>
      </c>
      <c r="G59" s="92" t="s">
        <v>551</v>
      </c>
      <c r="H59" s="130" t="s">
        <v>552</v>
      </c>
      <c r="I59" s="130" t="s">
        <v>553</v>
      </c>
      <c r="J59" s="131" t="s">
        <v>554</v>
      </c>
      <c r="K59" s="91" t="s">
        <v>555</v>
      </c>
      <c r="L59" s="115" t="s">
        <v>556</v>
      </c>
      <c r="M59" s="99">
        <v>2022</v>
      </c>
      <c r="N59" s="99" t="s">
        <v>220</v>
      </c>
      <c r="O59" s="99">
        <v>4</v>
      </c>
      <c r="P59" s="116">
        <v>3</v>
      </c>
      <c r="Q59" s="116">
        <v>4</v>
      </c>
      <c r="R59" s="132">
        <v>1000</v>
      </c>
      <c r="S59" s="117"/>
      <c r="T59" s="103"/>
      <c r="U59" s="103"/>
      <c r="V59" s="129">
        <f t="shared" si="2"/>
        <v>250</v>
      </c>
      <c r="W59" s="105" t="s">
        <v>547</v>
      </c>
    </row>
    <row r="60" spans="1:23" ht="15.75" customHeight="1">
      <c r="A60" s="121" t="s">
        <v>399</v>
      </c>
      <c r="B60" s="134" t="s">
        <v>557</v>
      </c>
      <c r="C60" s="92" t="s">
        <v>51</v>
      </c>
      <c r="D60" s="99" t="s">
        <v>496</v>
      </c>
      <c r="E60" s="92">
        <v>22</v>
      </c>
      <c r="F60" s="99" t="s">
        <v>558</v>
      </c>
      <c r="G60" s="99" t="s">
        <v>559</v>
      </c>
      <c r="H60" s="150" t="s">
        <v>497</v>
      </c>
      <c r="I60" s="150" t="s">
        <v>560</v>
      </c>
      <c r="J60" s="150" t="s">
        <v>498</v>
      </c>
      <c r="K60" s="134" t="s">
        <v>407</v>
      </c>
      <c r="L60" s="135" t="s">
        <v>561</v>
      </c>
      <c r="M60" s="99">
        <v>2022</v>
      </c>
      <c r="N60" s="99" t="s">
        <v>562</v>
      </c>
      <c r="O60" s="99"/>
      <c r="P60" s="116">
        <v>6</v>
      </c>
      <c r="Q60" s="116">
        <v>6</v>
      </c>
      <c r="R60" s="116">
        <v>1000</v>
      </c>
      <c r="S60" s="136"/>
      <c r="T60" s="121"/>
      <c r="U60" s="121"/>
      <c r="V60" s="99">
        <v>166.66</v>
      </c>
      <c r="W60" s="105" t="s">
        <v>563</v>
      </c>
    </row>
    <row r="61" spans="1:23" ht="15.75" customHeight="1">
      <c r="A61" s="121" t="s">
        <v>375</v>
      </c>
      <c r="B61" s="134" t="s">
        <v>564</v>
      </c>
      <c r="C61" s="92" t="s">
        <v>51</v>
      </c>
      <c r="D61" s="99" t="s">
        <v>565</v>
      </c>
      <c r="E61" s="92">
        <v>12</v>
      </c>
      <c r="F61" s="92" t="s">
        <v>566</v>
      </c>
      <c r="G61" s="99" t="s">
        <v>567</v>
      </c>
      <c r="H61" s="150" t="s">
        <v>568</v>
      </c>
      <c r="I61" s="151" t="s">
        <v>569</v>
      </c>
      <c r="J61" s="133" t="s">
        <v>382</v>
      </c>
      <c r="K61" s="134" t="s">
        <v>570</v>
      </c>
      <c r="L61" s="115" t="s">
        <v>571</v>
      </c>
      <c r="M61" s="99">
        <v>2022</v>
      </c>
      <c r="N61" s="99" t="s">
        <v>562</v>
      </c>
      <c r="O61" s="99"/>
      <c r="P61" s="116">
        <v>7</v>
      </c>
      <c r="Q61" s="116">
        <v>7</v>
      </c>
      <c r="R61" s="128">
        <v>1000</v>
      </c>
      <c r="S61" s="152"/>
      <c r="T61" s="153"/>
      <c r="U61" s="153"/>
      <c r="V61" s="154">
        <v>142.86000000000001</v>
      </c>
      <c r="W61" s="105" t="s">
        <v>563</v>
      </c>
    </row>
    <row r="62" spans="1:23" ht="15.75" customHeight="1">
      <c r="A62" s="155" t="s">
        <v>572</v>
      </c>
      <c r="B62" s="156" t="s">
        <v>573</v>
      </c>
      <c r="C62" s="156" t="s">
        <v>51</v>
      </c>
      <c r="D62" s="157" t="s">
        <v>574</v>
      </c>
      <c r="E62" s="157">
        <v>26</v>
      </c>
      <c r="F62" s="157">
        <v>3</v>
      </c>
      <c r="G62" s="157" t="s">
        <v>575</v>
      </c>
      <c r="H62" s="158" t="s">
        <v>576</v>
      </c>
      <c r="I62" s="158" t="s">
        <v>577</v>
      </c>
      <c r="J62" s="159"/>
      <c r="K62" s="157" t="s">
        <v>578</v>
      </c>
      <c r="L62" s="160" t="s">
        <v>579</v>
      </c>
      <c r="M62" s="161">
        <v>2022</v>
      </c>
      <c r="N62" s="162" t="s">
        <v>398</v>
      </c>
      <c r="O62" s="162">
        <v>4</v>
      </c>
      <c r="P62" s="163">
        <v>4</v>
      </c>
      <c r="Q62" s="163">
        <v>4</v>
      </c>
      <c r="R62" s="164">
        <v>300</v>
      </c>
      <c r="S62" s="159"/>
      <c r="T62" s="165"/>
      <c r="U62" s="103"/>
      <c r="V62" s="166">
        <f>R62/4</f>
        <v>75</v>
      </c>
      <c r="W62" s="105" t="s">
        <v>580</v>
      </c>
    </row>
    <row r="63" spans="1:23" ht="15.75" customHeight="1">
      <c r="A63" s="167" t="s">
        <v>581</v>
      </c>
      <c r="B63" s="168" t="s">
        <v>582</v>
      </c>
      <c r="C63" s="168" t="s">
        <v>51</v>
      </c>
      <c r="D63" s="168" t="s">
        <v>583</v>
      </c>
      <c r="E63" s="168">
        <v>65</v>
      </c>
      <c r="F63" s="168" t="s">
        <v>584</v>
      </c>
      <c r="G63" s="168" t="s">
        <v>585</v>
      </c>
      <c r="H63" s="169" t="s">
        <v>586</v>
      </c>
      <c r="I63" s="169" t="s">
        <v>587</v>
      </c>
      <c r="J63" s="170" t="s">
        <v>588</v>
      </c>
      <c r="K63" s="171" t="s">
        <v>589</v>
      </c>
      <c r="L63" s="172" t="s">
        <v>590</v>
      </c>
      <c r="M63" s="168">
        <v>2022</v>
      </c>
      <c r="N63" s="168" t="s">
        <v>591</v>
      </c>
      <c r="O63" s="99">
        <v>3</v>
      </c>
      <c r="P63" s="116">
        <v>2</v>
      </c>
      <c r="Q63" s="116">
        <v>3</v>
      </c>
      <c r="R63" s="116">
        <v>300</v>
      </c>
      <c r="S63" s="102" t="s">
        <v>588</v>
      </c>
      <c r="T63" s="103" t="s">
        <v>588</v>
      </c>
      <c r="U63" s="103" t="s">
        <v>588</v>
      </c>
      <c r="V63" s="114">
        <f>300/3</f>
        <v>100</v>
      </c>
      <c r="W63" s="105" t="s">
        <v>592</v>
      </c>
    </row>
    <row r="64" spans="1:23" ht="15.75" customHeight="1">
      <c r="A64" s="167" t="s">
        <v>593</v>
      </c>
      <c r="B64" s="168" t="s">
        <v>594</v>
      </c>
      <c r="C64" s="168" t="s">
        <v>51</v>
      </c>
      <c r="D64" s="168" t="s">
        <v>583</v>
      </c>
      <c r="E64" s="168">
        <v>65</v>
      </c>
      <c r="F64" s="168" t="s">
        <v>584</v>
      </c>
      <c r="G64" s="168" t="s">
        <v>585</v>
      </c>
      <c r="H64" s="169" t="s">
        <v>595</v>
      </c>
      <c r="I64" s="169" t="s">
        <v>596</v>
      </c>
      <c r="J64" s="170" t="s">
        <v>588</v>
      </c>
      <c r="K64" s="171" t="s">
        <v>597</v>
      </c>
      <c r="L64" s="172" t="s">
        <v>598</v>
      </c>
      <c r="M64" s="168">
        <v>2022</v>
      </c>
      <c r="N64" s="168" t="s">
        <v>591</v>
      </c>
      <c r="O64" s="99">
        <v>4</v>
      </c>
      <c r="P64" s="116">
        <v>3</v>
      </c>
      <c r="Q64" s="116">
        <v>4</v>
      </c>
      <c r="R64" s="116">
        <v>300</v>
      </c>
      <c r="S64" s="102" t="s">
        <v>588</v>
      </c>
      <c r="T64" s="103" t="s">
        <v>588</v>
      </c>
      <c r="U64" s="103" t="s">
        <v>588</v>
      </c>
      <c r="V64" s="114">
        <f>300/4</f>
        <v>75</v>
      </c>
      <c r="W64" s="105" t="s">
        <v>592</v>
      </c>
    </row>
    <row r="65" spans="1:23" ht="15.75" customHeight="1">
      <c r="A65" s="173" t="s">
        <v>599</v>
      </c>
      <c r="B65" s="174" t="s">
        <v>600</v>
      </c>
      <c r="C65" s="175" t="s">
        <v>51</v>
      </c>
      <c r="D65" s="175" t="s">
        <v>601</v>
      </c>
      <c r="E65" s="175">
        <v>12</v>
      </c>
      <c r="F65" s="108">
        <v>9</v>
      </c>
      <c r="G65" s="175" t="s">
        <v>602</v>
      </c>
      <c r="H65" s="96" t="s">
        <v>603</v>
      </c>
      <c r="I65" s="96" t="s">
        <v>604</v>
      </c>
      <c r="J65" s="95" t="s">
        <v>605</v>
      </c>
      <c r="K65" s="176" t="s">
        <v>606</v>
      </c>
      <c r="L65" s="112" t="s">
        <v>607</v>
      </c>
      <c r="M65" s="108">
        <v>2022</v>
      </c>
      <c r="N65" s="108" t="s">
        <v>220</v>
      </c>
      <c r="O65" s="177">
        <v>2</v>
      </c>
      <c r="P65" s="178">
        <v>1</v>
      </c>
      <c r="Q65" s="178">
        <v>3</v>
      </c>
      <c r="R65" s="178">
        <v>1000</v>
      </c>
      <c r="S65" s="102" t="s">
        <v>588</v>
      </c>
      <c r="T65" s="137" t="s">
        <v>588</v>
      </c>
      <c r="U65" s="137" t="s">
        <v>588</v>
      </c>
      <c r="V65" s="179">
        <v>500</v>
      </c>
      <c r="W65" s="105" t="s">
        <v>608</v>
      </c>
    </row>
    <row r="66" spans="1:23" ht="15.75" customHeight="1">
      <c r="A66" s="137" t="s">
        <v>609</v>
      </c>
      <c r="B66" s="180" t="s">
        <v>610</v>
      </c>
      <c r="C66" s="181" t="s">
        <v>51</v>
      </c>
      <c r="D66" s="181" t="s">
        <v>611</v>
      </c>
      <c r="E66" s="181">
        <v>9</v>
      </c>
      <c r="F66" s="181">
        <v>12</v>
      </c>
      <c r="G66" s="181" t="s">
        <v>612</v>
      </c>
      <c r="H66" s="182" t="s">
        <v>613</v>
      </c>
      <c r="I66" s="182" t="s">
        <v>614</v>
      </c>
      <c r="J66" s="183" t="s">
        <v>615</v>
      </c>
      <c r="K66" s="184" t="s">
        <v>616</v>
      </c>
      <c r="L66" s="183" t="s">
        <v>617</v>
      </c>
      <c r="M66" s="181">
        <v>2022</v>
      </c>
      <c r="N66" s="181" t="s">
        <v>248</v>
      </c>
      <c r="O66" s="99">
        <v>2</v>
      </c>
      <c r="P66" s="99">
        <v>1</v>
      </c>
      <c r="Q66" s="99">
        <v>3</v>
      </c>
      <c r="R66" s="185">
        <v>1500</v>
      </c>
      <c r="S66" s="102" t="s">
        <v>588</v>
      </c>
      <c r="T66" s="103" t="s">
        <v>588</v>
      </c>
      <c r="U66" s="103" t="s">
        <v>588</v>
      </c>
      <c r="V66" s="186">
        <f>1500/2</f>
        <v>750</v>
      </c>
      <c r="W66" s="105" t="s">
        <v>608</v>
      </c>
    </row>
    <row r="67" spans="1:23" ht="15.75" customHeight="1">
      <c r="A67" s="167" t="s">
        <v>618</v>
      </c>
      <c r="B67" s="170" t="s">
        <v>619</v>
      </c>
      <c r="C67" s="168" t="s">
        <v>51</v>
      </c>
      <c r="D67" s="168" t="s">
        <v>620</v>
      </c>
      <c r="E67" s="168">
        <v>67</v>
      </c>
      <c r="F67" s="168">
        <v>2</v>
      </c>
      <c r="G67" s="168" t="s">
        <v>621</v>
      </c>
      <c r="H67" s="169" t="s">
        <v>622</v>
      </c>
      <c r="I67" s="169" t="s">
        <v>623</v>
      </c>
      <c r="J67" s="170" t="s">
        <v>624</v>
      </c>
      <c r="K67" s="171" t="s">
        <v>625</v>
      </c>
      <c r="L67" s="172" t="s">
        <v>626</v>
      </c>
      <c r="M67" s="168">
        <v>2022</v>
      </c>
      <c r="N67" s="168" t="s">
        <v>312</v>
      </c>
      <c r="O67" s="187">
        <v>4</v>
      </c>
      <c r="P67" s="188">
        <v>1</v>
      </c>
      <c r="Q67" s="188">
        <v>4</v>
      </c>
      <c r="R67" s="188">
        <v>500</v>
      </c>
      <c r="S67" s="102" t="s">
        <v>588</v>
      </c>
      <c r="T67" s="103" t="s">
        <v>588</v>
      </c>
      <c r="U67" s="103" t="s">
        <v>588</v>
      </c>
      <c r="V67" s="189">
        <f>500/4</f>
        <v>125</v>
      </c>
      <c r="W67" s="105" t="s">
        <v>608</v>
      </c>
    </row>
    <row r="68" spans="1:23" ht="15.75" customHeight="1">
      <c r="A68" s="167" t="s">
        <v>627</v>
      </c>
      <c r="B68" s="170" t="s">
        <v>628</v>
      </c>
      <c r="C68" s="168" t="s">
        <v>51</v>
      </c>
      <c r="D68" s="168" t="s">
        <v>629</v>
      </c>
      <c r="E68" s="168">
        <v>12</v>
      </c>
      <c r="F68" s="168"/>
      <c r="G68" s="168" t="s">
        <v>630</v>
      </c>
      <c r="H68" s="169" t="s">
        <v>631</v>
      </c>
      <c r="I68" s="169" t="s">
        <v>632</v>
      </c>
      <c r="J68" s="170" t="s">
        <v>633</v>
      </c>
      <c r="K68" s="171" t="s">
        <v>588</v>
      </c>
      <c r="L68" s="172" t="s">
        <v>634</v>
      </c>
      <c r="M68" s="168">
        <v>2022</v>
      </c>
      <c r="N68" s="168" t="s">
        <v>635</v>
      </c>
      <c r="O68" s="99">
        <v>4</v>
      </c>
      <c r="P68" s="116">
        <v>1</v>
      </c>
      <c r="Q68" s="116">
        <v>4</v>
      </c>
      <c r="R68" s="116">
        <v>300</v>
      </c>
      <c r="S68" s="102" t="s">
        <v>588</v>
      </c>
      <c r="T68" s="103" t="s">
        <v>588</v>
      </c>
      <c r="U68" s="103" t="s">
        <v>588</v>
      </c>
      <c r="V68" s="114">
        <f>300/4</f>
        <v>75</v>
      </c>
      <c r="W68" s="105" t="s">
        <v>608</v>
      </c>
    </row>
    <row r="69" spans="1:23" ht="15.75" customHeight="1">
      <c r="A69" s="167" t="s">
        <v>636</v>
      </c>
      <c r="B69" s="168" t="s">
        <v>637</v>
      </c>
      <c r="C69" s="168" t="s">
        <v>51</v>
      </c>
      <c r="D69" s="168" t="s">
        <v>629</v>
      </c>
      <c r="E69" s="168">
        <v>12</v>
      </c>
      <c r="F69" s="168"/>
      <c r="G69" s="168" t="s">
        <v>638</v>
      </c>
      <c r="H69" s="169" t="s">
        <v>639</v>
      </c>
      <c r="I69" s="169" t="s">
        <v>640</v>
      </c>
      <c r="J69" s="170" t="s">
        <v>641</v>
      </c>
      <c r="K69" s="171" t="s">
        <v>588</v>
      </c>
      <c r="L69" s="172" t="s">
        <v>642</v>
      </c>
      <c r="M69" s="168">
        <v>2022</v>
      </c>
      <c r="N69" s="168" t="s">
        <v>635</v>
      </c>
      <c r="O69" s="99">
        <v>2</v>
      </c>
      <c r="P69" s="116">
        <v>1</v>
      </c>
      <c r="Q69" s="116">
        <v>2</v>
      </c>
      <c r="R69" s="116">
        <v>300</v>
      </c>
      <c r="S69" s="102" t="s">
        <v>588</v>
      </c>
      <c r="T69" s="103" t="s">
        <v>588</v>
      </c>
      <c r="U69" s="103" t="s">
        <v>588</v>
      </c>
      <c r="V69" s="114">
        <f t="shared" ref="V69:V70" si="3">300/2</f>
        <v>150</v>
      </c>
      <c r="W69" s="105" t="s">
        <v>608</v>
      </c>
    </row>
    <row r="70" spans="1:23" ht="15.75" customHeight="1">
      <c r="A70" s="167" t="s">
        <v>643</v>
      </c>
      <c r="B70" s="168" t="s">
        <v>644</v>
      </c>
      <c r="C70" s="168" t="s">
        <v>51</v>
      </c>
      <c r="D70" s="168" t="s">
        <v>629</v>
      </c>
      <c r="E70" s="168">
        <v>12</v>
      </c>
      <c r="F70" s="168"/>
      <c r="G70" s="168" t="s">
        <v>638</v>
      </c>
      <c r="H70" s="169" t="s">
        <v>645</v>
      </c>
      <c r="I70" s="169" t="s">
        <v>646</v>
      </c>
      <c r="J70" s="170" t="s">
        <v>647</v>
      </c>
      <c r="K70" s="171" t="s">
        <v>588</v>
      </c>
      <c r="L70" s="172" t="s">
        <v>648</v>
      </c>
      <c r="M70" s="168">
        <v>2022</v>
      </c>
      <c r="N70" s="168" t="s">
        <v>635</v>
      </c>
      <c r="O70" s="99">
        <v>2</v>
      </c>
      <c r="P70" s="116">
        <v>1</v>
      </c>
      <c r="Q70" s="116">
        <v>2</v>
      </c>
      <c r="R70" s="116">
        <v>300</v>
      </c>
      <c r="S70" s="102" t="s">
        <v>588</v>
      </c>
      <c r="T70" s="103" t="s">
        <v>588</v>
      </c>
      <c r="U70" s="103" t="s">
        <v>588</v>
      </c>
      <c r="V70" s="114">
        <f t="shared" si="3"/>
        <v>150</v>
      </c>
      <c r="W70" s="105" t="s">
        <v>608</v>
      </c>
    </row>
    <row r="71" spans="1:23" ht="15.75" customHeight="1">
      <c r="A71" s="167" t="s">
        <v>649</v>
      </c>
      <c r="B71" s="168" t="s">
        <v>650</v>
      </c>
      <c r="C71" s="168" t="s">
        <v>51</v>
      </c>
      <c r="D71" s="168" t="s">
        <v>651</v>
      </c>
      <c r="E71" s="168">
        <v>12</v>
      </c>
      <c r="F71" s="168">
        <v>8</v>
      </c>
      <c r="G71" s="168" t="s">
        <v>235</v>
      </c>
      <c r="H71" s="169" t="s">
        <v>652</v>
      </c>
      <c r="I71" s="169" t="s">
        <v>653</v>
      </c>
      <c r="J71" s="170" t="s">
        <v>654</v>
      </c>
      <c r="K71" s="171" t="s">
        <v>655</v>
      </c>
      <c r="L71" s="172" t="s">
        <v>656</v>
      </c>
      <c r="M71" s="168">
        <v>2022</v>
      </c>
      <c r="N71" s="168" t="s">
        <v>220</v>
      </c>
      <c r="O71" s="99">
        <v>5</v>
      </c>
      <c r="P71" s="116">
        <v>1</v>
      </c>
      <c r="Q71" s="116">
        <v>5</v>
      </c>
      <c r="R71" s="116">
        <v>1000</v>
      </c>
      <c r="S71" s="102" t="s">
        <v>588</v>
      </c>
      <c r="T71" s="103" t="s">
        <v>588</v>
      </c>
      <c r="U71" s="103" t="s">
        <v>588</v>
      </c>
      <c r="V71" s="114">
        <f>1000/5</f>
        <v>200</v>
      </c>
      <c r="W71" s="105" t="s">
        <v>608</v>
      </c>
    </row>
    <row r="72" spans="1:23" ht="15.75" customHeight="1">
      <c r="A72" s="167" t="s">
        <v>657</v>
      </c>
      <c r="B72" s="168" t="s">
        <v>658</v>
      </c>
      <c r="C72" s="168" t="s">
        <v>51</v>
      </c>
      <c r="D72" s="168" t="s">
        <v>284</v>
      </c>
      <c r="E72" s="168">
        <v>10</v>
      </c>
      <c r="F72" s="168">
        <v>8</v>
      </c>
      <c r="G72" s="168" t="s">
        <v>285</v>
      </c>
      <c r="H72" s="169" t="s">
        <v>659</v>
      </c>
      <c r="I72" s="170" t="s">
        <v>660</v>
      </c>
      <c r="J72" s="170" t="s">
        <v>661</v>
      </c>
      <c r="K72" s="171" t="s">
        <v>662</v>
      </c>
      <c r="L72" s="172" t="s">
        <v>663</v>
      </c>
      <c r="M72" s="168">
        <v>2022</v>
      </c>
      <c r="N72" s="168" t="s">
        <v>220</v>
      </c>
      <c r="O72" s="99">
        <v>6</v>
      </c>
      <c r="P72" s="116">
        <v>1</v>
      </c>
      <c r="Q72" s="116">
        <v>6</v>
      </c>
      <c r="R72" s="116">
        <v>1000</v>
      </c>
      <c r="S72" s="102" t="s">
        <v>588</v>
      </c>
      <c r="T72" s="103" t="s">
        <v>588</v>
      </c>
      <c r="U72" s="103" t="s">
        <v>588</v>
      </c>
      <c r="V72" s="114">
        <f>1000/6</f>
        <v>166.66666666666666</v>
      </c>
      <c r="W72" s="105" t="s">
        <v>608</v>
      </c>
    </row>
    <row r="73" spans="1:23" ht="15.75" customHeight="1">
      <c r="A73" s="190" t="s">
        <v>664</v>
      </c>
      <c r="B73" s="168" t="s">
        <v>665</v>
      </c>
      <c r="C73" s="168" t="s">
        <v>51</v>
      </c>
      <c r="D73" s="168" t="s">
        <v>583</v>
      </c>
      <c r="E73" s="168">
        <v>65</v>
      </c>
      <c r="F73" s="168">
        <v>1</v>
      </c>
      <c r="G73" s="168" t="s">
        <v>585</v>
      </c>
      <c r="H73" s="169" t="s">
        <v>666</v>
      </c>
      <c r="I73" s="169" t="s">
        <v>667</v>
      </c>
      <c r="J73" s="170" t="s">
        <v>588</v>
      </c>
      <c r="K73" s="171" t="s">
        <v>668</v>
      </c>
      <c r="L73" s="172" t="s">
        <v>669</v>
      </c>
      <c r="M73" s="168">
        <v>2022</v>
      </c>
      <c r="N73" s="168" t="s">
        <v>591</v>
      </c>
      <c r="O73" s="99">
        <v>3</v>
      </c>
      <c r="P73" s="116">
        <v>1</v>
      </c>
      <c r="Q73" s="116">
        <v>3</v>
      </c>
      <c r="R73" s="116">
        <v>300</v>
      </c>
      <c r="S73" s="102" t="s">
        <v>588</v>
      </c>
      <c r="T73" s="103" t="s">
        <v>588</v>
      </c>
      <c r="U73" s="103" t="s">
        <v>588</v>
      </c>
      <c r="V73" s="114">
        <f t="shared" ref="V73:V75" si="4">300/3</f>
        <v>100</v>
      </c>
      <c r="W73" s="105" t="s">
        <v>608</v>
      </c>
    </row>
    <row r="74" spans="1:23" ht="15.75" customHeight="1">
      <c r="A74" s="191" t="s">
        <v>670</v>
      </c>
      <c r="B74" s="168" t="s">
        <v>671</v>
      </c>
      <c r="C74" s="168" t="s">
        <v>51</v>
      </c>
      <c r="D74" s="168" t="s">
        <v>583</v>
      </c>
      <c r="E74" s="168">
        <v>65</v>
      </c>
      <c r="F74" s="168" t="s">
        <v>584</v>
      </c>
      <c r="G74" s="168" t="s">
        <v>585</v>
      </c>
      <c r="H74" s="169" t="s">
        <v>672</v>
      </c>
      <c r="I74" s="169" t="s">
        <v>673</v>
      </c>
      <c r="J74" s="170" t="s">
        <v>588</v>
      </c>
      <c r="K74" s="171" t="s">
        <v>674</v>
      </c>
      <c r="L74" s="172" t="s">
        <v>675</v>
      </c>
      <c r="M74" s="168">
        <v>2022</v>
      </c>
      <c r="N74" s="168" t="s">
        <v>591</v>
      </c>
      <c r="O74" s="99">
        <v>3</v>
      </c>
      <c r="P74" s="116">
        <v>2</v>
      </c>
      <c r="Q74" s="116">
        <v>3</v>
      </c>
      <c r="R74" s="116">
        <v>300</v>
      </c>
      <c r="S74" s="102" t="s">
        <v>588</v>
      </c>
      <c r="T74" s="103" t="s">
        <v>588</v>
      </c>
      <c r="U74" s="103" t="s">
        <v>588</v>
      </c>
      <c r="V74" s="114">
        <f t="shared" si="4"/>
        <v>100</v>
      </c>
      <c r="W74" s="105" t="s">
        <v>608</v>
      </c>
    </row>
    <row r="75" spans="1:23" ht="15.75" customHeight="1">
      <c r="A75" s="167" t="s">
        <v>581</v>
      </c>
      <c r="B75" s="168" t="s">
        <v>582</v>
      </c>
      <c r="C75" s="168" t="s">
        <v>51</v>
      </c>
      <c r="D75" s="168" t="s">
        <v>583</v>
      </c>
      <c r="E75" s="168">
        <v>65</v>
      </c>
      <c r="F75" s="168" t="s">
        <v>584</v>
      </c>
      <c r="G75" s="168" t="s">
        <v>585</v>
      </c>
      <c r="H75" s="169" t="s">
        <v>586</v>
      </c>
      <c r="I75" s="169" t="s">
        <v>587</v>
      </c>
      <c r="J75" s="170" t="s">
        <v>588</v>
      </c>
      <c r="K75" s="171" t="s">
        <v>589</v>
      </c>
      <c r="L75" s="172" t="s">
        <v>590</v>
      </c>
      <c r="M75" s="168">
        <v>2022</v>
      </c>
      <c r="N75" s="168" t="s">
        <v>591</v>
      </c>
      <c r="O75" s="99">
        <v>3</v>
      </c>
      <c r="P75" s="116">
        <v>2</v>
      </c>
      <c r="Q75" s="116">
        <v>3</v>
      </c>
      <c r="R75" s="116">
        <v>300</v>
      </c>
      <c r="S75" s="102" t="s">
        <v>588</v>
      </c>
      <c r="T75" s="103" t="s">
        <v>588</v>
      </c>
      <c r="U75" s="103" t="s">
        <v>588</v>
      </c>
      <c r="V75" s="114">
        <f t="shared" si="4"/>
        <v>100</v>
      </c>
      <c r="W75" s="105" t="s">
        <v>608</v>
      </c>
    </row>
    <row r="76" spans="1:23" ht="15.75" customHeight="1">
      <c r="A76" s="167" t="s">
        <v>593</v>
      </c>
      <c r="B76" s="168" t="s">
        <v>594</v>
      </c>
      <c r="C76" s="168" t="s">
        <v>51</v>
      </c>
      <c r="D76" s="168" t="s">
        <v>583</v>
      </c>
      <c r="E76" s="168">
        <v>65</v>
      </c>
      <c r="F76" s="168" t="s">
        <v>584</v>
      </c>
      <c r="G76" s="168" t="s">
        <v>585</v>
      </c>
      <c r="H76" s="169" t="s">
        <v>595</v>
      </c>
      <c r="I76" s="169" t="s">
        <v>596</v>
      </c>
      <c r="J76" s="170" t="s">
        <v>588</v>
      </c>
      <c r="K76" s="171" t="s">
        <v>597</v>
      </c>
      <c r="L76" s="172" t="s">
        <v>598</v>
      </c>
      <c r="M76" s="168">
        <v>2022</v>
      </c>
      <c r="N76" s="168" t="s">
        <v>591</v>
      </c>
      <c r="O76" s="99">
        <v>4</v>
      </c>
      <c r="P76" s="116">
        <v>3</v>
      </c>
      <c r="Q76" s="116">
        <v>4</v>
      </c>
      <c r="R76" s="116">
        <v>300</v>
      </c>
      <c r="S76" s="102" t="s">
        <v>588</v>
      </c>
      <c r="T76" s="103" t="s">
        <v>588</v>
      </c>
      <c r="U76" s="103" t="s">
        <v>588</v>
      </c>
      <c r="V76" s="114">
        <f>300/4</f>
        <v>75</v>
      </c>
      <c r="W76" s="105" t="s">
        <v>608</v>
      </c>
    </row>
    <row r="77" spans="1:23" ht="15.75" customHeight="1">
      <c r="A77" s="167" t="s">
        <v>676</v>
      </c>
      <c r="B77" s="168" t="s">
        <v>677</v>
      </c>
      <c r="C77" s="168" t="s">
        <v>51</v>
      </c>
      <c r="D77" s="168" t="s">
        <v>583</v>
      </c>
      <c r="E77" s="168">
        <v>65</v>
      </c>
      <c r="F77" s="168" t="s">
        <v>584</v>
      </c>
      <c r="G77" s="168" t="s">
        <v>585</v>
      </c>
      <c r="H77" s="169" t="s">
        <v>678</v>
      </c>
      <c r="I77" s="169" t="s">
        <v>679</v>
      </c>
      <c r="J77" s="170"/>
      <c r="K77" s="171" t="s">
        <v>680</v>
      </c>
      <c r="L77" s="172" t="s">
        <v>681</v>
      </c>
      <c r="M77" s="168">
        <v>2022</v>
      </c>
      <c r="N77" s="168" t="s">
        <v>591</v>
      </c>
      <c r="O77" s="99">
        <v>3</v>
      </c>
      <c r="P77" s="116">
        <v>1</v>
      </c>
      <c r="Q77" s="116">
        <v>3</v>
      </c>
      <c r="R77" s="116">
        <v>300</v>
      </c>
      <c r="S77" s="102" t="s">
        <v>588</v>
      </c>
      <c r="T77" s="103" t="s">
        <v>588</v>
      </c>
      <c r="U77" s="103" t="s">
        <v>588</v>
      </c>
      <c r="V77" s="114">
        <f>300/3</f>
        <v>100</v>
      </c>
      <c r="W77" s="105" t="s">
        <v>608</v>
      </c>
    </row>
    <row r="78" spans="1:23" ht="15.75" customHeight="1">
      <c r="A78" s="167" t="s">
        <v>682</v>
      </c>
      <c r="B78" s="168" t="s">
        <v>683</v>
      </c>
      <c r="C78" s="168" t="s">
        <v>51</v>
      </c>
      <c r="D78" s="168" t="s">
        <v>583</v>
      </c>
      <c r="E78" s="168">
        <v>65</v>
      </c>
      <c r="F78" s="168" t="s">
        <v>584</v>
      </c>
      <c r="G78" s="168" t="s">
        <v>585</v>
      </c>
      <c r="H78" s="169" t="s">
        <v>684</v>
      </c>
      <c r="I78" s="169" t="s">
        <v>685</v>
      </c>
      <c r="J78" s="170" t="s">
        <v>588</v>
      </c>
      <c r="K78" s="171" t="s">
        <v>686</v>
      </c>
      <c r="L78" s="172" t="s">
        <v>687</v>
      </c>
      <c r="M78" s="168">
        <v>2022</v>
      </c>
      <c r="N78" s="168" t="s">
        <v>591</v>
      </c>
      <c r="O78" s="99">
        <v>4</v>
      </c>
      <c r="P78" s="116">
        <v>2</v>
      </c>
      <c r="Q78" s="116">
        <v>4</v>
      </c>
      <c r="R78" s="116">
        <v>300</v>
      </c>
      <c r="S78" s="102" t="s">
        <v>588</v>
      </c>
      <c r="T78" s="103" t="s">
        <v>588</v>
      </c>
      <c r="U78" s="103" t="s">
        <v>588</v>
      </c>
      <c r="V78" s="114">
        <f t="shared" ref="V78:V79" si="5">300/4</f>
        <v>75</v>
      </c>
      <c r="W78" s="105" t="s">
        <v>608</v>
      </c>
    </row>
    <row r="79" spans="1:23" ht="15.75" customHeight="1">
      <c r="A79" s="167" t="s">
        <v>688</v>
      </c>
      <c r="B79" s="168" t="s">
        <v>689</v>
      </c>
      <c r="C79" s="168" t="s">
        <v>51</v>
      </c>
      <c r="D79" s="168" t="s">
        <v>583</v>
      </c>
      <c r="E79" s="168">
        <v>65</v>
      </c>
      <c r="F79" s="168" t="s">
        <v>584</v>
      </c>
      <c r="G79" s="168" t="s">
        <v>585</v>
      </c>
      <c r="H79" s="169" t="s">
        <v>690</v>
      </c>
      <c r="I79" s="169" t="s">
        <v>691</v>
      </c>
      <c r="J79" s="170" t="s">
        <v>588</v>
      </c>
      <c r="K79" s="171" t="s">
        <v>692</v>
      </c>
      <c r="L79" s="172" t="s">
        <v>693</v>
      </c>
      <c r="M79" s="168">
        <v>2022</v>
      </c>
      <c r="N79" s="168" t="s">
        <v>591</v>
      </c>
      <c r="O79" s="99">
        <v>4</v>
      </c>
      <c r="P79" s="116">
        <v>2</v>
      </c>
      <c r="Q79" s="116">
        <v>4</v>
      </c>
      <c r="R79" s="116">
        <v>300</v>
      </c>
      <c r="S79" s="102" t="s">
        <v>588</v>
      </c>
      <c r="T79" s="103" t="s">
        <v>588</v>
      </c>
      <c r="U79" s="103" t="s">
        <v>588</v>
      </c>
      <c r="V79" s="114">
        <f t="shared" si="5"/>
        <v>75</v>
      </c>
      <c r="W79" s="105" t="s">
        <v>608</v>
      </c>
    </row>
    <row r="80" spans="1:23" ht="15.75" customHeight="1">
      <c r="A80" s="167" t="s">
        <v>694</v>
      </c>
      <c r="B80" s="168" t="s">
        <v>695</v>
      </c>
      <c r="C80" s="168" t="s">
        <v>51</v>
      </c>
      <c r="D80" s="168" t="s">
        <v>583</v>
      </c>
      <c r="E80" s="168">
        <v>65</v>
      </c>
      <c r="F80" s="168">
        <v>4</v>
      </c>
      <c r="G80" s="168" t="s">
        <v>585</v>
      </c>
      <c r="H80" s="169" t="s">
        <v>696</v>
      </c>
      <c r="I80" s="169" t="s">
        <v>697</v>
      </c>
      <c r="J80" s="170" t="s">
        <v>588</v>
      </c>
      <c r="K80" s="171" t="s">
        <v>698</v>
      </c>
      <c r="L80" s="172" t="s">
        <v>699</v>
      </c>
      <c r="M80" s="168">
        <v>2022</v>
      </c>
      <c r="N80" s="168" t="s">
        <v>591</v>
      </c>
      <c r="O80" s="99">
        <v>2</v>
      </c>
      <c r="P80" s="116">
        <v>1</v>
      </c>
      <c r="Q80" s="116">
        <v>2</v>
      </c>
      <c r="R80" s="116">
        <v>300</v>
      </c>
      <c r="S80" s="102" t="s">
        <v>588</v>
      </c>
      <c r="T80" s="103" t="s">
        <v>588</v>
      </c>
      <c r="U80" s="103" t="s">
        <v>588</v>
      </c>
      <c r="V80" s="114">
        <f>300/2</f>
        <v>150</v>
      </c>
      <c r="W80" s="105" t="s">
        <v>608</v>
      </c>
    </row>
    <row r="81" spans="1:31" ht="15.75" customHeight="1">
      <c r="A81" s="167" t="s">
        <v>700</v>
      </c>
      <c r="B81" s="168" t="s">
        <v>701</v>
      </c>
      <c r="C81" s="168" t="s">
        <v>51</v>
      </c>
      <c r="D81" s="168" t="s">
        <v>583</v>
      </c>
      <c r="E81" s="168">
        <v>65</v>
      </c>
      <c r="F81" s="168">
        <v>4</v>
      </c>
      <c r="G81" s="168" t="s">
        <v>585</v>
      </c>
      <c r="H81" s="169" t="s">
        <v>702</v>
      </c>
      <c r="I81" s="169" t="s">
        <v>703</v>
      </c>
      <c r="J81" s="170" t="s">
        <v>588</v>
      </c>
      <c r="K81" s="171" t="s">
        <v>704</v>
      </c>
      <c r="L81" s="172" t="s">
        <v>705</v>
      </c>
      <c r="M81" s="168">
        <v>2022</v>
      </c>
      <c r="N81" s="168" t="s">
        <v>591</v>
      </c>
      <c r="O81" s="99">
        <v>4</v>
      </c>
      <c r="P81" s="116">
        <v>1</v>
      </c>
      <c r="Q81" s="116">
        <v>4</v>
      </c>
      <c r="R81" s="116">
        <v>300</v>
      </c>
      <c r="S81" s="102" t="s">
        <v>588</v>
      </c>
      <c r="T81" s="103" t="s">
        <v>588</v>
      </c>
      <c r="U81" s="103" t="s">
        <v>588</v>
      </c>
      <c r="V81" s="114">
        <f>300/4</f>
        <v>75</v>
      </c>
      <c r="W81" s="105" t="s">
        <v>608</v>
      </c>
    </row>
    <row r="82" spans="1:31" ht="15.75" customHeight="1">
      <c r="A82" s="167" t="s">
        <v>706</v>
      </c>
      <c r="B82" s="168" t="s">
        <v>707</v>
      </c>
      <c r="C82" s="168" t="s">
        <v>51</v>
      </c>
      <c r="D82" s="168" t="s">
        <v>708</v>
      </c>
      <c r="E82" s="168">
        <v>6</v>
      </c>
      <c r="F82" s="168">
        <v>6</v>
      </c>
      <c r="G82" s="168" t="s">
        <v>709</v>
      </c>
      <c r="H82" s="169" t="s">
        <v>710</v>
      </c>
      <c r="I82" s="169" t="s">
        <v>711</v>
      </c>
      <c r="J82" s="192" t="s">
        <v>712</v>
      </c>
      <c r="K82" s="193" t="s">
        <v>713</v>
      </c>
      <c r="L82" s="172" t="s">
        <v>714</v>
      </c>
      <c r="M82" s="168">
        <v>2022</v>
      </c>
      <c r="N82" s="168" t="s">
        <v>591</v>
      </c>
      <c r="O82" s="99">
        <v>1</v>
      </c>
      <c r="P82" s="116">
        <v>1</v>
      </c>
      <c r="Q82" s="116">
        <v>9</v>
      </c>
      <c r="R82" s="116">
        <v>300</v>
      </c>
      <c r="S82" s="102" t="s">
        <v>588</v>
      </c>
      <c r="T82" s="103" t="s">
        <v>588</v>
      </c>
      <c r="U82" s="103" t="s">
        <v>588</v>
      </c>
      <c r="V82" s="114">
        <v>300</v>
      </c>
      <c r="W82" s="105" t="s">
        <v>608</v>
      </c>
    </row>
    <row r="83" spans="1:31" ht="15.75" customHeight="1">
      <c r="A83" s="194" t="s">
        <v>715</v>
      </c>
      <c r="B83" s="195" t="s">
        <v>716</v>
      </c>
      <c r="C83" s="196" t="s">
        <v>51</v>
      </c>
      <c r="D83" s="196" t="s">
        <v>583</v>
      </c>
      <c r="E83" s="196">
        <v>65</v>
      </c>
      <c r="F83" s="196">
        <v>1</v>
      </c>
      <c r="G83" s="196" t="s">
        <v>585</v>
      </c>
      <c r="H83" s="169" t="s">
        <v>717</v>
      </c>
      <c r="I83" s="169" t="s">
        <v>718</v>
      </c>
      <c r="J83" s="197" t="s">
        <v>588</v>
      </c>
      <c r="K83" s="198" t="s">
        <v>719</v>
      </c>
      <c r="L83" s="199" t="s">
        <v>720</v>
      </c>
      <c r="M83" s="168">
        <v>2022</v>
      </c>
      <c r="N83" s="168" t="s">
        <v>591</v>
      </c>
      <c r="O83" s="99">
        <v>4</v>
      </c>
      <c r="P83" s="116">
        <v>1</v>
      </c>
      <c r="Q83" s="116">
        <v>4</v>
      </c>
      <c r="R83" s="116">
        <v>300</v>
      </c>
      <c r="S83" s="102" t="s">
        <v>588</v>
      </c>
      <c r="T83" s="103" t="s">
        <v>588</v>
      </c>
      <c r="U83" s="103" t="s">
        <v>588</v>
      </c>
      <c r="V83" s="114">
        <f>300/4</f>
        <v>75</v>
      </c>
      <c r="W83" s="105" t="s">
        <v>608</v>
      </c>
    </row>
    <row r="84" spans="1:31" ht="15.75" customHeight="1">
      <c r="A84" s="200" t="s">
        <v>721</v>
      </c>
      <c r="B84" s="201" t="s">
        <v>722</v>
      </c>
      <c r="C84" s="202" t="s">
        <v>141</v>
      </c>
      <c r="D84" s="202" t="s">
        <v>723</v>
      </c>
      <c r="E84" s="202" t="s">
        <v>724</v>
      </c>
      <c r="F84" s="202">
        <v>2</v>
      </c>
      <c r="G84" s="202" t="s">
        <v>725</v>
      </c>
      <c r="H84" s="203" t="s">
        <v>726</v>
      </c>
      <c r="I84" s="204" t="s">
        <v>727</v>
      </c>
      <c r="J84" s="205"/>
      <c r="K84" s="206"/>
      <c r="L84" s="207" t="s">
        <v>728</v>
      </c>
      <c r="M84" s="202">
        <v>2022</v>
      </c>
      <c r="N84" s="202"/>
      <c r="O84" s="202">
        <v>1</v>
      </c>
      <c r="P84" s="202">
        <v>1</v>
      </c>
      <c r="Q84" s="208">
        <v>1</v>
      </c>
      <c r="R84" s="208">
        <v>300</v>
      </c>
      <c r="S84" s="209"/>
      <c r="T84" s="210"/>
      <c r="U84" s="211" t="s">
        <v>729</v>
      </c>
      <c r="V84" s="212">
        <v>300</v>
      </c>
      <c r="W84" s="213" t="s">
        <v>730</v>
      </c>
      <c r="X84" s="214"/>
      <c r="Y84" s="215"/>
      <c r="Z84" s="215"/>
      <c r="AA84" s="215"/>
      <c r="AB84" s="215"/>
      <c r="AC84" s="215"/>
      <c r="AD84" s="215"/>
      <c r="AE84" s="216"/>
    </row>
    <row r="85" spans="1:31" ht="15.75" customHeight="1">
      <c r="A85" s="131" t="s">
        <v>731</v>
      </c>
      <c r="B85" s="91" t="s">
        <v>732</v>
      </c>
      <c r="C85" s="92" t="s">
        <v>141</v>
      </c>
      <c r="D85" s="92" t="s">
        <v>733</v>
      </c>
      <c r="E85" s="93">
        <v>15</v>
      </c>
      <c r="F85" s="94">
        <v>4</v>
      </c>
      <c r="G85" s="92" t="s">
        <v>734</v>
      </c>
      <c r="H85" s="95"/>
      <c r="I85" s="96" t="s">
        <v>735</v>
      </c>
      <c r="J85" s="96" t="s">
        <v>736</v>
      </c>
      <c r="K85" s="97" t="s">
        <v>737</v>
      </c>
      <c r="L85" s="98" t="s">
        <v>738</v>
      </c>
      <c r="M85" s="99">
        <v>2022</v>
      </c>
      <c r="N85" s="99" t="s">
        <v>591</v>
      </c>
      <c r="O85" s="99">
        <v>0</v>
      </c>
      <c r="P85" s="100">
        <v>2</v>
      </c>
      <c r="Q85" s="100">
        <v>2</v>
      </c>
      <c r="R85" s="101">
        <v>300</v>
      </c>
      <c r="S85" s="102"/>
      <c r="T85" s="217"/>
      <c r="U85" s="217"/>
      <c r="V85" s="218">
        <v>150</v>
      </c>
      <c r="W85" s="213" t="s">
        <v>739</v>
      </c>
      <c r="X85" s="219"/>
      <c r="Y85" s="220"/>
      <c r="Z85" s="220"/>
      <c r="AA85" s="220"/>
      <c r="AB85" s="220"/>
      <c r="AC85" s="220"/>
      <c r="AD85" s="220"/>
      <c r="AE85" s="221"/>
    </row>
    <row r="86" spans="1:31" ht="15.75" customHeight="1">
      <c r="A86" s="131" t="s">
        <v>740</v>
      </c>
      <c r="B86" s="91" t="s">
        <v>741</v>
      </c>
      <c r="C86" s="92" t="s">
        <v>141</v>
      </c>
      <c r="D86" s="92" t="s">
        <v>742</v>
      </c>
      <c r="E86" s="92">
        <v>13</v>
      </c>
      <c r="F86" s="92">
        <v>10</v>
      </c>
      <c r="G86" s="92" t="s">
        <v>743</v>
      </c>
      <c r="H86" s="133"/>
      <c r="I86" s="130" t="s">
        <v>744</v>
      </c>
      <c r="J86" s="142" t="s">
        <v>745</v>
      </c>
      <c r="K86" s="91" t="s">
        <v>746</v>
      </c>
      <c r="L86" s="115" t="s">
        <v>747</v>
      </c>
      <c r="M86" s="99">
        <v>2022</v>
      </c>
      <c r="N86" s="99" t="s">
        <v>591</v>
      </c>
      <c r="O86" s="99">
        <v>0</v>
      </c>
      <c r="P86" s="116">
        <v>2</v>
      </c>
      <c r="Q86" s="116">
        <v>2</v>
      </c>
      <c r="R86" s="132">
        <v>300</v>
      </c>
      <c r="S86" s="117"/>
      <c r="T86" s="217"/>
      <c r="U86" s="217"/>
      <c r="V86" s="218">
        <v>150</v>
      </c>
      <c r="W86" s="213" t="s">
        <v>739</v>
      </c>
      <c r="X86" s="219"/>
      <c r="Y86" s="220"/>
      <c r="Z86" s="220"/>
      <c r="AA86" s="220"/>
      <c r="AB86" s="220"/>
      <c r="AC86" s="220"/>
      <c r="AD86" s="220"/>
      <c r="AE86" s="221"/>
    </row>
    <row r="87" spans="1:31" ht="15.75" customHeight="1">
      <c r="A87" s="222" t="s">
        <v>748</v>
      </c>
      <c r="B87" s="223" t="s">
        <v>749</v>
      </c>
      <c r="C87" s="224" t="s">
        <v>141</v>
      </c>
      <c r="D87" s="225" t="s">
        <v>750</v>
      </c>
      <c r="E87" s="175">
        <v>76</v>
      </c>
      <c r="F87" s="108" t="s">
        <v>751</v>
      </c>
      <c r="G87" s="225" t="s">
        <v>752</v>
      </c>
      <c r="H87" s="95" t="s">
        <v>753</v>
      </c>
      <c r="I87" s="95" t="s">
        <v>754</v>
      </c>
      <c r="J87" s="226" t="s">
        <v>755</v>
      </c>
      <c r="K87" s="227" t="s">
        <v>756</v>
      </c>
      <c r="L87" s="112" t="s">
        <v>757</v>
      </c>
      <c r="M87" s="228">
        <v>2022</v>
      </c>
      <c r="N87" s="228" t="s">
        <v>544</v>
      </c>
      <c r="O87" s="228">
        <v>3</v>
      </c>
      <c r="P87" s="229">
        <v>3</v>
      </c>
      <c r="Q87" s="229">
        <v>5</v>
      </c>
      <c r="R87" s="230">
        <v>1500</v>
      </c>
      <c r="S87" s="231"/>
      <c r="T87" s="217"/>
      <c r="U87" s="217"/>
      <c r="V87" s="218">
        <v>500</v>
      </c>
      <c r="W87" s="213" t="s">
        <v>758</v>
      </c>
      <c r="X87" s="219"/>
      <c r="Y87" s="220"/>
      <c r="Z87" s="220"/>
      <c r="AA87" s="220"/>
      <c r="AB87" s="220"/>
      <c r="AC87" s="220"/>
      <c r="AD87" s="220"/>
      <c r="AE87" s="221"/>
    </row>
    <row r="88" spans="1:31" ht="15.75" customHeight="1">
      <c r="A88" s="131" t="s">
        <v>375</v>
      </c>
      <c r="B88" s="91" t="s">
        <v>376</v>
      </c>
      <c r="C88" s="92" t="s">
        <v>141</v>
      </c>
      <c r="D88" s="92" t="s">
        <v>377</v>
      </c>
      <c r="E88" s="93" t="s">
        <v>378</v>
      </c>
      <c r="F88" s="94">
        <v>2475</v>
      </c>
      <c r="G88" s="92" t="s">
        <v>379</v>
      </c>
      <c r="H88" s="96" t="s">
        <v>380</v>
      </c>
      <c r="I88" s="96" t="s">
        <v>381</v>
      </c>
      <c r="J88" s="96" t="s">
        <v>382</v>
      </c>
      <c r="K88" s="97" t="s">
        <v>570</v>
      </c>
      <c r="L88" s="98"/>
      <c r="M88" s="99">
        <v>2022</v>
      </c>
      <c r="N88" s="99" t="s">
        <v>220</v>
      </c>
      <c r="O88" s="99">
        <v>7</v>
      </c>
      <c r="P88" s="100">
        <v>7</v>
      </c>
      <c r="Q88" s="100">
        <v>7</v>
      </c>
      <c r="R88" s="101">
        <v>1000</v>
      </c>
      <c r="S88" s="102"/>
      <c r="T88" s="217"/>
      <c r="U88" s="217"/>
      <c r="V88" s="218">
        <v>142.86000000000001</v>
      </c>
      <c r="W88" s="213" t="s">
        <v>759</v>
      </c>
      <c r="X88" s="219"/>
      <c r="Y88" s="220"/>
      <c r="Z88" s="220"/>
      <c r="AA88" s="220"/>
      <c r="AB88" s="220"/>
      <c r="AC88" s="220"/>
      <c r="AD88" s="220"/>
      <c r="AE88" s="221"/>
    </row>
    <row r="89" spans="1:31" ht="15.75" customHeight="1">
      <c r="A89" s="90" t="s">
        <v>385</v>
      </c>
      <c r="B89" s="91" t="s">
        <v>386</v>
      </c>
      <c r="C89" s="92" t="s">
        <v>141</v>
      </c>
      <c r="D89" s="92" t="s">
        <v>387</v>
      </c>
      <c r="E89" s="92" t="s">
        <v>388</v>
      </c>
      <c r="F89" s="92">
        <v>6636</v>
      </c>
      <c r="G89" s="92" t="s">
        <v>379</v>
      </c>
      <c r="H89" s="130" t="s">
        <v>389</v>
      </c>
      <c r="I89" s="133" t="s">
        <v>237</v>
      </c>
      <c r="J89" s="131" t="s">
        <v>390</v>
      </c>
      <c r="K89" s="91" t="s">
        <v>239</v>
      </c>
      <c r="L89" s="115"/>
      <c r="M89" s="99">
        <v>2022</v>
      </c>
      <c r="N89" s="99" t="s">
        <v>220</v>
      </c>
      <c r="O89" s="99">
        <v>7</v>
      </c>
      <c r="P89" s="116">
        <v>7</v>
      </c>
      <c r="Q89" s="116">
        <v>8</v>
      </c>
      <c r="R89" s="132">
        <v>1000</v>
      </c>
      <c r="S89" s="117"/>
      <c r="T89" s="217"/>
      <c r="U89" s="217"/>
      <c r="V89" s="218">
        <v>142.86000000000001</v>
      </c>
      <c r="W89" s="213" t="s">
        <v>759</v>
      </c>
      <c r="X89" s="219"/>
      <c r="Y89" s="220"/>
      <c r="Z89" s="220"/>
      <c r="AA89" s="220"/>
      <c r="AB89" s="220"/>
      <c r="AC89" s="220"/>
      <c r="AD89" s="220"/>
      <c r="AE89" s="221"/>
    </row>
    <row r="90" spans="1:31" ht="15.75" customHeight="1">
      <c r="A90" s="133" t="s">
        <v>391</v>
      </c>
      <c r="B90" s="99" t="s">
        <v>392</v>
      </c>
      <c r="C90" s="92" t="s">
        <v>141</v>
      </c>
      <c r="D90" s="99" t="s">
        <v>393</v>
      </c>
      <c r="E90" s="99" t="s">
        <v>394</v>
      </c>
      <c r="F90" s="99" t="s">
        <v>395</v>
      </c>
      <c r="G90" s="139" t="s">
        <v>226</v>
      </c>
      <c r="H90" s="232" t="s">
        <v>396</v>
      </c>
      <c r="I90" s="133" t="s">
        <v>397</v>
      </c>
      <c r="J90" s="133"/>
      <c r="K90" s="134"/>
      <c r="L90" s="135" t="s">
        <v>229</v>
      </c>
      <c r="M90" s="99">
        <v>2022</v>
      </c>
      <c r="N90" s="99" t="s">
        <v>398</v>
      </c>
      <c r="O90" s="99">
        <v>3</v>
      </c>
      <c r="P90" s="100">
        <v>3</v>
      </c>
      <c r="Q90" s="100">
        <v>4</v>
      </c>
      <c r="R90" s="140">
        <v>300</v>
      </c>
      <c r="S90" s="117"/>
      <c r="T90" s="217"/>
      <c r="U90" s="217"/>
      <c r="V90" s="218">
        <v>100</v>
      </c>
      <c r="W90" s="213" t="s">
        <v>759</v>
      </c>
      <c r="X90" s="64"/>
      <c r="Y90" s="221"/>
      <c r="Z90" s="221"/>
      <c r="AA90" s="221"/>
      <c r="AB90" s="221"/>
      <c r="AC90" s="221"/>
      <c r="AD90" s="221"/>
      <c r="AE90" s="221"/>
    </row>
    <row r="91" spans="1:31" ht="15.75" customHeight="1">
      <c r="A91" s="131" t="s">
        <v>760</v>
      </c>
      <c r="B91" s="91" t="s">
        <v>761</v>
      </c>
      <c r="C91" s="92" t="s">
        <v>141</v>
      </c>
      <c r="D91" s="92" t="s">
        <v>762</v>
      </c>
      <c r="E91" s="93" t="s">
        <v>724</v>
      </c>
      <c r="F91" s="94" t="s">
        <v>763</v>
      </c>
      <c r="G91" s="92" t="s">
        <v>764</v>
      </c>
      <c r="H91" s="96" t="s">
        <v>765</v>
      </c>
      <c r="I91" s="96" t="s">
        <v>766</v>
      </c>
      <c r="J91" s="127"/>
      <c r="K91" s="97"/>
      <c r="L91" s="98" t="s">
        <v>767</v>
      </c>
      <c r="M91" s="99">
        <v>2022</v>
      </c>
      <c r="N91" s="99"/>
      <c r="O91" s="99">
        <v>1</v>
      </c>
      <c r="P91" s="100">
        <v>1</v>
      </c>
      <c r="Q91" s="100">
        <v>1</v>
      </c>
      <c r="R91" s="101">
        <v>300</v>
      </c>
      <c r="S91" s="102"/>
      <c r="T91" s="138" t="s">
        <v>768</v>
      </c>
      <c r="U91" s="217"/>
      <c r="V91" s="228">
        <v>300</v>
      </c>
      <c r="W91" s="233" t="str">
        <f t="shared" ref="W91:W92" si="6">B91</f>
        <v>Craciunas Gabriela</v>
      </c>
      <c r="X91" s="64"/>
      <c r="Y91" s="221"/>
      <c r="Z91" s="221"/>
      <c r="AA91" s="221"/>
      <c r="AB91" s="221"/>
      <c r="AC91" s="221"/>
      <c r="AD91" s="221"/>
      <c r="AE91" s="221"/>
    </row>
    <row r="92" spans="1:31" ht="15.75" customHeight="1">
      <c r="A92" s="131" t="s">
        <v>769</v>
      </c>
      <c r="B92" s="91" t="s">
        <v>770</v>
      </c>
      <c r="C92" s="92" t="s">
        <v>141</v>
      </c>
      <c r="D92" s="92" t="s">
        <v>771</v>
      </c>
      <c r="E92" s="93">
        <v>13</v>
      </c>
      <c r="F92" s="94">
        <v>9</v>
      </c>
      <c r="G92" s="92" t="s">
        <v>772</v>
      </c>
      <c r="H92" s="96" t="s">
        <v>773</v>
      </c>
      <c r="I92" s="234" t="s">
        <v>774</v>
      </c>
      <c r="J92" s="96" t="s">
        <v>775</v>
      </c>
      <c r="K92" s="97" t="s">
        <v>776</v>
      </c>
      <c r="L92" s="98" t="s">
        <v>777</v>
      </c>
      <c r="M92" s="99">
        <v>2022</v>
      </c>
      <c r="N92" s="99" t="s">
        <v>591</v>
      </c>
      <c r="O92" s="99">
        <v>1</v>
      </c>
      <c r="P92" s="132">
        <v>1</v>
      </c>
      <c r="Q92" s="132">
        <v>1</v>
      </c>
      <c r="R92" s="132">
        <v>300</v>
      </c>
      <c r="S92" s="102"/>
      <c r="T92" s="235"/>
      <c r="U92" s="235"/>
      <c r="V92" s="132">
        <v>300</v>
      </c>
      <c r="W92" s="233" t="str">
        <f t="shared" si="6"/>
        <v>CRACIUNEAN  Daniel-Cristian (ULBS)</v>
      </c>
      <c r="X92" s="64"/>
      <c r="Y92" s="221"/>
      <c r="Z92" s="221"/>
      <c r="AA92" s="221"/>
      <c r="AB92" s="221"/>
      <c r="AC92" s="221"/>
      <c r="AD92" s="221"/>
      <c r="AE92" s="221"/>
    </row>
    <row r="93" spans="1:31" ht="15.75" customHeight="1">
      <c r="A93" s="131" t="s">
        <v>778</v>
      </c>
      <c r="B93" s="91" t="s">
        <v>779</v>
      </c>
      <c r="C93" s="92" t="s">
        <v>141</v>
      </c>
      <c r="D93" s="92" t="s">
        <v>353</v>
      </c>
      <c r="E93" s="92">
        <v>12</v>
      </c>
      <c r="F93" s="92">
        <v>6</v>
      </c>
      <c r="G93" s="92" t="s">
        <v>235</v>
      </c>
      <c r="H93" s="130" t="s">
        <v>780</v>
      </c>
      <c r="I93" s="130" t="s">
        <v>781</v>
      </c>
      <c r="J93" s="142" t="s">
        <v>782</v>
      </c>
      <c r="K93" s="91" t="s">
        <v>783</v>
      </c>
      <c r="L93" s="115"/>
      <c r="M93" s="99">
        <v>2022</v>
      </c>
      <c r="N93" s="99" t="s">
        <v>784</v>
      </c>
      <c r="O93" s="99">
        <v>5</v>
      </c>
      <c r="P93" s="116">
        <v>2</v>
      </c>
      <c r="Q93" s="116">
        <v>5</v>
      </c>
      <c r="R93" s="132">
        <v>1000</v>
      </c>
      <c r="S93" s="235"/>
      <c r="T93" s="235"/>
      <c r="U93" s="235"/>
      <c r="V93" s="132">
        <v>200</v>
      </c>
      <c r="W93" s="233" t="s">
        <v>770</v>
      </c>
      <c r="X93" s="64"/>
      <c r="Y93" s="221"/>
      <c r="Z93" s="221"/>
      <c r="AA93" s="221"/>
      <c r="AB93" s="221"/>
      <c r="AC93" s="221"/>
      <c r="AD93" s="221"/>
      <c r="AE93" s="221"/>
    </row>
    <row r="94" spans="1:31" ht="15.75" customHeight="1">
      <c r="A94" s="133" t="s">
        <v>528</v>
      </c>
      <c r="B94" s="91" t="s">
        <v>785</v>
      </c>
      <c r="C94" s="99" t="s">
        <v>141</v>
      </c>
      <c r="D94" s="99" t="s">
        <v>786</v>
      </c>
      <c r="E94" s="99"/>
      <c r="F94" s="99"/>
      <c r="G94" s="99"/>
      <c r="H94" s="130" t="s">
        <v>787</v>
      </c>
      <c r="I94" s="142" t="s">
        <v>531</v>
      </c>
      <c r="J94" s="142" t="s">
        <v>788</v>
      </c>
      <c r="K94" s="134" t="s">
        <v>533</v>
      </c>
      <c r="L94" s="135" t="s">
        <v>789</v>
      </c>
      <c r="M94" s="99">
        <v>2022</v>
      </c>
      <c r="N94" s="99" t="s">
        <v>790</v>
      </c>
      <c r="O94" s="99">
        <v>3</v>
      </c>
      <c r="P94" s="116">
        <v>3</v>
      </c>
      <c r="Q94" s="132">
        <v>6</v>
      </c>
      <c r="R94" s="132">
        <v>200</v>
      </c>
      <c r="S94" s="131" t="s">
        <v>786</v>
      </c>
      <c r="T94" s="235"/>
      <c r="U94" s="131" t="s">
        <v>537</v>
      </c>
      <c r="V94" s="132">
        <v>66</v>
      </c>
      <c r="W94" s="233" t="s">
        <v>770</v>
      </c>
      <c r="X94" s="64"/>
      <c r="Y94" s="221"/>
      <c r="Z94" s="221"/>
      <c r="AA94" s="221"/>
      <c r="AB94" s="221"/>
      <c r="AC94" s="221"/>
      <c r="AD94" s="221"/>
      <c r="AE94" s="221"/>
    </row>
    <row r="95" spans="1:31" ht="15.75" customHeight="1">
      <c r="A95" s="131" t="s">
        <v>791</v>
      </c>
      <c r="B95" s="91" t="s">
        <v>792</v>
      </c>
      <c r="C95" s="92" t="s">
        <v>141</v>
      </c>
      <c r="D95" s="92" t="s">
        <v>793</v>
      </c>
      <c r="E95" s="93">
        <v>76</v>
      </c>
      <c r="F95" s="93" t="s">
        <v>751</v>
      </c>
      <c r="G95" s="92" t="s">
        <v>794</v>
      </c>
      <c r="H95" s="236" t="s">
        <v>795</v>
      </c>
      <c r="I95" s="131" t="s">
        <v>754</v>
      </c>
      <c r="J95" s="127" t="s">
        <v>755</v>
      </c>
      <c r="K95" s="99" t="s">
        <v>796</v>
      </c>
      <c r="L95" s="98" t="s">
        <v>797</v>
      </c>
      <c r="M95" s="99">
        <v>2022</v>
      </c>
      <c r="N95" s="99" t="s">
        <v>248</v>
      </c>
      <c r="O95" s="99">
        <v>0</v>
      </c>
      <c r="P95" s="116">
        <v>3</v>
      </c>
      <c r="Q95" s="116">
        <v>5</v>
      </c>
      <c r="R95" s="128">
        <v>1500</v>
      </c>
      <c r="S95" s="152"/>
      <c r="T95" s="217"/>
      <c r="U95" s="217"/>
      <c r="V95" s="237">
        <v>500</v>
      </c>
      <c r="W95" s="233" t="s">
        <v>798</v>
      </c>
      <c r="X95" s="64"/>
      <c r="Y95" s="221"/>
      <c r="Z95" s="221"/>
      <c r="AA95" s="221"/>
      <c r="AB95" s="221"/>
      <c r="AC95" s="221"/>
      <c r="AD95" s="221"/>
      <c r="AE95" s="221"/>
    </row>
    <row r="96" spans="1:31" ht="15.75" customHeight="1">
      <c r="A96" s="131" t="s">
        <v>799</v>
      </c>
      <c r="B96" s="99" t="s">
        <v>800</v>
      </c>
      <c r="C96" s="92" t="s">
        <v>141</v>
      </c>
      <c r="D96" s="99"/>
      <c r="E96" s="99"/>
      <c r="F96" s="99"/>
      <c r="G96" s="99"/>
      <c r="H96" s="133" t="s">
        <v>801</v>
      </c>
      <c r="I96" s="236" t="s">
        <v>802</v>
      </c>
      <c r="J96" s="133" t="s">
        <v>803</v>
      </c>
      <c r="K96" s="238" t="s">
        <v>804</v>
      </c>
      <c r="L96" s="135" t="s">
        <v>805</v>
      </c>
      <c r="M96" s="99">
        <v>2022</v>
      </c>
      <c r="N96" s="99" t="s">
        <v>806</v>
      </c>
      <c r="O96" s="99">
        <v>0</v>
      </c>
      <c r="P96" s="116">
        <v>4</v>
      </c>
      <c r="Q96" s="116">
        <v>4</v>
      </c>
      <c r="R96" s="128">
        <v>200</v>
      </c>
      <c r="S96" s="152" t="s">
        <v>807</v>
      </c>
      <c r="T96" s="239" t="s">
        <v>808</v>
      </c>
      <c r="U96" s="239" t="s">
        <v>809</v>
      </c>
      <c r="V96" s="237">
        <v>50</v>
      </c>
      <c r="W96" s="233" t="s">
        <v>798</v>
      </c>
      <c r="X96" s="64"/>
      <c r="Y96" s="221"/>
      <c r="Z96" s="221"/>
      <c r="AA96" s="221"/>
      <c r="AB96" s="221"/>
      <c r="AC96" s="221"/>
      <c r="AD96" s="221"/>
      <c r="AE96" s="221"/>
    </row>
    <row r="97" spans="1:31" ht="15.75" customHeight="1">
      <c r="A97" s="133" t="s">
        <v>810</v>
      </c>
      <c r="B97" s="99" t="s">
        <v>811</v>
      </c>
      <c r="C97" s="92" t="s">
        <v>141</v>
      </c>
      <c r="D97" s="92" t="s">
        <v>812</v>
      </c>
      <c r="E97" s="99">
        <v>8</v>
      </c>
      <c r="F97" s="99">
        <v>4</v>
      </c>
      <c r="G97" s="99" t="s">
        <v>813</v>
      </c>
      <c r="H97" s="240" t="s">
        <v>814</v>
      </c>
      <c r="I97" s="236" t="s">
        <v>815</v>
      </c>
      <c r="J97" s="133" t="s">
        <v>816</v>
      </c>
      <c r="K97" s="238" t="s">
        <v>817</v>
      </c>
      <c r="L97" s="135" t="s">
        <v>818</v>
      </c>
      <c r="M97" s="99">
        <v>2022</v>
      </c>
      <c r="N97" s="99" t="s">
        <v>220</v>
      </c>
      <c r="O97" s="99">
        <v>0</v>
      </c>
      <c r="P97" s="116">
        <v>3</v>
      </c>
      <c r="Q97" s="116">
        <v>3</v>
      </c>
      <c r="R97" s="132">
        <v>1000</v>
      </c>
      <c r="S97" s="136"/>
      <c r="T97" s="217"/>
      <c r="U97" s="217"/>
      <c r="V97" s="241">
        <v>333.33</v>
      </c>
      <c r="W97" s="233" t="s">
        <v>798</v>
      </c>
      <c r="X97" s="64"/>
      <c r="Y97" s="221"/>
      <c r="Z97" s="221"/>
      <c r="AA97" s="221"/>
      <c r="AB97" s="221"/>
      <c r="AC97" s="221"/>
      <c r="AD97" s="221"/>
      <c r="AE97" s="221"/>
    </row>
    <row r="98" spans="1:31" ht="15.75" customHeight="1">
      <c r="A98" s="121" t="s">
        <v>819</v>
      </c>
      <c r="B98" s="99" t="s">
        <v>820</v>
      </c>
      <c r="C98" s="92" t="s">
        <v>141</v>
      </c>
      <c r="D98" s="92" t="s">
        <v>821</v>
      </c>
      <c r="E98" s="99">
        <v>18</v>
      </c>
      <c r="F98" s="99">
        <v>2</v>
      </c>
      <c r="G98" s="99" t="s">
        <v>822</v>
      </c>
      <c r="H98" s="240" t="s">
        <v>823</v>
      </c>
      <c r="I98" s="240" t="s">
        <v>824</v>
      </c>
      <c r="J98" s="133" t="s">
        <v>825</v>
      </c>
      <c r="K98" s="99"/>
      <c r="L98" s="135" t="s">
        <v>826</v>
      </c>
      <c r="M98" s="99">
        <v>2022</v>
      </c>
      <c r="N98" s="99" t="s">
        <v>230</v>
      </c>
      <c r="O98" s="99">
        <v>0</v>
      </c>
      <c r="P98" s="116">
        <v>1</v>
      </c>
      <c r="Q98" s="116">
        <v>2</v>
      </c>
      <c r="R98" s="132">
        <v>300</v>
      </c>
      <c r="S98" s="136"/>
      <c r="T98" s="103"/>
      <c r="U98" s="103"/>
      <c r="V98" s="242">
        <v>300</v>
      </c>
      <c r="W98" s="159" t="s">
        <v>798</v>
      </c>
      <c r="X98" s="1"/>
      <c r="Y98" s="216"/>
      <c r="Z98" s="216"/>
      <c r="AA98" s="216"/>
      <c r="AB98" s="216"/>
      <c r="AC98" s="216"/>
      <c r="AD98" s="216"/>
      <c r="AE98" s="216"/>
    </row>
    <row r="99" spans="1:31" ht="15.75" customHeight="1">
      <c r="A99" s="90" t="s">
        <v>748</v>
      </c>
      <c r="B99" s="91" t="s">
        <v>827</v>
      </c>
      <c r="C99" s="92" t="s">
        <v>141</v>
      </c>
      <c r="D99" s="92" t="s">
        <v>793</v>
      </c>
      <c r="E99" s="93">
        <v>76</v>
      </c>
      <c r="F99" s="94"/>
      <c r="G99" s="92" t="s">
        <v>794</v>
      </c>
      <c r="H99" s="96" t="s">
        <v>753</v>
      </c>
      <c r="I99" s="96" t="s">
        <v>754</v>
      </c>
      <c r="J99" s="127" t="s">
        <v>755</v>
      </c>
      <c r="K99" s="243" t="s">
        <v>828</v>
      </c>
      <c r="L99" s="98"/>
      <c r="M99" s="99">
        <v>2022</v>
      </c>
      <c r="N99" s="99" t="s">
        <v>248</v>
      </c>
      <c r="O99" s="99">
        <v>3</v>
      </c>
      <c r="P99" s="100">
        <v>3</v>
      </c>
      <c r="Q99" s="100">
        <v>5</v>
      </c>
      <c r="R99" s="100">
        <v>1500</v>
      </c>
      <c r="S99" s="149"/>
      <c r="T99" s="117"/>
      <c r="U99" s="103"/>
      <c r="V99" s="114">
        <v>500</v>
      </c>
      <c r="W99" s="103" t="s">
        <v>829</v>
      </c>
      <c r="X99" s="1"/>
      <c r="Y99" s="216"/>
      <c r="Z99" s="216"/>
      <c r="AA99" s="216"/>
      <c r="AB99" s="216"/>
      <c r="AC99" s="216"/>
      <c r="AD99" s="216"/>
      <c r="AE99" s="216"/>
    </row>
    <row r="100" spans="1:31" ht="15.75" customHeight="1">
      <c r="A100" s="90" t="s">
        <v>511</v>
      </c>
      <c r="B100" s="91" t="s">
        <v>512</v>
      </c>
      <c r="C100" s="92" t="s">
        <v>141</v>
      </c>
      <c r="D100" s="92" t="s">
        <v>496</v>
      </c>
      <c r="E100" s="92">
        <v>22</v>
      </c>
      <c r="F100" s="92">
        <v>2</v>
      </c>
      <c r="G100" s="92" t="s">
        <v>403</v>
      </c>
      <c r="H100" s="130" t="s">
        <v>513</v>
      </c>
      <c r="I100" s="130" t="s">
        <v>514</v>
      </c>
      <c r="J100" s="131" t="s">
        <v>515</v>
      </c>
      <c r="K100" s="244" t="s">
        <v>830</v>
      </c>
      <c r="L100" s="115" t="s">
        <v>831</v>
      </c>
      <c r="M100" s="99">
        <v>2022</v>
      </c>
      <c r="N100" s="99" t="s">
        <v>220</v>
      </c>
      <c r="O100" s="99">
        <v>3</v>
      </c>
      <c r="P100" s="116">
        <v>3</v>
      </c>
      <c r="Q100" s="116">
        <v>3</v>
      </c>
      <c r="R100" s="116">
        <v>1000</v>
      </c>
      <c r="S100" s="141"/>
      <c r="T100" s="117"/>
      <c r="U100" s="103"/>
      <c r="V100" s="114">
        <v>333.33</v>
      </c>
      <c r="W100" s="103" t="s">
        <v>829</v>
      </c>
      <c r="X100" s="1"/>
      <c r="Y100" s="216"/>
      <c r="Z100" s="216"/>
      <c r="AA100" s="216"/>
      <c r="AB100" s="216"/>
      <c r="AC100" s="216"/>
      <c r="AD100" s="216"/>
      <c r="AE100" s="216"/>
    </row>
    <row r="101" spans="1:31" ht="15.75" customHeight="1">
      <c r="A101" s="121" t="s">
        <v>832</v>
      </c>
      <c r="B101" s="99" t="s">
        <v>833</v>
      </c>
      <c r="C101" s="99" t="s">
        <v>141</v>
      </c>
      <c r="D101" s="99" t="s">
        <v>834</v>
      </c>
      <c r="E101" s="99">
        <v>12</v>
      </c>
      <c r="F101" s="99">
        <v>3</v>
      </c>
      <c r="G101" s="99" t="s">
        <v>235</v>
      </c>
      <c r="H101" s="130" t="s">
        <v>835</v>
      </c>
      <c r="I101" s="130" t="s">
        <v>836</v>
      </c>
      <c r="J101" s="133" t="s">
        <v>837</v>
      </c>
      <c r="K101" s="245" t="s">
        <v>838</v>
      </c>
      <c r="L101" s="135" t="s">
        <v>839</v>
      </c>
      <c r="M101" s="99">
        <v>2022</v>
      </c>
      <c r="N101" s="99" t="s">
        <v>220</v>
      </c>
      <c r="O101" s="99">
        <v>5</v>
      </c>
      <c r="P101" s="100">
        <v>5</v>
      </c>
      <c r="Q101" s="100">
        <v>5</v>
      </c>
      <c r="R101" s="100">
        <v>1000</v>
      </c>
      <c r="S101" s="149"/>
      <c r="T101" s="117"/>
      <c r="U101" s="103"/>
      <c r="V101" s="114">
        <v>200</v>
      </c>
      <c r="W101" s="103" t="s">
        <v>829</v>
      </c>
      <c r="X101" s="1"/>
      <c r="Y101" s="216"/>
      <c r="Z101" s="216"/>
      <c r="AA101" s="216"/>
      <c r="AB101" s="216"/>
      <c r="AC101" s="216"/>
      <c r="AD101" s="216"/>
      <c r="AE101" s="216"/>
    </row>
    <row r="102" spans="1:31" ht="15.75" customHeight="1">
      <c r="A102" s="121" t="s">
        <v>840</v>
      </c>
      <c r="B102" s="99" t="s">
        <v>841</v>
      </c>
      <c r="C102" s="99" t="s">
        <v>141</v>
      </c>
      <c r="D102" s="99" t="s">
        <v>842</v>
      </c>
      <c r="E102" s="99">
        <v>10</v>
      </c>
      <c r="F102" s="99"/>
      <c r="G102" s="99" t="s">
        <v>843</v>
      </c>
      <c r="H102" s="130" t="s">
        <v>844</v>
      </c>
      <c r="I102" s="130" t="s">
        <v>845</v>
      </c>
      <c r="J102" s="133" t="s">
        <v>846</v>
      </c>
      <c r="K102" s="245" t="s">
        <v>847</v>
      </c>
      <c r="L102" s="135" t="s">
        <v>848</v>
      </c>
      <c r="M102" s="99">
        <v>2022</v>
      </c>
      <c r="N102" s="99" t="s">
        <v>220</v>
      </c>
      <c r="O102" s="99">
        <v>6</v>
      </c>
      <c r="P102" s="116">
        <v>6</v>
      </c>
      <c r="Q102" s="116">
        <v>6</v>
      </c>
      <c r="R102" s="116">
        <v>1000</v>
      </c>
      <c r="S102" s="141"/>
      <c r="T102" s="117"/>
      <c r="U102" s="103"/>
      <c r="V102" s="114">
        <v>166.67</v>
      </c>
      <c r="W102" s="103" t="s">
        <v>829</v>
      </c>
      <c r="X102" s="1"/>
      <c r="Y102" s="216"/>
      <c r="Z102" s="216"/>
      <c r="AA102" s="216"/>
      <c r="AB102" s="216"/>
      <c r="AC102" s="216"/>
      <c r="AD102" s="216"/>
      <c r="AE102" s="216"/>
    </row>
    <row r="103" spans="1:31" ht="15.75" customHeight="1">
      <c r="A103" s="121" t="s">
        <v>519</v>
      </c>
      <c r="B103" s="99" t="s">
        <v>520</v>
      </c>
      <c r="C103" s="99" t="s">
        <v>141</v>
      </c>
      <c r="D103" s="99" t="s">
        <v>521</v>
      </c>
      <c r="E103" s="99">
        <v>10</v>
      </c>
      <c r="F103" s="99">
        <v>15</v>
      </c>
      <c r="G103" s="99" t="s">
        <v>522</v>
      </c>
      <c r="H103" s="130" t="s">
        <v>523</v>
      </c>
      <c r="I103" s="130" t="s">
        <v>524</v>
      </c>
      <c r="J103" s="133" t="s">
        <v>525</v>
      </c>
      <c r="K103" s="245" t="s">
        <v>849</v>
      </c>
      <c r="L103" s="135" t="s">
        <v>850</v>
      </c>
      <c r="M103" s="99">
        <v>2022</v>
      </c>
      <c r="N103" s="99" t="s">
        <v>248</v>
      </c>
      <c r="O103" s="99">
        <v>5</v>
      </c>
      <c r="P103" s="116">
        <v>5</v>
      </c>
      <c r="Q103" s="116">
        <v>5</v>
      </c>
      <c r="R103" s="116">
        <v>1500</v>
      </c>
      <c r="S103" s="141"/>
      <c r="T103" s="117"/>
      <c r="U103" s="103"/>
      <c r="V103" s="114">
        <v>300</v>
      </c>
      <c r="W103" s="103" t="s">
        <v>829</v>
      </c>
      <c r="X103" s="1"/>
      <c r="Y103" s="216"/>
      <c r="Z103" s="216"/>
      <c r="AA103" s="216"/>
      <c r="AB103" s="216"/>
      <c r="AC103" s="216"/>
      <c r="AD103" s="216"/>
      <c r="AE103" s="216"/>
    </row>
    <row r="104" spans="1:31" ht="15.75" customHeight="1">
      <c r="A104" s="121" t="s">
        <v>799</v>
      </c>
      <c r="B104" s="99" t="s">
        <v>851</v>
      </c>
      <c r="C104" s="99" t="s">
        <v>141</v>
      </c>
      <c r="D104" s="99"/>
      <c r="E104" s="99"/>
      <c r="F104" s="99"/>
      <c r="G104" s="99"/>
      <c r="H104" s="130" t="s">
        <v>852</v>
      </c>
      <c r="I104" s="130" t="s">
        <v>853</v>
      </c>
      <c r="J104" s="133" t="s">
        <v>803</v>
      </c>
      <c r="K104" s="245"/>
      <c r="L104" s="135" t="s">
        <v>854</v>
      </c>
      <c r="M104" s="99">
        <v>2022</v>
      </c>
      <c r="N104" s="99"/>
      <c r="O104" s="99">
        <v>4</v>
      </c>
      <c r="P104" s="116">
        <v>4</v>
      </c>
      <c r="Q104" s="116">
        <v>4</v>
      </c>
      <c r="R104" s="116">
        <v>200</v>
      </c>
      <c r="S104" s="133" t="s">
        <v>855</v>
      </c>
      <c r="T104" s="136" t="s">
        <v>808</v>
      </c>
      <c r="U104" s="133" t="s">
        <v>809</v>
      </c>
      <c r="V104" s="114">
        <v>50</v>
      </c>
      <c r="W104" s="103" t="s">
        <v>829</v>
      </c>
      <c r="X104" s="1"/>
      <c r="Y104" s="216"/>
      <c r="Z104" s="216"/>
      <c r="AA104" s="216"/>
      <c r="AB104" s="216"/>
      <c r="AC104" s="216"/>
      <c r="AD104" s="216"/>
      <c r="AE104" s="216"/>
    </row>
    <row r="105" spans="1:31" ht="15.75" customHeight="1">
      <c r="A105" s="121" t="s">
        <v>856</v>
      </c>
      <c r="B105" s="99" t="s">
        <v>857</v>
      </c>
      <c r="C105" s="99" t="s">
        <v>141</v>
      </c>
      <c r="D105" s="99" t="s">
        <v>858</v>
      </c>
      <c r="E105" s="99">
        <v>37</v>
      </c>
      <c r="F105" s="99">
        <v>11</v>
      </c>
      <c r="G105" s="99" t="s">
        <v>859</v>
      </c>
      <c r="H105" s="130" t="s">
        <v>860</v>
      </c>
      <c r="I105" s="130" t="s">
        <v>861</v>
      </c>
      <c r="J105" s="133" t="s">
        <v>862</v>
      </c>
      <c r="K105" s="245" t="s">
        <v>863</v>
      </c>
      <c r="L105" s="135" t="s">
        <v>864</v>
      </c>
      <c r="M105" s="99">
        <v>2022</v>
      </c>
      <c r="N105" s="99" t="s">
        <v>248</v>
      </c>
      <c r="O105" s="99">
        <v>2</v>
      </c>
      <c r="P105" s="116">
        <v>2</v>
      </c>
      <c r="Q105" s="116">
        <v>4</v>
      </c>
      <c r="R105" s="116">
        <v>1500</v>
      </c>
      <c r="S105" s="141"/>
      <c r="T105" s="117"/>
      <c r="U105" s="103"/>
      <c r="V105" s="114">
        <v>750</v>
      </c>
      <c r="W105" s="103" t="s">
        <v>829</v>
      </c>
      <c r="X105" s="1"/>
      <c r="Y105" s="216"/>
      <c r="Z105" s="216"/>
      <c r="AA105" s="216"/>
      <c r="AB105" s="216"/>
      <c r="AC105" s="216"/>
      <c r="AD105" s="216"/>
      <c r="AE105" s="216"/>
    </row>
    <row r="106" spans="1:31" ht="15.75" customHeight="1">
      <c r="A106" s="121" t="s">
        <v>832</v>
      </c>
      <c r="B106" s="99" t="s">
        <v>833</v>
      </c>
      <c r="C106" s="99" t="s">
        <v>141</v>
      </c>
      <c r="D106" s="99" t="s">
        <v>834</v>
      </c>
      <c r="E106" s="99">
        <v>12</v>
      </c>
      <c r="F106" s="99">
        <v>3</v>
      </c>
      <c r="G106" s="99" t="s">
        <v>235</v>
      </c>
      <c r="H106" s="130" t="s">
        <v>835</v>
      </c>
      <c r="I106" s="130" t="s">
        <v>836</v>
      </c>
      <c r="J106" s="133" t="s">
        <v>837</v>
      </c>
      <c r="K106" s="245" t="s">
        <v>838</v>
      </c>
      <c r="L106" s="135" t="s">
        <v>839</v>
      </c>
      <c r="M106" s="99">
        <v>2022</v>
      </c>
      <c r="N106" s="99" t="s">
        <v>220</v>
      </c>
      <c r="O106" s="99">
        <v>5</v>
      </c>
      <c r="P106" s="100">
        <v>5</v>
      </c>
      <c r="Q106" s="100">
        <v>5</v>
      </c>
      <c r="R106" s="100">
        <v>1000</v>
      </c>
      <c r="S106" s="149"/>
      <c r="T106" s="117"/>
      <c r="U106" s="103"/>
      <c r="V106" s="114">
        <v>200</v>
      </c>
      <c r="W106" s="103" t="s">
        <v>865</v>
      </c>
      <c r="X106" s="1"/>
      <c r="Y106" s="216"/>
      <c r="Z106" s="216"/>
      <c r="AA106" s="216"/>
      <c r="AB106" s="216"/>
      <c r="AC106" s="216"/>
      <c r="AD106" s="216"/>
      <c r="AE106" s="216"/>
    </row>
    <row r="107" spans="1:31" ht="15.75" customHeight="1">
      <c r="A107" s="121" t="s">
        <v>840</v>
      </c>
      <c r="B107" s="99" t="s">
        <v>841</v>
      </c>
      <c r="C107" s="99" t="s">
        <v>141</v>
      </c>
      <c r="D107" s="99" t="s">
        <v>842</v>
      </c>
      <c r="E107" s="99">
        <v>10</v>
      </c>
      <c r="F107" s="99"/>
      <c r="G107" s="99" t="s">
        <v>843</v>
      </c>
      <c r="H107" s="130" t="s">
        <v>844</v>
      </c>
      <c r="I107" s="130" t="s">
        <v>845</v>
      </c>
      <c r="J107" s="133" t="s">
        <v>846</v>
      </c>
      <c r="K107" s="245" t="s">
        <v>847</v>
      </c>
      <c r="L107" s="135" t="s">
        <v>848</v>
      </c>
      <c r="M107" s="99">
        <v>2022</v>
      </c>
      <c r="N107" s="99" t="s">
        <v>220</v>
      </c>
      <c r="O107" s="99">
        <v>6</v>
      </c>
      <c r="P107" s="116">
        <v>6</v>
      </c>
      <c r="Q107" s="116">
        <v>6</v>
      </c>
      <c r="R107" s="116">
        <v>1000</v>
      </c>
      <c r="S107" s="141"/>
      <c r="T107" s="117"/>
      <c r="U107" s="103"/>
      <c r="V107" s="114">
        <v>166.67</v>
      </c>
      <c r="W107" s="103" t="s">
        <v>865</v>
      </c>
      <c r="X107" s="1"/>
      <c r="Y107" s="216"/>
      <c r="Z107" s="216"/>
      <c r="AA107" s="216"/>
      <c r="AB107" s="216"/>
      <c r="AC107" s="216"/>
      <c r="AD107" s="216"/>
      <c r="AE107" s="216"/>
    </row>
    <row r="108" spans="1:31" ht="15.75" customHeight="1">
      <c r="A108" s="121" t="s">
        <v>519</v>
      </c>
      <c r="B108" s="99" t="s">
        <v>520</v>
      </c>
      <c r="C108" s="99" t="s">
        <v>141</v>
      </c>
      <c r="D108" s="99" t="s">
        <v>521</v>
      </c>
      <c r="E108" s="99">
        <v>10</v>
      </c>
      <c r="F108" s="99">
        <v>15</v>
      </c>
      <c r="G108" s="99" t="s">
        <v>522</v>
      </c>
      <c r="H108" s="130" t="s">
        <v>523</v>
      </c>
      <c r="I108" s="130" t="s">
        <v>524</v>
      </c>
      <c r="J108" s="133" t="s">
        <v>525</v>
      </c>
      <c r="K108" s="245" t="s">
        <v>849</v>
      </c>
      <c r="L108" s="135" t="s">
        <v>850</v>
      </c>
      <c r="M108" s="99">
        <v>2022</v>
      </c>
      <c r="N108" s="99" t="s">
        <v>248</v>
      </c>
      <c r="O108" s="99">
        <v>5</v>
      </c>
      <c r="P108" s="116">
        <v>5</v>
      </c>
      <c r="Q108" s="116">
        <v>5</v>
      </c>
      <c r="R108" s="116">
        <v>1500</v>
      </c>
      <c r="S108" s="141"/>
      <c r="T108" s="117"/>
      <c r="U108" s="103"/>
      <c r="V108" s="114">
        <v>300</v>
      </c>
      <c r="W108" s="103" t="s">
        <v>865</v>
      </c>
      <c r="X108" s="1"/>
      <c r="Y108" s="216"/>
      <c r="Z108" s="216"/>
      <c r="AA108" s="216"/>
      <c r="AB108" s="216"/>
      <c r="AC108" s="216"/>
      <c r="AD108" s="216"/>
      <c r="AE108" s="216"/>
    </row>
    <row r="109" spans="1:31" ht="15.75" customHeight="1">
      <c r="A109" s="121" t="s">
        <v>528</v>
      </c>
      <c r="B109" s="99" t="s">
        <v>529</v>
      </c>
      <c r="C109" s="99" t="s">
        <v>141</v>
      </c>
      <c r="D109" s="99"/>
      <c r="E109" s="99"/>
      <c r="F109" s="99"/>
      <c r="G109" s="99"/>
      <c r="H109" s="130" t="s">
        <v>530</v>
      </c>
      <c r="I109" s="130" t="s">
        <v>531</v>
      </c>
      <c r="J109" s="133" t="s">
        <v>532</v>
      </c>
      <c r="K109" s="134" t="s">
        <v>533</v>
      </c>
      <c r="L109" s="135" t="s">
        <v>534</v>
      </c>
      <c r="M109" s="99">
        <v>2021</v>
      </c>
      <c r="N109" s="99"/>
      <c r="O109" s="99">
        <v>3</v>
      </c>
      <c r="P109" s="100">
        <v>3</v>
      </c>
      <c r="Q109" s="100">
        <v>6</v>
      </c>
      <c r="R109" s="140">
        <v>200</v>
      </c>
      <c r="S109" s="136" t="s">
        <v>535</v>
      </c>
      <c r="T109" s="138" t="s">
        <v>536</v>
      </c>
      <c r="U109" s="138" t="s">
        <v>537</v>
      </c>
      <c r="V109" s="104">
        <v>66.67</v>
      </c>
      <c r="W109" s="103" t="s">
        <v>865</v>
      </c>
      <c r="X109" s="1"/>
      <c r="Y109" s="216"/>
      <c r="Z109" s="216"/>
      <c r="AA109" s="216"/>
      <c r="AB109" s="216"/>
      <c r="AC109" s="216"/>
      <c r="AD109" s="216"/>
      <c r="AE109" s="216"/>
    </row>
    <row r="110" spans="1:31" ht="15.75" customHeight="1">
      <c r="A110" s="121" t="s">
        <v>866</v>
      </c>
      <c r="B110" s="99" t="s">
        <v>867</v>
      </c>
      <c r="C110" s="99" t="s">
        <v>141</v>
      </c>
      <c r="D110" s="99" t="s">
        <v>868</v>
      </c>
      <c r="E110" s="99">
        <v>199</v>
      </c>
      <c r="F110" s="99"/>
      <c r="G110" s="99" t="s">
        <v>869</v>
      </c>
      <c r="H110" s="130" t="s">
        <v>870</v>
      </c>
      <c r="I110" s="130" t="s">
        <v>871</v>
      </c>
      <c r="J110" s="133" t="s">
        <v>872</v>
      </c>
      <c r="K110" s="134" t="s">
        <v>873</v>
      </c>
      <c r="L110" s="135" t="s">
        <v>874</v>
      </c>
      <c r="M110" s="99">
        <v>2022</v>
      </c>
      <c r="N110" s="99"/>
      <c r="O110" s="99">
        <v>3</v>
      </c>
      <c r="P110" s="116">
        <v>3</v>
      </c>
      <c r="Q110" s="116">
        <v>3</v>
      </c>
      <c r="R110" s="132">
        <v>300</v>
      </c>
      <c r="S110" s="136" t="s">
        <v>875</v>
      </c>
      <c r="T110" s="217" t="s">
        <v>876</v>
      </c>
      <c r="U110" s="103"/>
      <c r="V110" s="104">
        <v>100</v>
      </c>
      <c r="W110" s="103" t="s">
        <v>865</v>
      </c>
      <c r="X110" s="1"/>
      <c r="Y110" s="216"/>
      <c r="Z110" s="216"/>
      <c r="AA110" s="216"/>
      <c r="AB110" s="216"/>
      <c r="AC110" s="216"/>
      <c r="AD110" s="216"/>
      <c r="AE110" s="216"/>
    </row>
    <row r="111" spans="1:31" ht="15.75" customHeight="1">
      <c r="A111" s="121" t="s">
        <v>877</v>
      </c>
      <c r="B111" s="99" t="s">
        <v>878</v>
      </c>
      <c r="C111" s="99" t="s">
        <v>141</v>
      </c>
      <c r="D111" s="99" t="s">
        <v>868</v>
      </c>
      <c r="E111" s="99">
        <v>214</v>
      </c>
      <c r="F111" s="99"/>
      <c r="G111" s="99" t="s">
        <v>869</v>
      </c>
      <c r="H111" s="130" t="s">
        <v>879</v>
      </c>
      <c r="I111" s="130" t="s">
        <v>880</v>
      </c>
      <c r="J111" s="133" t="s">
        <v>881</v>
      </c>
      <c r="K111" s="134"/>
      <c r="L111" s="135" t="s">
        <v>882</v>
      </c>
      <c r="M111" s="99">
        <v>2022</v>
      </c>
      <c r="N111" s="99"/>
      <c r="O111" s="99">
        <v>3</v>
      </c>
      <c r="P111" s="116">
        <v>3</v>
      </c>
      <c r="Q111" s="116">
        <v>3</v>
      </c>
      <c r="R111" s="132">
        <v>300</v>
      </c>
      <c r="S111" s="136" t="s">
        <v>883</v>
      </c>
      <c r="T111" s="103" t="s">
        <v>884</v>
      </c>
      <c r="U111" s="103"/>
      <c r="V111" s="104">
        <v>100</v>
      </c>
      <c r="W111" s="103" t="s">
        <v>865</v>
      </c>
      <c r="X111" s="1"/>
      <c r="Y111" s="216"/>
      <c r="Z111" s="216"/>
      <c r="AA111" s="216"/>
      <c r="AB111" s="216"/>
      <c r="AC111" s="216"/>
      <c r="AD111" s="216"/>
      <c r="AE111" s="216"/>
    </row>
    <row r="112" spans="1:31" ht="15.75" customHeight="1">
      <c r="A112" s="90" t="s">
        <v>778</v>
      </c>
      <c r="B112" s="91" t="s">
        <v>885</v>
      </c>
      <c r="C112" s="92" t="s">
        <v>141</v>
      </c>
      <c r="D112" s="92" t="s">
        <v>886</v>
      </c>
      <c r="E112" s="93">
        <v>12</v>
      </c>
      <c r="F112" s="94">
        <v>6</v>
      </c>
      <c r="G112" s="92" t="s">
        <v>887</v>
      </c>
      <c r="H112" s="96" t="s">
        <v>888</v>
      </c>
      <c r="I112" s="96" t="s">
        <v>781</v>
      </c>
      <c r="J112" s="96" t="s">
        <v>782</v>
      </c>
      <c r="K112" s="97" t="s">
        <v>783</v>
      </c>
      <c r="L112" s="98" t="s">
        <v>889</v>
      </c>
      <c r="M112" s="99">
        <v>2022</v>
      </c>
      <c r="N112" s="99" t="s">
        <v>220</v>
      </c>
      <c r="O112" s="99">
        <v>5</v>
      </c>
      <c r="P112" s="100">
        <v>2</v>
      </c>
      <c r="Q112" s="100">
        <v>5</v>
      </c>
      <c r="R112" s="100">
        <v>1000</v>
      </c>
      <c r="S112" s="246"/>
      <c r="T112" s="246"/>
      <c r="U112" s="149"/>
      <c r="V112" s="114">
        <v>200</v>
      </c>
      <c r="W112" s="103" t="s">
        <v>890</v>
      </c>
      <c r="X112" s="1"/>
      <c r="Y112" s="216"/>
      <c r="Z112" s="216"/>
      <c r="AA112" s="216"/>
      <c r="AB112" s="216"/>
      <c r="AC112" s="216"/>
      <c r="AD112" s="216"/>
      <c r="AE112" s="216"/>
    </row>
    <row r="113" spans="1:31" ht="15.75" customHeight="1">
      <c r="A113" s="90" t="s">
        <v>877</v>
      </c>
      <c r="B113" s="134" t="s">
        <v>891</v>
      </c>
      <c r="C113" s="92" t="s">
        <v>141</v>
      </c>
      <c r="D113" s="92" t="s">
        <v>868</v>
      </c>
      <c r="E113" s="92">
        <v>214</v>
      </c>
      <c r="F113" s="92" t="s">
        <v>892</v>
      </c>
      <c r="G113" s="92" t="s">
        <v>893</v>
      </c>
      <c r="H113" s="130" t="s">
        <v>894</v>
      </c>
      <c r="I113" s="130" t="s">
        <v>880</v>
      </c>
      <c r="J113" s="142" t="s">
        <v>895</v>
      </c>
      <c r="K113" s="91" t="s">
        <v>635</v>
      </c>
      <c r="L113" s="115" t="s">
        <v>896</v>
      </c>
      <c r="M113" s="99">
        <v>2022</v>
      </c>
      <c r="N113" s="99" t="s">
        <v>897</v>
      </c>
      <c r="O113" s="99">
        <v>3</v>
      </c>
      <c r="P113" s="116">
        <v>3</v>
      </c>
      <c r="Q113" s="116">
        <v>3</v>
      </c>
      <c r="R113" s="116">
        <v>300</v>
      </c>
      <c r="S113" s="246"/>
      <c r="T113" s="246"/>
      <c r="U113" s="141"/>
      <c r="V113" s="114">
        <v>100</v>
      </c>
      <c r="W113" s="103" t="s">
        <v>890</v>
      </c>
      <c r="X113" s="1"/>
      <c r="Y113" s="216"/>
      <c r="Z113" s="216"/>
      <c r="AA113" s="216"/>
      <c r="AB113" s="216"/>
      <c r="AC113" s="216"/>
      <c r="AD113" s="216"/>
      <c r="AE113" s="216"/>
    </row>
    <row r="114" spans="1:31" ht="15.75" customHeight="1">
      <c r="A114" s="90" t="s">
        <v>898</v>
      </c>
      <c r="B114" s="91" t="s">
        <v>899</v>
      </c>
      <c r="C114" s="92" t="s">
        <v>141</v>
      </c>
      <c r="D114" s="92" t="s">
        <v>900</v>
      </c>
      <c r="E114" s="92"/>
      <c r="F114" s="99"/>
      <c r="G114" s="92"/>
      <c r="H114" s="130" t="s">
        <v>901</v>
      </c>
      <c r="I114" s="138"/>
      <c r="J114" s="133" t="s">
        <v>902</v>
      </c>
      <c r="K114" s="134"/>
      <c r="L114" s="135" t="s">
        <v>903</v>
      </c>
      <c r="M114" s="99">
        <v>2022</v>
      </c>
      <c r="N114" s="99"/>
      <c r="O114" s="99">
        <v>6</v>
      </c>
      <c r="P114" s="100">
        <v>1</v>
      </c>
      <c r="Q114" s="100">
        <v>6</v>
      </c>
      <c r="R114" s="100">
        <v>200</v>
      </c>
      <c r="S114" s="136" t="s">
        <v>904</v>
      </c>
      <c r="T114" s="247" t="s">
        <v>905</v>
      </c>
      <c r="U114" s="103"/>
      <c r="V114" s="248">
        <v>33.33</v>
      </c>
      <c r="W114" s="103" t="s">
        <v>906</v>
      </c>
      <c r="X114" s="1"/>
      <c r="Y114" s="216"/>
      <c r="Z114" s="216"/>
      <c r="AA114" s="216"/>
      <c r="AB114" s="216"/>
      <c r="AC114" s="216"/>
      <c r="AD114" s="216"/>
      <c r="AE114" s="216"/>
    </row>
    <row r="115" spans="1:31" ht="15.75" customHeight="1">
      <c r="A115" s="90" t="s">
        <v>907</v>
      </c>
      <c r="B115" s="131" t="s">
        <v>908</v>
      </c>
      <c r="C115" s="92" t="s">
        <v>105</v>
      </c>
      <c r="D115" s="92" t="s">
        <v>909</v>
      </c>
      <c r="E115" s="93">
        <v>62</v>
      </c>
      <c r="F115" s="94">
        <v>5</v>
      </c>
      <c r="G115" s="92" t="s">
        <v>910</v>
      </c>
      <c r="H115" s="96" t="s">
        <v>911</v>
      </c>
      <c r="I115" s="96" t="s">
        <v>912</v>
      </c>
      <c r="J115" s="96" t="s">
        <v>913</v>
      </c>
      <c r="K115" s="249"/>
      <c r="L115" s="98" t="s">
        <v>914</v>
      </c>
      <c r="M115" s="99">
        <v>2022</v>
      </c>
      <c r="N115" s="99" t="s">
        <v>915</v>
      </c>
      <c r="O115" s="99">
        <v>2</v>
      </c>
      <c r="P115" s="116">
        <v>2</v>
      </c>
      <c r="Q115" s="116">
        <v>3</v>
      </c>
      <c r="R115" s="128">
        <v>300</v>
      </c>
      <c r="S115" s="152"/>
      <c r="T115" s="103"/>
      <c r="U115" s="103"/>
      <c r="V115" s="129">
        <f t="shared" ref="V115:V120" si="7">R115/Q115</f>
        <v>100</v>
      </c>
      <c r="W115" s="105" t="s">
        <v>916</v>
      </c>
      <c r="X115" s="216"/>
      <c r="Y115" s="216"/>
      <c r="Z115" s="216"/>
      <c r="AA115" s="216"/>
      <c r="AB115" s="216"/>
      <c r="AC115" s="216"/>
      <c r="AD115" s="216"/>
      <c r="AE115" s="216"/>
    </row>
    <row r="116" spans="1:31" ht="15.75" customHeight="1">
      <c r="A116" s="90" t="s">
        <v>917</v>
      </c>
      <c r="B116" s="131" t="s">
        <v>918</v>
      </c>
      <c r="C116" s="92" t="s">
        <v>105</v>
      </c>
      <c r="D116" s="92"/>
      <c r="E116" s="92"/>
      <c r="F116" s="92"/>
      <c r="G116" s="92"/>
      <c r="H116" s="133"/>
      <c r="I116" s="130" t="s">
        <v>919</v>
      </c>
      <c r="J116" s="131"/>
      <c r="K116" s="92"/>
      <c r="L116" s="115"/>
      <c r="M116" s="99">
        <v>2022</v>
      </c>
      <c r="N116" s="99" t="s">
        <v>635</v>
      </c>
      <c r="O116" s="99">
        <v>2</v>
      </c>
      <c r="P116" s="116">
        <v>2</v>
      </c>
      <c r="Q116" s="116">
        <v>2</v>
      </c>
      <c r="R116" s="132">
        <v>200</v>
      </c>
      <c r="S116" s="136" t="s">
        <v>920</v>
      </c>
      <c r="T116" s="138" t="s">
        <v>921</v>
      </c>
      <c r="U116" s="138" t="s">
        <v>922</v>
      </c>
      <c r="V116" s="129">
        <f t="shared" si="7"/>
        <v>100</v>
      </c>
      <c r="W116" s="105" t="s">
        <v>916</v>
      </c>
      <c r="X116" s="216"/>
      <c r="Y116" s="216"/>
      <c r="Z116" s="216"/>
      <c r="AA116" s="216"/>
      <c r="AB116" s="216"/>
      <c r="AC116" s="216"/>
      <c r="AD116" s="216"/>
      <c r="AE116" s="216"/>
    </row>
    <row r="117" spans="1:31" ht="15.75" customHeight="1">
      <c r="A117" s="90" t="s">
        <v>923</v>
      </c>
      <c r="B117" s="91" t="s">
        <v>924</v>
      </c>
      <c r="C117" s="92" t="s">
        <v>105</v>
      </c>
      <c r="D117" s="92" t="s">
        <v>925</v>
      </c>
      <c r="E117" s="93">
        <v>10</v>
      </c>
      <c r="F117" s="94">
        <v>7</v>
      </c>
      <c r="G117" s="92" t="s">
        <v>926</v>
      </c>
      <c r="H117" s="96" t="s">
        <v>927</v>
      </c>
      <c r="I117" s="96" t="s">
        <v>928</v>
      </c>
      <c r="J117" s="250" t="s">
        <v>929</v>
      </c>
      <c r="K117" s="91" t="s">
        <v>930</v>
      </c>
      <c r="L117" s="251" t="s">
        <v>588</v>
      </c>
      <c r="M117" s="99">
        <v>2022</v>
      </c>
      <c r="N117" s="99" t="s">
        <v>220</v>
      </c>
      <c r="O117" s="99">
        <v>7</v>
      </c>
      <c r="P117" s="116">
        <v>7</v>
      </c>
      <c r="Q117" s="116">
        <v>7</v>
      </c>
      <c r="R117" s="128">
        <v>1000</v>
      </c>
      <c r="S117" s="251" t="s">
        <v>588</v>
      </c>
      <c r="T117" s="252" t="s">
        <v>588</v>
      </c>
      <c r="U117" s="252" t="s">
        <v>588</v>
      </c>
      <c r="V117" s="248">
        <f t="shared" si="7"/>
        <v>142.85714285714286</v>
      </c>
      <c r="W117" s="105" t="s">
        <v>931</v>
      </c>
      <c r="X117" s="216"/>
      <c r="Y117" s="216"/>
      <c r="Z117" s="216"/>
      <c r="AA117" s="216"/>
      <c r="AB117" s="216"/>
      <c r="AC117" s="216"/>
      <c r="AD117" s="216"/>
      <c r="AE117" s="216"/>
    </row>
    <row r="118" spans="1:31" ht="15.75" customHeight="1">
      <c r="A118" s="90" t="s">
        <v>932</v>
      </c>
      <c r="B118" s="91" t="s">
        <v>933</v>
      </c>
      <c r="C118" s="92" t="s">
        <v>105</v>
      </c>
      <c r="D118" s="92" t="s">
        <v>925</v>
      </c>
      <c r="E118" s="92">
        <v>10</v>
      </c>
      <c r="F118" s="92">
        <v>10</v>
      </c>
      <c r="G118" s="92" t="s">
        <v>926</v>
      </c>
      <c r="H118" s="130" t="s">
        <v>934</v>
      </c>
      <c r="I118" s="130" t="s">
        <v>935</v>
      </c>
      <c r="J118" s="142" t="s">
        <v>936</v>
      </c>
      <c r="K118" s="91" t="s">
        <v>937</v>
      </c>
      <c r="L118" s="251" t="s">
        <v>588</v>
      </c>
      <c r="M118" s="99">
        <v>2022</v>
      </c>
      <c r="N118" s="99" t="s">
        <v>220</v>
      </c>
      <c r="O118" s="99">
        <v>8</v>
      </c>
      <c r="P118" s="116">
        <v>8</v>
      </c>
      <c r="Q118" s="116">
        <v>8</v>
      </c>
      <c r="R118" s="132">
        <v>1000</v>
      </c>
      <c r="S118" s="251" t="s">
        <v>588</v>
      </c>
      <c r="T118" s="251" t="s">
        <v>588</v>
      </c>
      <c r="U118" s="251" t="s">
        <v>588</v>
      </c>
      <c r="V118" s="129">
        <f t="shared" si="7"/>
        <v>125</v>
      </c>
      <c r="W118" s="105" t="s">
        <v>931</v>
      </c>
      <c r="X118" s="216"/>
      <c r="Y118" s="216"/>
      <c r="Z118" s="216"/>
      <c r="AA118" s="216"/>
      <c r="AB118" s="216"/>
      <c r="AC118" s="216"/>
      <c r="AD118" s="216"/>
      <c r="AE118" s="216"/>
    </row>
    <row r="119" spans="1:31" ht="15.75" customHeight="1">
      <c r="A119" s="253" t="s">
        <v>938</v>
      </c>
      <c r="B119" s="254" t="s">
        <v>939</v>
      </c>
      <c r="C119" s="177" t="s">
        <v>105</v>
      </c>
      <c r="D119" s="177" t="s">
        <v>940</v>
      </c>
      <c r="E119" s="177">
        <v>62</v>
      </c>
      <c r="F119" s="177">
        <v>5</v>
      </c>
      <c r="G119" s="177" t="s">
        <v>910</v>
      </c>
      <c r="H119" s="255" t="s">
        <v>941</v>
      </c>
      <c r="I119" s="255" t="s">
        <v>942</v>
      </c>
      <c r="J119" s="255" t="s">
        <v>943</v>
      </c>
      <c r="K119" s="256" t="s">
        <v>944</v>
      </c>
      <c r="L119" s="257" t="s">
        <v>945</v>
      </c>
      <c r="M119" s="177">
        <v>2022</v>
      </c>
      <c r="N119" s="258" t="s">
        <v>635</v>
      </c>
      <c r="O119" s="177">
        <v>4</v>
      </c>
      <c r="P119" s="259">
        <v>4</v>
      </c>
      <c r="Q119" s="259">
        <v>4</v>
      </c>
      <c r="R119" s="260">
        <v>300</v>
      </c>
      <c r="S119" s="261" t="s">
        <v>588</v>
      </c>
      <c r="T119" s="261" t="s">
        <v>588</v>
      </c>
      <c r="U119" s="261" t="s">
        <v>588</v>
      </c>
      <c r="V119" s="129">
        <f t="shared" si="7"/>
        <v>75</v>
      </c>
      <c r="W119" s="105" t="s">
        <v>931</v>
      </c>
      <c r="X119" s="216"/>
      <c r="Y119" s="216"/>
      <c r="Z119" s="216"/>
      <c r="AA119" s="216"/>
      <c r="AB119" s="216"/>
      <c r="AC119" s="216"/>
      <c r="AD119" s="216"/>
      <c r="AE119" s="216"/>
    </row>
    <row r="120" spans="1:31" ht="15.75" customHeight="1">
      <c r="A120" s="121" t="s">
        <v>946</v>
      </c>
      <c r="B120" s="91" t="s">
        <v>939</v>
      </c>
      <c r="C120" s="99" t="s">
        <v>105</v>
      </c>
      <c r="D120" s="262" t="s">
        <v>588</v>
      </c>
      <c r="E120" s="262" t="s">
        <v>588</v>
      </c>
      <c r="F120" s="262" t="s">
        <v>588</v>
      </c>
      <c r="G120" s="262" t="s">
        <v>588</v>
      </c>
      <c r="H120" s="252" t="s">
        <v>588</v>
      </c>
      <c r="I120" s="130" t="s">
        <v>947</v>
      </c>
      <c r="J120" s="252" t="s">
        <v>588</v>
      </c>
      <c r="K120" s="262" t="s">
        <v>588</v>
      </c>
      <c r="L120" s="252" t="s">
        <v>588</v>
      </c>
      <c r="M120" s="99">
        <v>2022</v>
      </c>
      <c r="N120" s="262" t="s">
        <v>635</v>
      </c>
      <c r="O120" s="99">
        <v>4</v>
      </c>
      <c r="P120" s="116">
        <v>4</v>
      </c>
      <c r="Q120" s="116">
        <v>4</v>
      </c>
      <c r="R120" s="116">
        <v>200</v>
      </c>
      <c r="S120" s="136" t="s">
        <v>948</v>
      </c>
      <c r="T120" s="136" t="s">
        <v>921</v>
      </c>
      <c r="U120" s="252" t="s">
        <v>922</v>
      </c>
      <c r="V120" s="129">
        <f t="shared" si="7"/>
        <v>50</v>
      </c>
      <c r="W120" s="105" t="s">
        <v>931</v>
      </c>
      <c r="X120" s="216"/>
      <c r="Y120" s="216"/>
      <c r="Z120" s="216"/>
      <c r="AA120" s="216"/>
      <c r="AB120" s="216"/>
      <c r="AC120" s="216"/>
      <c r="AD120" s="216"/>
      <c r="AE120" s="216"/>
    </row>
    <row r="121" spans="1:31" ht="15.75" customHeight="1">
      <c r="A121" s="90" t="s">
        <v>923</v>
      </c>
      <c r="B121" s="91" t="s">
        <v>949</v>
      </c>
      <c r="C121" s="99" t="s">
        <v>105</v>
      </c>
      <c r="D121" s="92" t="s">
        <v>925</v>
      </c>
      <c r="E121" s="93">
        <v>10</v>
      </c>
      <c r="F121" s="94">
        <v>7</v>
      </c>
      <c r="G121" s="263" t="s">
        <v>950</v>
      </c>
      <c r="H121" s="96" t="s">
        <v>927</v>
      </c>
      <c r="I121" s="264" t="s">
        <v>928</v>
      </c>
      <c r="J121" s="96" t="s">
        <v>929</v>
      </c>
      <c r="K121" s="97" t="s">
        <v>930</v>
      </c>
      <c r="L121" s="98" t="s">
        <v>951</v>
      </c>
      <c r="M121" s="99">
        <v>2022</v>
      </c>
      <c r="N121" s="99" t="s">
        <v>220</v>
      </c>
      <c r="O121" s="99">
        <v>7</v>
      </c>
      <c r="P121" s="100">
        <v>7</v>
      </c>
      <c r="Q121" s="100">
        <v>7</v>
      </c>
      <c r="R121" s="100">
        <v>1000</v>
      </c>
      <c r="S121" s="102"/>
      <c r="T121" s="103"/>
      <c r="U121" s="103"/>
      <c r="V121" s="265">
        <f t="shared" ref="V121:V122" si="8">R121/O121</f>
        <v>142.85714285714286</v>
      </c>
      <c r="W121" s="105" t="s">
        <v>952</v>
      </c>
      <c r="X121" s="216"/>
      <c r="Y121" s="216"/>
      <c r="Z121" s="216"/>
      <c r="AA121" s="216"/>
      <c r="AB121" s="216"/>
      <c r="AC121" s="216"/>
      <c r="AD121" s="216"/>
      <c r="AE121" s="216"/>
    </row>
    <row r="122" spans="1:31" ht="15.75" customHeight="1">
      <c r="A122" s="90" t="s">
        <v>953</v>
      </c>
      <c r="B122" s="91" t="s">
        <v>954</v>
      </c>
      <c r="C122" s="99" t="s">
        <v>105</v>
      </c>
      <c r="D122" s="92" t="s">
        <v>925</v>
      </c>
      <c r="E122" s="92">
        <v>10</v>
      </c>
      <c r="F122" s="92">
        <v>10</v>
      </c>
      <c r="G122" s="263" t="s">
        <v>950</v>
      </c>
      <c r="H122" s="130" t="s">
        <v>955</v>
      </c>
      <c r="I122" s="130" t="s">
        <v>956</v>
      </c>
      <c r="J122" s="142" t="s">
        <v>936</v>
      </c>
      <c r="K122" s="91" t="s">
        <v>937</v>
      </c>
      <c r="L122" s="115" t="s">
        <v>957</v>
      </c>
      <c r="M122" s="99">
        <v>2022</v>
      </c>
      <c r="N122" s="99" t="s">
        <v>220</v>
      </c>
      <c r="O122" s="99">
        <v>8</v>
      </c>
      <c r="P122" s="116">
        <v>8</v>
      </c>
      <c r="Q122" s="116">
        <v>8</v>
      </c>
      <c r="R122" s="116">
        <v>1000</v>
      </c>
      <c r="S122" s="117"/>
      <c r="T122" s="103"/>
      <c r="U122" s="103"/>
      <c r="V122" s="242">
        <f t="shared" si="8"/>
        <v>125</v>
      </c>
      <c r="W122" s="105" t="s">
        <v>952</v>
      </c>
      <c r="X122" s="216"/>
      <c r="Y122" s="216"/>
      <c r="Z122" s="216"/>
      <c r="AA122" s="216"/>
      <c r="AB122" s="216"/>
      <c r="AC122" s="216"/>
      <c r="AD122" s="216"/>
      <c r="AE122" s="216"/>
    </row>
    <row r="123" spans="1:31" ht="15.75" customHeight="1">
      <c r="A123" s="90" t="s">
        <v>953</v>
      </c>
      <c r="B123" s="91" t="s">
        <v>958</v>
      </c>
      <c r="C123" s="92" t="s">
        <v>105</v>
      </c>
      <c r="D123" s="92" t="s">
        <v>925</v>
      </c>
      <c r="E123" s="93">
        <v>10</v>
      </c>
      <c r="F123" s="94">
        <v>10</v>
      </c>
      <c r="G123" s="92" t="s">
        <v>926</v>
      </c>
      <c r="H123" s="96" t="s">
        <v>955</v>
      </c>
      <c r="I123" s="96" t="s">
        <v>935</v>
      </c>
      <c r="J123" s="96" t="s">
        <v>936</v>
      </c>
      <c r="K123" s="97" t="s">
        <v>937</v>
      </c>
      <c r="L123" s="98" t="s">
        <v>263</v>
      </c>
      <c r="M123" s="99">
        <v>2022</v>
      </c>
      <c r="N123" s="99" t="s">
        <v>220</v>
      </c>
      <c r="O123" s="99">
        <v>8</v>
      </c>
      <c r="P123" s="116">
        <v>8</v>
      </c>
      <c r="Q123" s="116">
        <v>8</v>
      </c>
      <c r="R123" s="101">
        <v>1000</v>
      </c>
      <c r="S123" s="102"/>
      <c r="T123" s="103"/>
      <c r="U123" s="103"/>
      <c r="V123" s="266">
        <v>125</v>
      </c>
      <c r="W123" s="105" t="s">
        <v>104</v>
      </c>
      <c r="X123" s="216"/>
      <c r="Y123" s="216"/>
      <c r="Z123" s="216"/>
      <c r="AA123" s="216"/>
      <c r="AB123" s="216"/>
      <c r="AC123" s="216"/>
      <c r="AD123" s="216"/>
      <c r="AE123" s="216"/>
    </row>
    <row r="124" spans="1:31" ht="15.75" customHeight="1">
      <c r="A124" s="90" t="s">
        <v>923</v>
      </c>
      <c r="B124" s="91" t="s">
        <v>959</v>
      </c>
      <c r="C124" s="92" t="s">
        <v>105</v>
      </c>
      <c r="D124" s="92" t="s">
        <v>925</v>
      </c>
      <c r="E124" s="92">
        <v>10</v>
      </c>
      <c r="F124" s="92">
        <v>7</v>
      </c>
      <c r="G124" s="92" t="s">
        <v>926</v>
      </c>
      <c r="H124" s="130" t="s">
        <v>927</v>
      </c>
      <c r="I124" s="130" t="s">
        <v>928</v>
      </c>
      <c r="J124" s="142" t="s">
        <v>929</v>
      </c>
      <c r="K124" s="91" t="s">
        <v>930</v>
      </c>
      <c r="L124" s="115" t="s">
        <v>960</v>
      </c>
      <c r="M124" s="99">
        <v>2022</v>
      </c>
      <c r="N124" s="99" t="s">
        <v>220</v>
      </c>
      <c r="O124" s="99">
        <v>7</v>
      </c>
      <c r="P124" s="116">
        <v>7</v>
      </c>
      <c r="Q124" s="116">
        <v>7</v>
      </c>
      <c r="R124" s="140">
        <v>1000</v>
      </c>
      <c r="S124" s="117"/>
      <c r="T124" s="103"/>
      <c r="U124" s="103"/>
      <c r="V124" s="266">
        <v>142.86000000000001</v>
      </c>
      <c r="W124" s="105" t="s">
        <v>104</v>
      </c>
      <c r="X124" s="216"/>
      <c r="Y124" s="216"/>
      <c r="Z124" s="216"/>
      <c r="AA124" s="216"/>
      <c r="AB124" s="216"/>
      <c r="AC124" s="216"/>
      <c r="AD124" s="216"/>
      <c r="AE124" s="216"/>
    </row>
    <row r="125" spans="1:31" ht="15.75" customHeight="1">
      <c r="A125" s="121" t="s">
        <v>938</v>
      </c>
      <c r="B125" s="134" t="s">
        <v>961</v>
      </c>
      <c r="C125" s="99" t="s">
        <v>105</v>
      </c>
      <c r="D125" s="99" t="s">
        <v>909</v>
      </c>
      <c r="E125" s="99">
        <v>62</v>
      </c>
      <c r="F125" s="99">
        <v>5</v>
      </c>
      <c r="G125" s="99" t="s">
        <v>910</v>
      </c>
      <c r="H125" s="130" t="s">
        <v>941</v>
      </c>
      <c r="I125" s="130" t="s">
        <v>962</v>
      </c>
      <c r="J125" s="130" t="s">
        <v>943</v>
      </c>
      <c r="K125" s="134"/>
      <c r="L125" s="135" t="s">
        <v>945</v>
      </c>
      <c r="M125" s="99">
        <v>2022</v>
      </c>
      <c r="N125" s="99"/>
      <c r="O125" s="99">
        <v>4</v>
      </c>
      <c r="P125" s="116">
        <v>4</v>
      </c>
      <c r="Q125" s="116">
        <v>4</v>
      </c>
      <c r="R125" s="140">
        <v>300</v>
      </c>
      <c r="S125" s="117"/>
      <c r="T125" s="103"/>
      <c r="U125" s="103"/>
      <c r="V125" s="266">
        <v>75</v>
      </c>
      <c r="W125" s="105" t="s">
        <v>104</v>
      </c>
      <c r="X125" s="216"/>
      <c r="Y125" s="216"/>
      <c r="Z125" s="216"/>
      <c r="AA125" s="216"/>
      <c r="AB125" s="216"/>
      <c r="AC125" s="216"/>
      <c r="AD125" s="216"/>
      <c r="AE125" s="216"/>
    </row>
    <row r="126" spans="1:31" ht="15.75" customHeight="1">
      <c r="A126" s="121" t="s">
        <v>963</v>
      </c>
      <c r="B126" s="134" t="s">
        <v>961</v>
      </c>
      <c r="C126" s="99" t="s">
        <v>105</v>
      </c>
      <c r="D126" s="89"/>
      <c r="E126" s="99"/>
      <c r="F126" s="99"/>
      <c r="G126" s="99"/>
      <c r="H126" s="130" t="s">
        <v>947</v>
      </c>
      <c r="I126" s="133"/>
      <c r="J126" s="133"/>
      <c r="K126" s="134"/>
      <c r="L126" s="135"/>
      <c r="M126" s="99"/>
      <c r="N126" s="99"/>
      <c r="O126" s="99">
        <v>4</v>
      </c>
      <c r="P126" s="116">
        <v>4</v>
      </c>
      <c r="Q126" s="116">
        <v>4</v>
      </c>
      <c r="R126" s="132">
        <v>200</v>
      </c>
      <c r="S126" s="133" t="s">
        <v>920</v>
      </c>
      <c r="T126" s="267" t="s">
        <v>921</v>
      </c>
      <c r="U126" s="137" t="s">
        <v>922</v>
      </c>
      <c r="V126" s="266">
        <v>50</v>
      </c>
      <c r="W126" s="105" t="s">
        <v>104</v>
      </c>
      <c r="X126" s="216"/>
      <c r="Y126" s="216"/>
      <c r="Z126" s="216"/>
      <c r="AA126" s="216"/>
      <c r="AB126" s="216"/>
      <c r="AC126" s="216"/>
      <c r="AD126" s="216"/>
      <c r="AE126" s="216"/>
    </row>
    <row r="127" spans="1:31" ht="15.75" customHeight="1">
      <c r="A127" s="90" t="s">
        <v>923</v>
      </c>
      <c r="B127" s="91" t="s">
        <v>964</v>
      </c>
      <c r="C127" s="99" t="s">
        <v>105</v>
      </c>
      <c r="D127" s="92" t="s">
        <v>925</v>
      </c>
      <c r="E127" s="93" t="s">
        <v>965</v>
      </c>
      <c r="F127" s="94"/>
      <c r="G127" s="94" t="s">
        <v>926</v>
      </c>
      <c r="H127" s="96"/>
      <c r="I127" s="264"/>
      <c r="J127" s="133" t="s">
        <v>966</v>
      </c>
      <c r="K127" s="97" t="s">
        <v>930</v>
      </c>
      <c r="L127" s="98"/>
      <c r="M127" s="99">
        <v>2022</v>
      </c>
      <c r="N127" s="99" t="s">
        <v>220</v>
      </c>
      <c r="O127" s="99">
        <v>7</v>
      </c>
      <c r="P127" s="100">
        <v>7</v>
      </c>
      <c r="Q127" s="100">
        <v>7</v>
      </c>
      <c r="R127" s="100">
        <v>1000</v>
      </c>
      <c r="S127" s="102"/>
      <c r="T127" s="103"/>
      <c r="U127" s="103"/>
      <c r="V127" s="268">
        <f>R127/P127</f>
        <v>142.85714285714286</v>
      </c>
      <c r="W127" s="105" t="s">
        <v>132</v>
      </c>
      <c r="X127" s="216"/>
      <c r="Y127" s="216"/>
      <c r="Z127" s="216"/>
      <c r="AA127" s="216"/>
      <c r="AB127" s="216"/>
      <c r="AC127" s="216"/>
      <c r="AD127" s="216"/>
      <c r="AE127" s="216"/>
    </row>
    <row r="128" spans="1:31" ht="15.75" customHeight="1">
      <c r="A128" s="90" t="s">
        <v>932</v>
      </c>
      <c r="B128" s="91" t="s">
        <v>967</v>
      </c>
      <c r="C128" s="99" t="s">
        <v>968</v>
      </c>
      <c r="D128" s="92" t="s">
        <v>925</v>
      </c>
      <c r="E128" s="93" t="s">
        <v>969</v>
      </c>
      <c r="F128" s="92"/>
      <c r="G128" s="94" t="s">
        <v>926</v>
      </c>
      <c r="H128" s="130"/>
      <c r="I128" s="130"/>
      <c r="J128" s="133" t="s">
        <v>970</v>
      </c>
      <c r="K128" s="91" t="s">
        <v>937</v>
      </c>
      <c r="L128" s="115"/>
      <c r="M128" s="99">
        <v>2022</v>
      </c>
      <c r="N128" s="99" t="s">
        <v>220</v>
      </c>
      <c r="O128" s="99">
        <v>8</v>
      </c>
      <c r="P128" s="116">
        <v>8</v>
      </c>
      <c r="Q128" s="116">
        <v>8</v>
      </c>
      <c r="R128" s="100">
        <v>1000</v>
      </c>
      <c r="S128" s="117"/>
      <c r="T128" s="103"/>
      <c r="U128" s="103"/>
      <c r="V128" s="268">
        <f>R128/Q128</f>
        <v>125</v>
      </c>
      <c r="W128" s="105" t="s">
        <v>132</v>
      </c>
      <c r="X128" s="216"/>
      <c r="Y128" s="216"/>
      <c r="Z128" s="216"/>
      <c r="AA128" s="216"/>
      <c r="AB128" s="216"/>
      <c r="AC128" s="216"/>
      <c r="AD128" s="216"/>
      <c r="AE128" s="216"/>
    </row>
    <row r="129" spans="1:31" ht="15.75" customHeight="1">
      <c r="A129" s="90" t="s">
        <v>483</v>
      </c>
      <c r="B129" s="91" t="s">
        <v>484</v>
      </c>
      <c r="C129" s="92" t="s">
        <v>105</v>
      </c>
      <c r="D129" s="92" t="s">
        <v>421</v>
      </c>
      <c r="E129" s="93">
        <v>15</v>
      </c>
      <c r="F129" s="94">
        <v>8</v>
      </c>
      <c r="G129" s="92" t="s">
        <v>485</v>
      </c>
      <c r="H129" s="96" t="s">
        <v>486</v>
      </c>
      <c r="I129" s="96" t="s">
        <v>424</v>
      </c>
      <c r="J129" s="96" t="s">
        <v>425</v>
      </c>
      <c r="K129" s="97" t="s">
        <v>426</v>
      </c>
      <c r="L129" s="98" t="s">
        <v>487</v>
      </c>
      <c r="M129" s="99">
        <v>2022</v>
      </c>
      <c r="N129" s="99" t="s">
        <v>248</v>
      </c>
      <c r="O129" s="99">
        <v>3</v>
      </c>
      <c r="P129" s="99">
        <v>3</v>
      </c>
      <c r="Q129" s="99">
        <v>3</v>
      </c>
      <c r="R129" s="116">
        <v>1500</v>
      </c>
      <c r="S129" s="102"/>
      <c r="T129" s="103"/>
      <c r="U129" s="103"/>
      <c r="V129" s="129">
        <f>R129/O129</f>
        <v>500</v>
      </c>
      <c r="W129" s="105" t="s">
        <v>971</v>
      </c>
      <c r="X129" s="216"/>
      <c r="Y129" s="216"/>
      <c r="Z129" s="216"/>
      <c r="AA129" s="216"/>
      <c r="AB129" s="216"/>
      <c r="AC129" s="216"/>
      <c r="AD129" s="216"/>
      <c r="AE129" s="216"/>
    </row>
    <row r="130" spans="1:31" ht="15.75" customHeight="1">
      <c r="A130" s="90" t="s">
        <v>972</v>
      </c>
      <c r="B130" s="91" t="s">
        <v>973</v>
      </c>
      <c r="C130" s="92" t="s">
        <v>105</v>
      </c>
      <c r="D130" s="92" t="s">
        <v>974</v>
      </c>
      <c r="E130" s="93">
        <v>19</v>
      </c>
      <c r="F130" s="94">
        <v>6</v>
      </c>
      <c r="G130" s="92" t="s">
        <v>253</v>
      </c>
      <c r="H130" s="96" t="s">
        <v>975</v>
      </c>
      <c r="I130" s="96" t="s">
        <v>976</v>
      </c>
      <c r="J130" s="127" t="s">
        <v>977</v>
      </c>
      <c r="K130" s="97" t="s">
        <v>978</v>
      </c>
      <c r="L130" s="98" t="s">
        <v>979</v>
      </c>
      <c r="M130" s="99">
        <v>2022</v>
      </c>
      <c r="N130" s="99" t="s">
        <v>248</v>
      </c>
      <c r="O130" s="99">
        <v>2</v>
      </c>
      <c r="P130" s="99">
        <v>2</v>
      </c>
      <c r="Q130" s="116">
        <v>4</v>
      </c>
      <c r="R130" s="116">
        <v>1500</v>
      </c>
      <c r="S130" s="149"/>
      <c r="T130" s="117"/>
      <c r="U130" s="103"/>
      <c r="V130" s="129">
        <v>750</v>
      </c>
      <c r="W130" s="105" t="s">
        <v>118</v>
      </c>
      <c r="X130" s="216"/>
      <c r="Y130" s="216"/>
      <c r="Z130" s="216"/>
      <c r="AA130" s="216"/>
      <c r="AB130" s="216"/>
      <c r="AC130" s="216"/>
      <c r="AD130" s="216"/>
      <c r="AE130" s="216"/>
    </row>
    <row r="131" spans="1:31" ht="15.75" customHeight="1">
      <c r="A131" s="90" t="s">
        <v>980</v>
      </c>
      <c r="B131" s="91" t="s">
        <v>981</v>
      </c>
      <c r="C131" s="92" t="s">
        <v>105</v>
      </c>
      <c r="D131" s="92" t="s">
        <v>982</v>
      </c>
      <c r="E131" s="92">
        <v>62</v>
      </c>
      <c r="F131" s="92" t="s">
        <v>983</v>
      </c>
      <c r="G131" s="92" t="s">
        <v>910</v>
      </c>
      <c r="H131" s="130" t="s">
        <v>984</v>
      </c>
      <c r="I131" s="130" t="s">
        <v>985</v>
      </c>
      <c r="J131" s="131" t="s">
        <v>986</v>
      </c>
      <c r="K131" s="91" t="s">
        <v>987</v>
      </c>
      <c r="L131" s="115" t="s">
        <v>988</v>
      </c>
      <c r="M131" s="99">
        <v>2022</v>
      </c>
      <c r="N131" s="99"/>
      <c r="O131" s="99">
        <v>2</v>
      </c>
      <c r="P131" s="99">
        <v>2</v>
      </c>
      <c r="Q131" s="116">
        <v>2</v>
      </c>
      <c r="R131" s="116">
        <v>200</v>
      </c>
      <c r="S131" s="141" t="s">
        <v>989</v>
      </c>
      <c r="T131" s="136" t="s">
        <v>990</v>
      </c>
      <c r="U131" s="103"/>
      <c r="V131" s="129">
        <v>100</v>
      </c>
      <c r="W131" s="105" t="s">
        <v>118</v>
      </c>
      <c r="X131" s="216"/>
      <c r="Y131" s="216"/>
      <c r="Z131" s="216"/>
      <c r="AA131" s="216"/>
      <c r="AB131" s="216"/>
      <c r="AC131" s="216"/>
      <c r="AD131" s="216"/>
      <c r="AE131" s="216"/>
    </row>
    <row r="132" spans="1:31" ht="15.75" customHeight="1">
      <c r="A132" s="121" t="s">
        <v>991</v>
      </c>
      <c r="B132" s="99" t="s">
        <v>992</v>
      </c>
      <c r="C132" s="99" t="s">
        <v>105</v>
      </c>
      <c r="D132" s="99" t="s">
        <v>993</v>
      </c>
      <c r="E132" s="99">
        <v>17</v>
      </c>
      <c r="F132" s="99" t="s">
        <v>994</v>
      </c>
      <c r="G132" s="99" t="s">
        <v>995</v>
      </c>
      <c r="H132" s="130" t="s">
        <v>996</v>
      </c>
      <c r="I132" s="130" t="s">
        <v>997</v>
      </c>
      <c r="J132" s="133" t="s">
        <v>998</v>
      </c>
      <c r="K132" s="134"/>
      <c r="L132" s="135" t="s">
        <v>999</v>
      </c>
      <c r="M132" s="99">
        <v>2022</v>
      </c>
      <c r="N132" s="99"/>
      <c r="O132" s="99">
        <v>2</v>
      </c>
      <c r="P132" s="116">
        <v>2</v>
      </c>
      <c r="Q132" s="116">
        <v>3</v>
      </c>
      <c r="R132" s="116">
        <v>200</v>
      </c>
      <c r="S132" s="136" t="s">
        <v>1000</v>
      </c>
      <c r="T132" s="269" t="s">
        <v>1001</v>
      </c>
      <c r="U132" s="137" t="s">
        <v>1002</v>
      </c>
      <c r="V132" s="129">
        <v>100</v>
      </c>
      <c r="W132" s="105" t="s">
        <v>118</v>
      </c>
      <c r="X132" s="216"/>
      <c r="Y132" s="216"/>
      <c r="Z132" s="216"/>
      <c r="AA132" s="216"/>
      <c r="AB132" s="216"/>
      <c r="AC132" s="216"/>
      <c r="AD132" s="216"/>
      <c r="AE132" s="216"/>
    </row>
    <row r="133" spans="1:31" ht="15.75" customHeight="1">
      <c r="A133" s="90" t="s">
        <v>923</v>
      </c>
      <c r="B133" s="91" t="s">
        <v>949</v>
      </c>
      <c r="C133" s="99" t="s">
        <v>105</v>
      </c>
      <c r="D133" s="92" t="s">
        <v>925</v>
      </c>
      <c r="E133" s="93">
        <v>10</v>
      </c>
      <c r="F133" s="94">
        <v>7</v>
      </c>
      <c r="G133" s="263" t="s">
        <v>950</v>
      </c>
      <c r="H133" s="96" t="s">
        <v>927</v>
      </c>
      <c r="I133" s="264" t="s">
        <v>928</v>
      </c>
      <c r="J133" s="96" t="s">
        <v>929</v>
      </c>
      <c r="K133" s="97" t="s">
        <v>930</v>
      </c>
      <c r="L133" s="98" t="s">
        <v>951</v>
      </c>
      <c r="M133" s="99">
        <v>2022</v>
      </c>
      <c r="N133" s="99" t="s">
        <v>220</v>
      </c>
      <c r="O133" s="99">
        <v>7</v>
      </c>
      <c r="P133" s="100">
        <v>7</v>
      </c>
      <c r="Q133" s="100">
        <v>7</v>
      </c>
      <c r="R133" s="100">
        <v>1000</v>
      </c>
      <c r="S133" s="102"/>
      <c r="T133" s="103"/>
      <c r="U133" s="103"/>
      <c r="V133" s="265">
        <f t="shared" ref="V133:V136" si="9">R133/O133</f>
        <v>142.85714285714286</v>
      </c>
      <c r="W133" s="105" t="s">
        <v>126</v>
      </c>
      <c r="X133" s="216"/>
      <c r="Y133" s="216"/>
      <c r="Z133" s="216"/>
      <c r="AA133" s="216"/>
      <c r="AB133" s="216"/>
      <c r="AC133" s="216"/>
      <c r="AD133" s="216"/>
      <c r="AE133" s="216"/>
    </row>
    <row r="134" spans="1:31" ht="15.75" customHeight="1">
      <c r="A134" s="90" t="s">
        <v>953</v>
      </c>
      <c r="B134" s="91" t="s">
        <v>954</v>
      </c>
      <c r="C134" s="99" t="s">
        <v>105</v>
      </c>
      <c r="D134" s="92" t="s">
        <v>925</v>
      </c>
      <c r="E134" s="92">
        <v>10</v>
      </c>
      <c r="F134" s="92">
        <v>10</v>
      </c>
      <c r="G134" s="263" t="s">
        <v>950</v>
      </c>
      <c r="H134" s="130" t="s">
        <v>955</v>
      </c>
      <c r="I134" s="130" t="s">
        <v>956</v>
      </c>
      <c r="J134" s="142" t="s">
        <v>936</v>
      </c>
      <c r="K134" s="91" t="s">
        <v>937</v>
      </c>
      <c r="L134" s="115" t="s">
        <v>957</v>
      </c>
      <c r="M134" s="99">
        <v>2022</v>
      </c>
      <c r="N134" s="99" t="s">
        <v>220</v>
      </c>
      <c r="O134" s="99">
        <v>8</v>
      </c>
      <c r="P134" s="116">
        <v>8</v>
      </c>
      <c r="Q134" s="116">
        <v>8</v>
      </c>
      <c r="R134" s="116">
        <v>1000</v>
      </c>
      <c r="S134" s="117"/>
      <c r="T134" s="103"/>
      <c r="U134" s="103"/>
      <c r="V134" s="242">
        <f t="shared" si="9"/>
        <v>125</v>
      </c>
      <c r="W134" s="105" t="s">
        <v>126</v>
      </c>
      <c r="X134" s="216"/>
      <c r="Y134" s="216"/>
      <c r="Z134" s="216"/>
      <c r="AA134" s="216"/>
      <c r="AB134" s="216"/>
      <c r="AC134" s="216"/>
      <c r="AD134" s="216"/>
      <c r="AE134" s="216"/>
    </row>
    <row r="135" spans="1:31" ht="15.75" customHeight="1">
      <c r="A135" s="121" t="s">
        <v>938</v>
      </c>
      <c r="B135" s="99" t="s">
        <v>961</v>
      </c>
      <c r="C135" s="99" t="s">
        <v>105</v>
      </c>
      <c r="D135" s="99" t="s">
        <v>909</v>
      </c>
      <c r="E135" s="99">
        <v>62</v>
      </c>
      <c r="F135" s="99">
        <v>5</v>
      </c>
      <c r="G135" s="99" t="s">
        <v>910</v>
      </c>
      <c r="H135" s="133" t="s">
        <v>941</v>
      </c>
      <c r="I135" s="133" t="s">
        <v>962</v>
      </c>
      <c r="J135" s="133" t="s">
        <v>943</v>
      </c>
      <c r="K135" s="134"/>
      <c r="L135" s="135" t="s">
        <v>945</v>
      </c>
      <c r="M135" s="99">
        <v>2022</v>
      </c>
      <c r="N135" s="99"/>
      <c r="O135" s="99">
        <v>4</v>
      </c>
      <c r="P135" s="100">
        <v>4</v>
      </c>
      <c r="Q135" s="100">
        <v>4</v>
      </c>
      <c r="R135" s="140">
        <v>300</v>
      </c>
      <c r="S135" s="117"/>
      <c r="T135" s="103"/>
      <c r="U135" s="103"/>
      <c r="V135" s="242">
        <f t="shared" si="9"/>
        <v>75</v>
      </c>
      <c r="W135" s="105" t="s">
        <v>126</v>
      </c>
      <c r="X135" s="216"/>
      <c r="Y135" s="216"/>
      <c r="Z135" s="216"/>
      <c r="AA135" s="216"/>
      <c r="AB135" s="216"/>
      <c r="AC135" s="216"/>
      <c r="AD135" s="216"/>
      <c r="AE135" s="216"/>
    </row>
    <row r="136" spans="1:31" ht="15.75" customHeight="1">
      <c r="A136" s="121" t="s">
        <v>963</v>
      </c>
      <c r="B136" s="99" t="s">
        <v>961</v>
      </c>
      <c r="C136" s="99" t="s">
        <v>105</v>
      </c>
      <c r="D136" s="99" t="s">
        <v>920</v>
      </c>
      <c r="E136" s="99"/>
      <c r="F136" s="99"/>
      <c r="G136" s="99"/>
      <c r="H136" s="270" t="s">
        <v>947</v>
      </c>
      <c r="I136" s="133"/>
      <c r="J136" s="133"/>
      <c r="K136" s="134"/>
      <c r="L136" s="135"/>
      <c r="M136" s="99"/>
      <c r="N136" s="99"/>
      <c r="O136" s="99">
        <v>4</v>
      </c>
      <c r="P136" s="116">
        <v>4</v>
      </c>
      <c r="Q136" s="116">
        <v>4</v>
      </c>
      <c r="R136" s="132">
        <v>200</v>
      </c>
      <c r="S136" s="117"/>
      <c r="T136" s="271"/>
      <c r="U136" s="271"/>
      <c r="V136" s="272">
        <f t="shared" si="9"/>
        <v>50</v>
      </c>
      <c r="W136" s="105" t="s">
        <v>126</v>
      </c>
      <c r="X136" s="216"/>
      <c r="Y136" s="216"/>
      <c r="Z136" s="216"/>
      <c r="AA136" s="216"/>
      <c r="AB136" s="216"/>
      <c r="AC136" s="216"/>
      <c r="AD136" s="216"/>
      <c r="AE136" s="216"/>
    </row>
    <row r="137" spans="1:31" ht="15.75" customHeight="1">
      <c r="A137" s="90" t="s">
        <v>923</v>
      </c>
      <c r="B137" s="91" t="s">
        <v>949</v>
      </c>
      <c r="C137" s="99" t="s">
        <v>105</v>
      </c>
      <c r="D137" s="92" t="s">
        <v>925</v>
      </c>
      <c r="E137" s="93">
        <v>10</v>
      </c>
      <c r="F137" s="94">
        <v>7</v>
      </c>
      <c r="G137" s="263" t="s">
        <v>950</v>
      </c>
      <c r="H137" s="96" t="s">
        <v>927</v>
      </c>
      <c r="I137" s="264" t="s">
        <v>928</v>
      </c>
      <c r="J137" s="96" t="s">
        <v>929</v>
      </c>
      <c r="K137" s="97" t="s">
        <v>930</v>
      </c>
      <c r="L137" s="98" t="s">
        <v>951</v>
      </c>
      <c r="M137" s="99">
        <v>2022</v>
      </c>
      <c r="N137" s="99" t="s">
        <v>220</v>
      </c>
      <c r="O137" s="99">
        <v>7</v>
      </c>
      <c r="P137" s="100">
        <v>7</v>
      </c>
      <c r="Q137" s="100">
        <v>7</v>
      </c>
      <c r="R137" s="100">
        <v>1000</v>
      </c>
      <c r="S137" s="102"/>
      <c r="T137" s="103"/>
      <c r="U137" s="103"/>
      <c r="V137" s="268">
        <f t="shared" ref="V137:V138" si="10">R137/P137</f>
        <v>142.85714285714286</v>
      </c>
      <c r="W137" s="105" t="s">
        <v>119</v>
      </c>
      <c r="X137" s="216"/>
      <c r="Y137" s="216"/>
      <c r="Z137" s="216"/>
      <c r="AA137" s="216"/>
      <c r="AB137" s="216"/>
      <c r="AC137" s="216"/>
      <c r="AD137" s="216"/>
      <c r="AE137" s="216"/>
    </row>
    <row r="138" spans="1:31" ht="15.75" customHeight="1">
      <c r="A138" s="90" t="s">
        <v>953</v>
      </c>
      <c r="B138" s="91" t="s">
        <v>954</v>
      </c>
      <c r="C138" s="99" t="s">
        <v>105</v>
      </c>
      <c r="D138" s="92" t="s">
        <v>925</v>
      </c>
      <c r="E138" s="92">
        <v>10</v>
      </c>
      <c r="F138" s="92">
        <v>10</v>
      </c>
      <c r="G138" s="263" t="s">
        <v>950</v>
      </c>
      <c r="H138" s="130" t="s">
        <v>955</v>
      </c>
      <c r="I138" s="130" t="s">
        <v>956</v>
      </c>
      <c r="J138" s="142" t="s">
        <v>936</v>
      </c>
      <c r="K138" s="91" t="s">
        <v>937</v>
      </c>
      <c r="L138" s="115" t="s">
        <v>957</v>
      </c>
      <c r="M138" s="99">
        <v>2022</v>
      </c>
      <c r="N138" s="99" t="s">
        <v>220</v>
      </c>
      <c r="O138" s="99">
        <v>8</v>
      </c>
      <c r="P138" s="116">
        <v>8</v>
      </c>
      <c r="Q138" s="116">
        <v>8</v>
      </c>
      <c r="R138" s="116">
        <v>1000</v>
      </c>
      <c r="S138" s="117"/>
      <c r="T138" s="103"/>
      <c r="U138" s="103"/>
      <c r="V138" s="268">
        <f t="shared" si="10"/>
        <v>125</v>
      </c>
      <c r="W138" s="105" t="s">
        <v>119</v>
      </c>
      <c r="X138" s="216"/>
      <c r="Y138" s="216"/>
      <c r="Z138" s="216"/>
      <c r="AA138" s="216"/>
      <c r="AB138" s="216"/>
      <c r="AC138" s="216"/>
      <c r="AD138" s="216"/>
      <c r="AE138" s="216"/>
    </row>
    <row r="139" spans="1:31" ht="15.75" customHeight="1">
      <c r="A139" s="90" t="s">
        <v>953</v>
      </c>
      <c r="B139" s="91" t="s">
        <v>1003</v>
      </c>
      <c r="C139" s="99" t="s">
        <v>105</v>
      </c>
      <c r="D139" s="92" t="s">
        <v>1004</v>
      </c>
      <c r="E139" s="93">
        <v>10</v>
      </c>
      <c r="F139" s="94">
        <v>10</v>
      </c>
      <c r="G139" s="263" t="s">
        <v>926</v>
      </c>
      <c r="H139" s="96" t="s">
        <v>955</v>
      </c>
      <c r="I139" s="264" t="s">
        <v>935</v>
      </c>
      <c r="J139" s="96" t="s">
        <v>970</v>
      </c>
      <c r="K139" s="91" t="s">
        <v>937</v>
      </c>
      <c r="L139" s="98" t="s">
        <v>957</v>
      </c>
      <c r="M139" s="99">
        <v>2022</v>
      </c>
      <c r="N139" s="99" t="s">
        <v>220</v>
      </c>
      <c r="O139" s="99">
        <v>8</v>
      </c>
      <c r="P139" s="100">
        <v>8</v>
      </c>
      <c r="Q139" s="100">
        <v>8</v>
      </c>
      <c r="R139" s="100">
        <v>1000</v>
      </c>
      <c r="S139" s="102"/>
      <c r="T139" s="103"/>
      <c r="U139" s="103"/>
      <c r="V139" s="248">
        <v>125</v>
      </c>
      <c r="W139" s="105" t="s">
        <v>1005</v>
      </c>
      <c r="X139" s="216"/>
      <c r="Y139" s="216"/>
      <c r="Z139" s="216"/>
      <c r="AA139" s="216"/>
      <c r="AB139" s="216"/>
      <c r="AC139" s="216"/>
      <c r="AD139" s="216"/>
      <c r="AE139" s="216"/>
    </row>
    <row r="140" spans="1:31" ht="15.75" customHeight="1">
      <c r="A140" s="90" t="s">
        <v>375</v>
      </c>
      <c r="B140" s="91" t="s">
        <v>1006</v>
      </c>
      <c r="C140" s="92" t="s">
        <v>105</v>
      </c>
      <c r="D140" s="92" t="s">
        <v>1007</v>
      </c>
      <c r="E140" s="93">
        <v>12</v>
      </c>
      <c r="F140" s="94">
        <v>5</v>
      </c>
      <c r="G140" s="92" t="s">
        <v>235</v>
      </c>
      <c r="H140" s="96" t="s">
        <v>568</v>
      </c>
      <c r="I140" s="96" t="s">
        <v>381</v>
      </c>
      <c r="J140" s="96" t="s">
        <v>382</v>
      </c>
      <c r="K140" s="97" t="s">
        <v>570</v>
      </c>
      <c r="L140" s="98" t="s">
        <v>1008</v>
      </c>
      <c r="M140" s="99">
        <v>2022</v>
      </c>
      <c r="N140" s="99" t="s">
        <v>220</v>
      </c>
      <c r="O140" s="99">
        <v>7</v>
      </c>
      <c r="P140" s="116">
        <v>7</v>
      </c>
      <c r="Q140" s="116">
        <v>7</v>
      </c>
      <c r="R140" s="100">
        <v>1000</v>
      </c>
      <c r="S140" s="102"/>
      <c r="T140" s="103"/>
      <c r="U140" s="103"/>
      <c r="V140" s="104">
        <f t="shared" ref="V140:V142" si="11">R140/O140</f>
        <v>142.85714285714286</v>
      </c>
      <c r="W140" s="105" t="s">
        <v>111</v>
      </c>
      <c r="X140" s="216"/>
      <c r="Y140" s="216"/>
      <c r="Z140" s="216"/>
      <c r="AA140" s="216"/>
      <c r="AB140" s="216"/>
      <c r="AC140" s="216"/>
      <c r="AD140" s="216"/>
      <c r="AE140" s="216"/>
    </row>
    <row r="141" spans="1:31" ht="15.75" customHeight="1">
      <c r="A141" s="90" t="s">
        <v>538</v>
      </c>
      <c r="B141" s="91" t="s">
        <v>1009</v>
      </c>
      <c r="C141" s="92" t="s">
        <v>105</v>
      </c>
      <c r="D141" s="92" t="s">
        <v>421</v>
      </c>
      <c r="E141" s="92">
        <v>15</v>
      </c>
      <c r="F141" s="92">
        <v>18</v>
      </c>
      <c r="G141" s="92" t="s">
        <v>485</v>
      </c>
      <c r="H141" s="130" t="s">
        <v>540</v>
      </c>
      <c r="I141" s="130" t="s">
        <v>541</v>
      </c>
      <c r="J141" s="142" t="s">
        <v>1010</v>
      </c>
      <c r="K141" s="91" t="s">
        <v>543</v>
      </c>
      <c r="L141" s="115" t="s">
        <v>1011</v>
      </c>
      <c r="M141" s="99">
        <v>2022</v>
      </c>
      <c r="N141" s="99" t="s">
        <v>248</v>
      </c>
      <c r="O141" s="99">
        <v>2</v>
      </c>
      <c r="P141" s="116">
        <v>2</v>
      </c>
      <c r="Q141" s="116">
        <v>3</v>
      </c>
      <c r="R141" s="100">
        <v>1500</v>
      </c>
      <c r="S141" s="117"/>
      <c r="T141" s="103"/>
      <c r="U141" s="103"/>
      <c r="V141" s="104">
        <f t="shared" si="11"/>
        <v>750</v>
      </c>
      <c r="W141" s="105" t="s">
        <v>111</v>
      </c>
      <c r="X141" s="216"/>
      <c r="Y141" s="216"/>
      <c r="Z141" s="216"/>
      <c r="AA141" s="216"/>
      <c r="AB141" s="216"/>
      <c r="AC141" s="216"/>
      <c r="AD141" s="216"/>
      <c r="AE141" s="216"/>
    </row>
    <row r="142" spans="1:31" ht="15.75" customHeight="1">
      <c r="A142" s="121" t="s">
        <v>1012</v>
      </c>
      <c r="B142" s="133" t="s">
        <v>1013</v>
      </c>
      <c r="C142" s="99" t="s">
        <v>105</v>
      </c>
      <c r="D142" s="99" t="s">
        <v>1014</v>
      </c>
      <c r="E142" s="99">
        <v>12</v>
      </c>
      <c r="F142" s="99">
        <v>1</v>
      </c>
      <c r="G142" s="99" t="s">
        <v>1015</v>
      </c>
      <c r="H142" s="130" t="s">
        <v>1016</v>
      </c>
      <c r="I142" s="130" t="s">
        <v>1017</v>
      </c>
      <c r="J142" s="130" t="s">
        <v>1018</v>
      </c>
      <c r="K142" s="134" t="s">
        <v>1019</v>
      </c>
      <c r="L142" s="273">
        <v>124</v>
      </c>
      <c r="M142" s="99">
        <v>2022</v>
      </c>
      <c r="N142" s="99" t="s">
        <v>220</v>
      </c>
      <c r="O142" s="99">
        <v>2</v>
      </c>
      <c r="P142" s="116">
        <v>2</v>
      </c>
      <c r="Q142" s="116">
        <v>6</v>
      </c>
      <c r="R142" s="100">
        <v>1000</v>
      </c>
      <c r="S142" s="117"/>
      <c r="T142" s="103"/>
      <c r="U142" s="103"/>
      <c r="V142" s="104">
        <f t="shared" si="11"/>
        <v>500</v>
      </c>
      <c r="W142" s="105" t="s">
        <v>111</v>
      </c>
      <c r="X142" s="216"/>
      <c r="Y142" s="216"/>
      <c r="Z142" s="216"/>
      <c r="AA142" s="216"/>
      <c r="AB142" s="216"/>
      <c r="AC142" s="216"/>
      <c r="AD142" s="216"/>
      <c r="AE142" s="216"/>
    </row>
    <row r="143" spans="1:31" ht="15.75" customHeight="1">
      <c r="A143" s="90" t="s">
        <v>907</v>
      </c>
      <c r="B143" s="91" t="s">
        <v>1020</v>
      </c>
      <c r="C143" s="92" t="s">
        <v>105</v>
      </c>
      <c r="D143" s="92" t="s">
        <v>909</v>
      </c>
      <c r="E143" s="93">
        <v>62</v>
      </c>
      <c r="F143" s="94">
        <v>5</v>
      </c>
      <c r="G143" s="92" t="s">
        <v>910</v>
      </c>
      <c r="H143" s="95"/>
      <c r="I143" s="274" t="s">
        <v>1021</v>
      </c>
      <c r="J143" s="274" t="s">
        <v>913</v>
      </c>
      <c r="K143" s="97" t="s">
        <v>1022</v>
      </c>
      <c r="L143" s="98" t="s">
        <v>914</v>
      </c>
      <c r="M143" s="99">
        <v>2022</v>
      </c>
      <c r="N143" s="99" t="s">
        <v>230</v>
      </c>
      <c r="O143" s="99">
        <v>3</v>
      </c>
      <c r="P143" s="116">
        <v>3</v>
      </c>
      <c r="Q143" s="116">
        <v>3</v>
      </c>
      <c r="R143" s="128">
        <v>300</v>
      </c>
      <c r="S143" s="102"/>
      <c r="T143" s="103"/>
      <c r="U143" s="103"/>
      <c r="V143" s="242">
        <f>R143/P143</f>
        <v>100</v>
      </c>
      <c r="W143" s="105" t="s">
        <v>112</v>
      </c>
      <c r="X143" s="216"/>
      <c r="Y143" s="216"/>
      <c r="Z143" s="216"/>
      <c r="AA143" s="216"/>
      <c r="AB143" s="216"/>
      <c r="AC143" s="216"/>
      <c r="AD143" s="216"/>
      <c r="AE143" s="216"/>
    </row>
    <row r="144" spans="1:31" ht="15.75" customHeight="1">
      <c r="A144" s="90" t="s">
        <v>1023</v>
      </c>
      <c r="B144" s="91" t="s">
        <v>1024</v>
      </c>
      <c r="C144" s="92" t="s">
        <v>105</v>
      </c>
      <c r="D144" s="92" t="s">
        <v>1025</v>
      </c>
      <c r="E144" s="93">
        <v>368</v>
      </c>
      <c r="F144" s="94"/>
      <c r="G144" s="92" t="s">
        <v>1026</v>
      </c>
      <c r="H144" s="96" t="s">
        <v>1027</v>
      </c>
      <c r="I144" s="95"/>
      <c r="J144" s="96" t="s">
        <v>1028</v>
      </c>
      <c r="K144" s="97"/>
      <c r="L144" s="98" t="s">
        <v>1029</v>
      </c>
      <c r="M144" s="99">
        <v>2022</v>
      </c>
      <c r="N144" s="99"/>
      <c r="O144" s="99"/>
      <c r="P144" s="100">
        <v>5</v>
      </c>
      <c r="Q144" s="100">
        <v>5</v>
      </c>
      <c r="R144" s="101">
        <v>300</v>
      </c>
      <c r="S144" s="102" t="s">
        <v>1030</v>
      </c>
      <c r="T144" s="103"/>
      <c r="U144" s="103"/>
      <c r="V144" s="104">
        <v>60</v>
      </c>
      <c r="W144" s="105" t="s">
        <v>120</v>
      </c>
      <c r="X144" s="216"/>
      <c r="Y144" s="216"/>
      <c r="Z144" s="216"/>
      <c r="AA144" s="216"/>
      <c r="AB144" s="216"/>
      <c r="AC144" s="216"/>
      <c r="AD144" s="216"/>
      <c r="AE144" s="216"/>
    </row>
    <row r="145" spans="1:31" ht="15.75" customHeight="1">
      <c r="A145" s="90" t="s">
        <v>953</v>
      </c>
      <c r="B145" s="91" t="s">
        <v>958</v>
      </c>
      <c r="C145" s="92" t="s">
        <v>105</v>
      </c>
      <c r="D145" s="92" t="s">
        <v>925</v>
      </c>
      <c r="E145" s="93">
        <v>10</v>
      </c>
      <c r="F145" s="94">
        <v>10</v>
      </c>
      <c r="G145" s="92" t="s">
        <v>926</v>
      </c>
      <c r="H145" s="96" t="s">
        <v>955</v>
      </c>
      <c r="I145" s="96" t="s">
        <v>935</v>
      </c>
      <c r="J145" s="96" t="s">
        <v>936</v>
      </c>
      <c r="K145" s="97" t="s">
        <v>937</v>
      </c>
      <c r="L145" s="98" t="s">
        <v>263</v>
      </c>
      <c r="M145" s="99">
        <v>2022</v>
      </c>
      <c r="N145" s="99" t="s">
        <v>220</v>
      </c>
      <c r="O145" s="99">
        <v>8</v>
      </c>
      <c r="P145" s="100">
        <v>8</v>
      </c>
      <c r="Q145" s="100">
        <v>8</v>
      </c>
      <c r="R145" s="100">
        <v>1000</v>
      </c>
      <c r="S145" s="149"/>
      <c r="T145" s="117"/>
      <c r="U145" s="103"/>
      <c r="V145" s="248">
        <f t="shared" ref="V145:V149" si="12">R145/P145</f>
        <v>125</v>
      </c>
      <c r="W145" s="105" t="s">
        <v>113</v>
      </c>
      <c r="X145" s="216"/>
      <c r="Y145" s="216"/>
      <c r="Z145" s="216"/>
      <c r="AA145" s="216"/>
      <c r="AB145" s="216"/>
      <c r="AC145" s="216"/>
      <c r="AD145" s="216"/>
      <c r="AE145" s="216"/>
    </row>
    <row r="146" spans="1:31" ht="15.75" customHeight="1">
      <c r="A146" s="90" t="s">
        <v>923</v>
      </c>
      <c r="B146" s="91" t="s">
        <v>959</v>
      </c>
      <c r="C146" s="92" t="s">
        <v>105</v>
      </c>
      <c r="D146" s="92" t="s">
        <v>925</v>
      </c>
      <c r="E146" s="92">
        <v>10</v>
      </c>
      <c r="F146" s="92">
        <v>7</v>
      </c>
      <c r="G146" s="92" t="s">
        <v>926</v>
      </c>
      <c r="H146" s="130" t="s">
        <v>927</v>
      </c>
      <c r="I146" s="130" t="s">
        <v>928</v>
      </c>
      <c r="J146" s="142" t="s">
        <v>929</v>
      </c>
      <c r="K146" s="91" t="s">
        <v>930</v>
      </c>
      <c r="L146" s="115" t="s">
        <v>960</v>
      </c>
      <c r="M146" s="99">
        <v>2022</v>
      </c>
      <c r="N146" s="99" t="s">
        <v>220</v>
      </c>
      <c r="O146" s="99">
        <v>7</v>
      </c>
      <c r="P146" s="116">
        <v>7</v>
      </c>
      <c r="Q146" s="116">
        <v>7</v>
      </c>
      <c r="R146" s="100">
        <v>1000</v>
      </c>
      <c r="S146" s="149"/>
      <c r="T146" s="117"/>
      <c r="U146" s="103"/>
      <c r="V146" s="248">
        <f t="shared" si="12"/>
        <v>142.85714285714286</v>
      </c>
      <c r="W146" s="105" t="s">
        <v>113</v>
      </c>
      <c r="X146" s="216"/>
      <c r="Y146" s="216"/>
      <c r="Z146" s="216"/>
      <c r="AA146" s="216"/>
      <c r="AB146" s="216"/>
      <c r="AC146" s="216"/>
      <c r="AD146" s="216"/>
      <c r="AE146" s="216"/>
    </row>
    <row r="147" spans="1:31" ht="15.75" customHeight="1">
      <c r="A147" s="121" t="s">
        <v>938</v>
      </c>
      <c r="B147" s="134" t="s">
        <v>961</v>
      </c>
      <c r="C147" s="99" t="s">
        <v>105</v>
      </c>
      <c r="D147" s="99" t="s">
        <v>909</v>
      </c>
      <c r="E147" s="99">
        <v>62</v>
      </c>
      <c r="F147" s="99">
        <v>5</v>
      </c>
      <c r="G147" s="99" t="s">
        <v>910</v>
      </c>
      <c r="H147" s="130" t="s">
        <v>941</v>
      </c>
      <c r="I147" s="130" t="s">
        <v>962</v>
      </c>
      <c r="J147" s="255" t="s">
        <v>943</v>
      </c>
      <c r="K147" s="256"/>
      <c r="L147" s="135" t="s">
        <v>945</v>
      </c>
      <c r="M147" s="99">
        <v>2022</v>
      </c>
      <c r="N147" s="99"/>
      <c r="O147" s="99">
        <v>4</v>
      </c>
      <c r="P147" s="116">
        <v>4</v>
      </c>
      <c r="Q147" s="116">
        <v>4</v>
      </c>
      <c r="R147" s="100">
        <v>300</v>
      </c>
      <c r="S147" s="149"/>
      <c r="T147" s="117"/>
      <c r="U147" s="103"/>
      <c r="V147" s="248">
        <f t="shared" si="12"/>
        <v>75</v>
      </c>
      <c r="W147" s="105" t="s">
        <v>113</v>
      </c>
      <c r="X147" s="216"/>
      <c r="Y147" s="216"/>
      <c r="Z147" s="216"/>
      <c r="AA147" s="216"/>
      <c r="AB147" s="216"/>
      <c r="AC147" s="216"/>
      <c r="AD147" s="216"/>
      <c r="AE147" s="216"/>
    </row>
    <row r="148" spans="1:31" ht="15.75" customHeight="1">
      <c r="A148" s="253" t="s">
        <v>963</v>
      </c>
      <c r="B148" s="256" t="s">
        <v>961</v>
      </c>
      <c r="C148" s="177" t="s">
        <v>105</v>
      </c>
      <c r="D148" s="177" t="s">
        <v>920</v>
      </c>
      <c r="E148" s="177"/>
      <c r="F148" s="177"/>
      <c r="G148" s="177"/>
      <c r="H148" s="255" t="s">
        <v>947</v>
      </c>
      <c r="I148" s="275"/>
      <c r="J148" s="276"/>
      <c r="K148" s="277"/>
      <c r="L148" s="98"/>
      <c r="M148" s="177"/>
      <c r="N148" s="177"/>
      <c r="O148" s="177">
        <v>4</v>
      </c>
      <c r="P148" s="259">
        <v>4</v>
      </c>
      <c r="Q148" s="259">
        <v>4</v>
      </c>
      <c r="R148" s="178">
        <v>200</v>
      </c>
      <c r="S148" s="278"/>
      <c r="T148" s="279"/>
      <c r="U148" s="280"/>
      <c r="V148" s="281">
        <f t="shared" si="12"/>
        <v>50</v>
      </c>
      <c r="W148" s="105" t="s">
        <v>113</v>
      </c>
      <c r="X148" s="216"/>
      <c r="Y148" s="216"/>
      <c r="Z148" s="216"/>
      <c r="AA148" s="216"/>
      <c r="AB148" s="216"/>
      <c r="AC148" s="216"/>
      <c r="AD148" s="216"/>
      <c r="AE148" s="216"/>
    </row>
    <row r="149" spans="1:31" ht="15.75" customHeight="1">
      <c r="A149" s="121" t="s">
        <v>1031</v>
      </c>
      <c r="B149" s="134" t="s">
        <v>1032</v>
      </c>
      <c r="C149" s="99" t="s">
        <v>105</v>
      </c>
      <c r="D149" s="99" t="s">
        <v>920</v>
      </c>
      <c r="E149" s="99"/>
      <c r="F149" s="99"/>
      <c r="G149" s="99"/>
      <c r="H149" s="130" t="s">
        <v>1033</v>
      </c>
      <c r="I149" s="133"/>
      <c r="J149" s="159"/>
      <c r="K149" s="31"/>
      <c r="L149" s="135"/>
      <c r="M149" s="99"/>
      <c r="N149" s="99"/>
      <c r="O149" s="99">
        <v>3</v>
      </c>
      <c r="P149" s="116">
        <v>3</v>
      </c>
      <c r="Q149" s="116">
        <v>3</v>
      </c>
      <c r="R149" s="100">
        <v>200</v>
      </c>
      <c r="S149" s="149"/>
      <c r="T149" s="117"/>
      <c r="U149" s="103"/>
      <c r="V149" s="248">
        <f t="shared" si="12"/>
        <v>66.666666666666671</v>
      </c>
      <c r="W149" s="105" t="s">
        <v>113</v>
      </c>
      <c r="X149" s="216"/>
      <c r="Y149" s="216"/>
      <c r="Z149" s="216"/>
      <c r="AA149" s="216"/>
      <c r="AB149" s="216"/>
      <c r="AC149" s="216"/>
      <c r="AD149" s="216"/>
      <c r="AE149" s="216"/>
    </row>
    <row r="150" spans="1:31" ht="15.75" customHeight="1">
      <c r="A150" s="153" t="s">
        <v>399</v>
      </c>
      <c r="B150" s="187" t="s">
        <v>1034</v>
      </c>
      <c r="C150" s="187" t="s">
        <v>105</v>
      </c>
      <c r="D150" s="187" t="s">
        <v>496</v>
      </c>
      <c r="E150" s="187">
        <v>22</v>
      </c>
      <c r="F150" s="187">
        <v>1</v>
      </c>
      <c r="G150" s="187" t="s">
        <v>403</v>
      </c>
      <c r="H150" s="282" t="s">
        <v>497</v>
      </c>
      <c r="I150" s="283" t="s">
        <v>405</v>
      </c>
      <c r="J150" s="283" t="s">
        <v>1035</v>
      </c>
      <c r="K150" s="284" t="s">
        <v>407</v>
      </c>
      <c r="L150" s="285" t="s">
        <v>408</v>
      </c>
      <c r="M150" s="187">
        <v>2022</v>
      </c>
      <c r="N150" s="187" t="s">
        <v>220</v>
      </c>
      <c r="O150" s="286">
        <v>6</v>
      </c>
      <c r="P150" s="128">
        <v>6</v>
      </c>
      <c r="Q150" s="286">
        <v>6</v>
      </c>
      <c r="R150" s="287">
        <v>1000</v>
      </c>
      <c r="S150" s="102"/>
      <c r="T150" s="153"/>
      <c r="U150" s="153"/>
      <c r="V150" s="288">
        <f>R150/Q150</f>
        <v>166.66666666666666</v>
      </c>
      <c r="W150" s="105" t="s">
        <v>113</v>
      </c>
      <c r="X150" s="216"/>
      <c r="Y150" s="216"/>
      <c r="Z150" s="216"/>
      <c r="AA150" s="216"/>
      <c r="AB150" s="216"/>
      <c r="AC150" s="216"/>
      <c r="AD150" s="216"/>
      <c r="AE150" s="216"/>
    </row>
    <row r="151" spans="1:31" ht="15.75" customHeight="1">
      <c r="A151" s="289" t="s">
        <v>1036</v>
      </c>
      <c r="B151" s="290" t="s">
        <v>1037</v>
      </c>
      <c r="C151" s="290" t="s">
        <v>105</v>
      </c>
      <c r="D151" s="290" t="s">
        <v>1038</v>
      </c>
      <c r="E151" s="291">
        <v>12</v>
      </c>
      <c r="F151" s="291">
        <v>1</v>
      </c>
      <c r="G151" s="290" t="s">
        <v>1039</v>
      </c>
      <c r="H151" s="292" t="s">
        <v>1040</v>
      </c>
      <c r="I151" s="293" t="s">
        <v>1041</v>
      </c>
      <c r="J151" s="292" t="s">
        <v>1042</v>
      </c>
      <c r="K151" s="294" t="s">
        <v>1043</v>
      </c>
      <c r="L151" s="295"/>
      <c r="M151" s="290">
        <v>2022</v>
      </c>
      <c r="N151" s="290" t="s">
        <v>220</v>
      </c>
      <c r="O151" s="290">
        <v>1</v>
      </c>
      <c r="P151" s="296">
        <v>1</v>
      </c>
      <c r="Q151" s="296">
        <v>6</v>
      </c>
      <c r="R151" s="297">
        <v>100</v>
      </c>
      <c r="S151" s="298"/>
      <c r="T151" s="299"/>
      <c r="U151" s="299"/>
      <c r="V151" s="290">
        <v>1000</v>
      </c>
      <c r="W151" s="105" t="s">
        <v>134</v>
      </c>
      <c r="X151" s="216"/>
      <c r="Y151" s="216"/>
      <c r="Z151" s="216"/>
      <c r="AA151" s="216"/>
      <c r="AB151" s="216"/>
      <c r="AC151" s="216"/>
      <c r="AD151" s="216"/>
      <c r="AE151" s="216"/>
    </row>
    <row r="152" spans="1:31" ht="15.75" customHeight="1">
      <c r="A152" s="289" t="s">
        <v>1044</v>
      </c>
      <c r="B152" s="300" t="s">
        <v>1045</v>
      </c>
      <c r="C152" s="290" t="s">
        <v>105</v>
      </c>
      <c r="D152" s="290" t="s">
        <v>456</v>
      </c>
      <c r="E152" s="290">
        <v>13</v>
      </c>
      <c r="F152" s="290">
        <v>8</v>
      </c>
      <c r="G152" s="290" t="s">
        <v>1046</v>
      </c>
      <c r="H152" s="301" t="s">
        <v>1047</v>
      </c>
      <c r="I152" s="299" t="s">
        <v>1048</v>
      </c>
      <c r="J152" s="301" t="s">
        <v>1049</v>
      </c>
      <c r="K152" s="302" t="s">
        <v>1050</v>
      </c>
      <c r="L152" s="303"/>
      <c r="M152" s="290">
        <v>2022</v>
      </c>
      <c r="N152" s="290" t="s">
        <v>220</v>
      </c>
      <c r="O152" s="290">
        <v>1</v>
      </c>
      <c r="P152" s="304">
        <v>1</v>
      </c>
      <c r="Q152" s="304">
        <v>7</v>
      </c>
      <c r="R152" s="305">
        <v>1000</v>
      </c>
      <c r="S152" s="306"/>
      <c r="T152" s="299"/>
      <c r="U152" s="299"/>
      <c r="V152" s="290">
        <f t="shared" ref="V152:V166" si="13">R152/P152</f>
        <v>1000</v>
      </c>
      <c r="W152" s="105" t="s">
        <v>134</v>
      </c>
      <c r="X152" s="216"/>
      <c r="Y152" s="216"/>
      <c r="Z152" s="216"/>
      <c r="AA152" s="216"/>
      <c r="AB152" s="216"/>
      <c r="AC152" s="216"/>
      <c r="AD152" s="216"/>
      <c r="AE152" s="216"/>
    </row>
    <row r="153" spans="1:31" ht="15.75" customHeight="1">
      <c r="A153" s="289" t="s">
        <v>1051</v>
      </c>
      <c r="B153" s="300" t="s">
        <v>1052</v>
      </c>
      <c r="C153" s="290" t="s">
        <v>105</v>
      </c>
      <c r="D153" s="290" t="s">
        <v>1053</v>
      </c>
      <c r="E153" s="290">
        <v>14</v>
      </c>
      <c r="F153" s="290">
        <v>1</v>
      </c>
      <c r="G153" s="290" t="s">
        <v>1046</v>
      </c>
      <c r="H153" s="301" t="s">
        <v>1054</v>
      </c>
      <c r="I153" s="301" t="s">
        <v>1055</v>
      </c>
      <c r="J153" s="301" t="s">
        <v>1056</v>
      </c>
      <c r="K153" s="302" t="s">
        <v>1057</v>
      </c>
      <c r="L153" s="307"/>
      <c r="M153" s="290">
        <v>2022</v>
      </c>
      <c r="N153" s="290" t="s">
        <v>220</v>
      </c>
      <c r="O153" s="290">
        <v>1</v>
      </c>
      <c r="P153" s="304">
        <v>1</v>
      </c>
      <c r="Q153" s="304">
        <v>6</v>
      </c>
      <c r="R153" s="308">
        <v>1000</v>
      </c>
      <c r="S153" s="306"/>
      <c r="T153" s="299"/>
      <c r="U153" s="299"/>
      <c r="V153" s="290">
        <f t="shared" si="13"/>
        <v>1000</v>
      </c>
      <c r="W153" s="105" t="s">
        <v>134</v>
      </c>
      <c r="X153" s="216"/>
      <c r="Y153" s="216"/>
      <c r="Z153" s="216"/>
      <c r="AA153" s="216"/>
      <c r="AB153" s="216"/>
      <c r="AC153" s="216"/>
      <c r="AD153" s="216"/>
      <c r="AE153" s="216"/>
    </row>
    <row r="154" spans="1:31" ht="15.75" customHeight="1">
      <c r="A154" s="289" t="s">
        <v>1058</v>
      </c>
      <c r="B154" s="309" t="s">
        <v>1059</v>
      </c>
      <c r="C154" s="290" t="s">
        <v>105</v>
      </c>
      <c r="D154" s="290" t="s">
        <v>1060</v>
      </c>
      <c r="E154" s="290">
        <v>12</v>
      </c>
      <c r="F154" s="290">
        <v>9</v>
      </c>
      <c r="G154" s="310" t="s">
        <v>1061</v>
      </c>
      <c r="H154" s="301" t="s">
        <v>1062</v>
      </c>
      <c r="I154" s="301" t="s">
        <v>1063</v>
      </c>
      <c r="J154" s="311" t="s">
        <v>1064</v>
      </c>
      <c r="K154" s="302" t="s">
        <v>1065</v>
      </c>
      <c r="L154" s="307"/>
      <c r="M154" s="290">
        <v>2022</v>
      </c>
      <c r="N154" s="310" t="s">
        <v>248</v>
      </c>
      <c r="O154" s="290">
        <v>1</v>
      </c>
      <c r="P154" s="304">
        <v>1</v>
      </c>
      <c r="Q154" s="304">
        <v>6</v>
      </c>
      <c r="R154" s="305">
        <v>1500</v>
      </c>
      <c r="S154" s="306"/>
      <c r="T154" s="299"/>
      <c r="U154" s="299"/>
      <c r="V154" s="290">
        <f t="shared" si="13"/>
        <v>1500</v>
      </c>
      <c r="W154" s="105" t="s">
        <v>134</v>
      </c>
      <c r="X154" s="216"/>
      <c r="Y154" s="216"/>
      <c r="Z154" s="216"/>
      <c r="AA154" s="216"/>
      <c r="AB154" s="216"/>
      <c r="AC154" s="216"/>
      <c r="AD154" s="216"/>
      <c r="AE154" s="216"/>
    </row>
    <row r="155" spans="1:31" ht="15.75" customHeight="1">
      <c r="A155" s="289" t="s">
        <v>972</v>
      </c>
      <c r="B155" s="309" t="s">
        <v>1066</v>
      </c>
      <c r="C155" s="290" t="s">
        <v>105</v>
      </c>
      <c r="D155" s="310" t="s">
        <v>1067</v>
      </c>
      <c r="E155" s="290">
        <v>19</v>
      </c>
      <c r="F155" s="290">
        <v>6</v>
      </c>
      <c r="G155" s="312" t="s">
        <v>253</v>
      </c>
      <c r="H155" s="301" t="s">
        <v>1068</v>
      </c>
      <c r="I155" s="311" t="s">
        <v>1069</v>
      </c>
      <c r="J155" s="311" t="s">
        <v>1070</v>
      </c>
      <c r="K155" s="302" t="s">
        <v>978</v>
      </c>
      <c r="L155" s="307"/>
      <c r="M155" s="290">
        <v>2022</v>
      </c>
      <c r="N155" s="310" t="s">
        <v>248</v>
      </c>
      <c r="O155" s="290">
        <v>2</v>
      </c>
      <c r="P155" s="304">
        <v>2</v>
      </c>
      <c r="Q155" s="304">
        <v>4</v>
      </c>
      <c r="R155" s="305">
        <v>1500</v>
      </c>
      <c r="S155" s="306"/>
      <c r="T155" s="299"/>
      <c r="U155" s="299"/>
      <c r="V155" s="290">
        <f t="shared" si="13"/>
        <v>750</v>
      </c>
      <c r="W155" s="105" t="s">
        <v>134</v>
      </c>
      <c r="X155" s="216"/>
      <c r="Y155" s="216"/>
      <c r="Z155" s="216"/>
      <c r="AA155" s="216"/>
      <c r="AB155" s="216"/>
      <c r="AC155" s="216"/>
      <c r="AD155" s="216"/>
      <c r="AE155" s="216"/>
    </row>
    <row r="156" spans="1:31" ht="15.75" customHeight="1">
      <c r="A156" s="289" t="s">
        <v>1071</v>
      </c>
      <c r="B156" s="309" t="s">
        <v>1072</v>
      </c>
      <c r="C156" s="290" t="s">
        <v>105</v>
      </c>
      <c r="D156" s="310" t="s">
        <v>1073</v>
      </c>
      <c r="E156" s="290">
        <v>7</v>
      </c>
      <c r="F156" s="290">
        <v>31</v>
      </c>
      <c r="G156" s="310" t="s">
        <v>1074</v>
      </c>
      <c r="H156" s="301" t="s">
        <v>1075</v>
      </c>
      <c r="I156" s="313" t="s">
        <v>1076</v>
      </c>
      <c r="J156" s="311" t="s">
        <v>1077</v>
      </c>
      <c r="K156" s="309" t="s">
        <v>1078</v>
      </c>
      <c r="L156" s="301" t="s">
        <v>1079</v>
      </c>
      <c r="M156" s="290">
        <v>2022</v>
      </c>
      <c r="N156" s="310" t="s">
        <v>220</v>
      </c>
      <c r="O156" s="290">
        <v>1</v>
      </c>
      <c r="P156" s="304">
        <v>1</v>
      </c>
      <c r="Q156" s="304">
        <v>6</v>
      </c>
      <c r="R156" s="305">
        <v>1000</v>
      </c>
      <c r="S156" s="306"/>
      <c r="T156" s="299"/>
      <c r="U156" s="299"/>
      <c r="V156" s="290">
        <f t="shared" si="13"/>
        <v>1000</v>
      </c>
      <c r="W156" s="105" t="s">
        <v>134</v>
      </c>
      <c r="X156" s="216"/>
      <c r="Y156" s="216"/>
      <c r="Z156" s="216"/>
      <c r="AA156" s="216"/>
      <c r="AB156" s="216"/>
      <c r="AC156" s="216"/>
      <c r="AD156" s="216"/>
      <c r="AE156" s="216"/>
    </row>
    <row r="157" spans="1:31" ht="15.75" customHeight="1">
      <c r="A157" s="289" t="s">
        <v>1080</v>
      </c>
      <c r="B157" s="314" t="s">
        <v>1081</v>
      </c>
      <c r="C157" s="290" t="s">
        <v>105</v>
      </c>
      <c r="D157" s="290" t="s">
        <v>1082</v>
      </c>
      <c r="E157" s="290">
        <v>10</v>
      </c>
      <c r="F157" s="290"/>
      <c r="G157" s="310" t="s">
        <v>1083</v>
      </c>
      <c r="H157" s="301" t="s">
        <v>1084</v>
      </c>
      <c r="I157" s="301" t="s">
        <v>1085</v>
      </c>
      <c r="J157" s="311" t="s">
        <v>1086</v>
      </c>
      <c r="K157" s="309" t="s">
        <v>1065</v>
      </c>
      <c r="L157" s="307"/>
      <c r="M157" s="290">
        <v>2022</v>
      </c>
      <c r="N157" s="310" t="s">
        <v>220</v>
      </c>
      <c r="O157" s="290">
        <v>1</v>
      </c>
      <c r="P157" s="304">
        <v>1</v>
      </c>
      <c r="Q157" s="304">
        <v>7</v>
      </c>
      <c r="R157" s="305">
        <v>1000</v>
      </c>
      <c r="S157" s="306"/>
      <c r="T157" s="299"/>
      <c r="U157" s="299"/>
      <c r="V157" s="290">
        <f t="shared" si="13"/>
        <v>1000</v>
      </c>
      <c r="W157" s="105" t="s">
        <v>134</v>
      </c>
      <c r="X157" s="216"/>
      <c r="Y157" s="216"/>
      <c r="Z157" s="216"/>
      <c r="AA157" s="216"/>
      <c r="AB157" s="216"/>
      <c r="AC157" s="216"/>
      <c r="AD157" s="216"/>
      <c r="AE157" s="216"/>
    </row>
    <row r="158" spans="1:31" ht="15.75" customHeight="1">
      <c r="A158" s="315" t="s">
        <v>1087</v>
      </c>
      <c r="B158" s="309" t="s">
        <v>1088</v>
      </c>
      <c r="C158" s="290" t="s">
        <v>105</v>
      </c>
      <c r="D158" s="310" t="s">
        <v>1089</v>
      </c>
      <c r="E158" s="316">
        <v>12</v>
      </c>
      <c r="F158" s="290">
        <v>6</v>
      </c>
      <c r="G158" s="310" t="s">
        <v>602</v>
      </c>
      <c r="H158" s="301" t="s">
        <v>1090</v>
      </c>
      <c r="I158" s="299" t="s">
        <v>1091</v>
      </c>
      <c r="J158" s="313" t="s">
        <v>1092</v>
      </c>
      <c r="K158" s="309" t="s">
        <v>1093</v>
      </c>
      <c r="L158" s="303"/>
      <c r="M158" s="290">
        <v>2022</v>
      </c>
      <c r="N158" s="290" t="s">
        <v>220</v>
      </c>
      <c r="O158" s="290">
        <v>1</v>
      </c>
      <c r="P158" s="304">
        <v>1</v>
      </c>
      <c r="Q158" s="304">
        <v>7</v>
      </c>
      <c r="R158" s="305">
        <v>1000</v>
      </c>
      <c r="S158" s="306"/>
      <c r="T158" s="299"/>
      <c r="U158" s="299"/>
      <c r="V158" s="290">
        <f t="shared" si="13"/>
        <v>1000</v>
      </c>
      <c r="W158" s="105" t="s">
        <v>134</v>
      </c>
      <c r="X158" s="216"/>
      <c r="Y158" s="216"/>
      <c r="Z158" s="216"/>
      <c r="AA158" s="216"/>
      <c r="AB158" s="216"/>
      <c r="AC158" s="216"/>
      <c r="AD158" s="216"/>
      <c r="AE158" s="216"/>
    </row>
    <row r="159" spans="1:31" ht="15.75" customHeight="1">
      <c r="A159" s="315" t="s">
        <v>1094</v>
      </c>
      <c r="B159" s="302" t="s">
        <v>1095</v>
      </c>
      <c r="C159" s="317" t="s">
        <v>105</v>
      </c>
      <c r="D159" s="290" t="s">
        <v>601</v>
      </c>
      <c r="E159" s="290">
        <v>12</v>
      </c>
      <c r="F159" s="318">
        <v>3</v>
      </c>
      <c r="G159" s="312" t="s">
        <v>602</v>
      </c>
      <c r="H159" s="301" t="s">
        <v>1096</v>
      </c>
      <c r="I159" s="311" t="s">
        <v>1097</v>
      </c>
      <c r="J159" s="319" t="s">
        <v>1098</v>
      </c>
      <c r="K159" s="309" t="s">
        <v>1093</v>
      </c>
      <c r="L159" s="307"/>
      <c r="M159" s="316">
        <v>2022</v>
      </c>
      <c r="N159" s="290" t="s">
        <v>220</v>
      </c>
      <c r="O159" s="290">
        <v>1</v>
      </c>
      <c r="P159" s="304">
        <v>1</v>
      </c>
      <c r="Q159" s="304">
        <v>6</v>
      </c>
      <c r="R159" s="305">
        <v>1000</v>
      </c>
      <c r="S159" s="306"/>
      <c r="T159" s="299"/>
      <c r="U159" s="299"/>
      <c r="V159" s="290">
        <f t="shared" si="13"/>
        <v>1000</v>
      </c>
      <c r="W159" s="105" t="s">
        <v>134</v>
      </c>
      <c r="X159" s="216"/>
      <c r="Y159" s="216"/>
      <c r="Z159" s="216"/>
      <c r="AA159" s="216"/>
      <c r="AB159" s="216"/>
      <c r="AC159" s="216"/>
      <c r="AD159" s="216"/>
      <c r="AE159" s="216"/>
    </row>
    <row r="160" spans="1:31" ht="15.75" customHeight="1">
      <c r="A160" s="315" t="s">
        <v>1099</v>
      </c>
      <c r="B160" s="300" t="s">
        <v>1100</v>
      </c>
      <c r="C160" s="317" t="s">
        <v>105</v>
      </c>
      <c r="D160" s="290" t="s">
        <v>1101</v>
      </c>
      <c r="E160" s="290" t="s">
        <v>1102</v>
      </c>
      <c r="F160" s="291"/>
      <c r="G160" s="290" t="s">
        <v>1103</v>
      </c>
      <c r="H160" s="301" t="s">
        <v>1104</v>
      </c>
      <c r="I160" s="313" t="s">
        <v>1105</v>
      </c>
      <c r="J160" s="301" t="s">
        <v>1106</v>
      </c>
      <c r="K160" s="309" t="s">
        <v>1107</v>
      </c>
      <c r="L160" s="320"/>
      <c r="M160" s="290">
        <v>2022</v>
      </c>
      <c r="N160" s="310" t="s">
        <v>1108</v>
      </c>
      <c r="O160" s="290">
        <v>1</v>
      </c>
      <c r="P160" s="304">
        <v>1</v>
      </c>
      <c r="Q160" s="304">
        <v>5</v>
      </c>
      <c r="R160" s="305">
        <v>500</v>
      </c>
      <c r="S160" s="306"/>
      <c r="T160" s="299"/>
      <c r="U160" s="299"/>
      <c r="V160" s="290">
        <f t="shared" si="13"/>
        <v>500</v>
      </c>
      <c r="W160" s="105" t="s">
        <v>134</v>
      </c>
      <c r="X160" s="216"/>
      <c r="Y160" s="216"/>
      <c r="Z160" s="216"/>
      <c r="AA160" s="216"/>
      <c r="AB160" s="216"/>
      <c r="AC160" s="216"/>
      <c r="AD160" s="216"/>
      <c r="AE160" s="216"/>
    </row>
    <row r="161" spans="1:31" ht="15.75" customHeight="1">
      <c r="A161" s="315" t="s">
        <v>1109</v>
      </c>
      <c r="B161" s="302" t="s">
        <v>1110</v>
      </c>
      <c r="C161" s="317" t="s">
        <v>105</v>
      </c>
      <c r="D161" s="290" t="s">
        <v>1111</v>
      </c>
      <c r="E161" s="290">
        <v>92</v>
      </c>
      <c r="F161" s="290" t="s">
        <v>1112</v>
      </c>
      <c r="G161" s="318" t="s">
        <v>1113</v>
      </c>
      <c r="H161" s="301" t="s">
        <v>1114</v>
      </c>
      <c r="I161" s="313" t="s">
        <v>1115</v>
      </c>
      <c r="J161" s="321" t="s">
        <v>1116</v>
      </c>
      <c r="K161" s="314" t="s">
        <v>1117</v>
      </c>
      <c r="L161" s="320" t="s">
        <v>1118</v>
      </c>
      <c r="M161" s="290">
        <v>2022</v>
      </c>
      <c r="N161" s="310" t="s">
        <v>220</v>
      </c>
      <c r="O161" s="316">
        <v>5</v>
      </c>
      <c r="P161" s="322">
        <v>5</v>
      </c>
      <c r="Q161" s="322">
        <v>6</v>
      </c>
      <c r="R161" s="308">
        <v>1000</v>
      </c>
      <c r="S161" s="306"/>
      <c r="T161" s="299"/>
      <c r="U161" s="299"/>
      <c r="V161" s="290">
        <f t="shared" si="13"/>
        <v>200</v>
      </c>
      <c r="W161" s="105" t="s">
        <v>134</v>
      </c>
      <c r="X161" s="216"/>
      <c r="Y161" s="216"/>
      <c r="Z161" s="216"/>
      <c r="AA161" s="216"/>
      <c r="AB161" s="216"/>
      <c r="AC161" s="216"/>
      <c r="AD161" s="216"/>
      <c r="AE161" s="216"/>
    </row>
    <row r="162" spans="1:31" ht="15.75" customHeight="1">
      <c r="A162" s="315" t="s">
        <v>991</v>
      </c>
      <c r="B162" s="290" t="s">
        <v>1119</v>
      </c>
      <c r="C162" s="317" t="s">
        <v>105</v>
      </c>
      <c r="D162" s="290" t="s">
        <v>1120</v>
      </c>
      <c r="E162" s="290">
        <v>17</v>
      </c>
      <c r="F162" s="290" t="s">
        <v>994</v>
      </c>
      <c r="G162" s="310" t="s">
        <v>1121</v>
      </c>
      <c r="H162" s="301"/>
      <c r="I162" s="321" t="s">
        <v>997</v>
      </c>
      <c r="J162" s="321" t="s">
        <v>1122</v>
      </c>
      <c r="K162" s="309"/>
      <c r="L162" s="320" t="s">
        <v>1123</v>
      </c>
      <c r="M162" s="290">
        <v>2022</v>
      </c>
      <c r="N162" s="317"/>
      <c r="O162" s="290">
        <v>2</v>
      </c>
      <c r="P162" s="304">
        <v>2</v>
      </c>
      <c r="Q162" s="304">
        <v>3</v>
      </c>
      <c r="R162" s="308">
        <v>200</v>
      </c>
      <c r="S162" s="323" t="s">
        <v>1124</v>
      </c>
      <c r="T162" s="299" t="s">
        <v>1125</v>
      </c>
      <c r="U162" s="299"/>
      <c r="V162" s="290">
        <f t="shared" si="13"/>
        <v>100</v>
      </c>
      <c r="W162" s="105" t="s">
        <v>134</v>
      </c>
      <c r="X162" s="216"/>
      <c r="Y162" s="216"/>
      <c r="Z162" s="216"/>
      <c r="AA162" s="216"/>
      <c r="AB162" s="216"/>
      <c r="AC162" s="216"/>
      <c r="AD162" s="216"/>
      <c r="AE162" s="216"/>
    </row>
    <row r="163" spans="1:31" ht="15.75" customHeight="1">
      <c r="A163" s="315" t="s">
        <v>1126</v>
      </c>
      <c r="B163" s="302" t="s">
        <v>1127</v>
      </c>
      <c r="C163" s="317" t="s">
        <v>105</v>
      </c>
      <c r="D163" s="290" t="s">
        <v>1128</v>
      </c>
      <c r="E163" s="290">
        <v>217</v>
      </c>
      <c r="F163" s="290"/>
      <c r="G163" s="310" t="s">
        <v>1129</v>
      </c>
      <c r="H163" s="301" t="s">
        <v>1130</v>
      </c>
      <c r="I163" s="313" t="s">
        <v>1131</v>
      </c>
      <c r="J163" s="313" t="s">
        <v>1132</v>
      </c>
      <c r="K163" s="309" t="s">
        <v>1133</v>
      </c>
      <c r="L163" s="320"/>
      <c r="M163" s="290">
        <v>2022</v>
      </c>
      <c r="N163" s="324" t="s">
        <v>248</v>
      </c>
      <c r="O163" s="290">
        <v>1</v>
      </c>
      <c r="P163" s="304">
        <v>1</v>
      </c>
      <c r="Q163" s="304">
        <v>7</v>
      </c>
      <c r="R163" s="325">
        <v>1500</v>
      </c>
      <c r="S163" s="306"/>
      <c r="T163" s="299"/>
      <c r="U163" s="299"/>
      <c r="V163" s="290">
        <f t="shared" si="13"/>
        <v>1500</v>
      </c>
      <c r="W163" s="105" t="s">
        <v>134</v>
      </c>
      <c r="X163" s="216"/>
      <c r="Y163" s="216"/>
      <c r="Z163" s="216"/>
      <c r="AA163" s="216"/>
      <c r="AB163" s="216"/>
      <c r="AC163" s="216"/>
      <c r="AD163" s="216"/>
      <c r="AE163" s="216"/>
    </row>
    <row r="164" spans="1:31" ht="15.75" customHeight="1">
      <c r="A164" s="315" t="s">
        <v>1134</v>
      </c>
      <c r="B164" s="302" t="s">
        <v>1135</v>
      </c>
      <c r="C164" s="318" t="s">
        <v>105</v>
      </c>
      <c r="D164" s="326" t="s">
        <v>1038</v>
      </c>
      <c r="E164" s="326" t="s">
        <v>1136</v>
      </c>
      <c r="F164" s="326">
        <v>1</v>
      </c>
      <c r="G164" s="290" t="s">
        <v>1039</v>
      </c>
      <c r="H164" s="301" t="s">
        <v>1137</v>
      </c>
      <c r="I164" s="301" t="s">
        <v>1138</v>
      </c>
      <c r="J164" s="313" t="s">
        <v>1139</v>
      </c>
      <c r="K164" s="309" t="s">
        <v>1140</v>
      </c>
      <c r="L164" s="307"/>
      <c r="M164" s="326">
        <v>2022</v>
      </c>
      <c r="N164" s="290" t="s">
        <v>220</v>
      </c>
      <c r="O164" s="326">
        <v>1</v>
      </c>
      <c r="P164" s="327">
        <v>1</v>
      </c>
      <c r="Q164" s="327">
        <v>6</v>
      </c>
      <c r="R164" s="328">
        <v>1000</v>
      </c>
      <c r="S164" s="306"/>
      <c r="T164" s="299"/>
      <c r="U164" s="299"/>
      <c r="V164" s="290">
        <f t="shared" si="13"/>
        <v>1000</v>
      </c>
      <c r="W164" s="105" t="s">
        <v>134</v>
      </c>
      <c r="X164" s="216"/>
      <c r="Y164" s="216"/>
      <c r="Z164" s="216"/>
      <c r="AA164" s="216"/>
      <c r="AB164" s="216"/>
      <c r="AC164" s="216"/>
      <c r="AD164" s="216"/>
      <c r="AE164" s="216"/>
    </row>
    <row r="165" spans="1:31" ht="15.75" customHeight="1">
      <c r="A165" s="315" t="s">
        <v>1141</v>
      </c>
      <c r="B165" s="329" t="s">
        <v>1142</v>
      </c>
      <c r="C165" s="290" t="s">
        <v>105</v>
      </c>
      <c r="D165" s="290" t="s">
        <v>1073</v>
      </c>
      <c r="E165" s="290">
        <v>8</v>
      </c>
      <c r="F165" s="290">
        <v>2</v>
      </c>
      <c r="G165" s="310" t="s">
        <v>1143</v>
      </c>
      <c r="H165" s="301" t="s">
        <v>1144</v>
      </c>
      <c r="I165" s="301" t="s">
        <v>1145</v>
      </c>
      <c r="J165" s="313" t="s">
        <v>1146</v>
      </c>
      <c r="K165" s="309" t="s">
        <v>1147</v>
      </c>
      <c r="L165" s="299" t="s">
        <v>1148</v>
      </c>
      <c r="M165" s="290">
        <v>2022</v>
      </c>
      <c r="N165" s="290" t="s">
        <v>220</v>
      </c>
      <c r="O165" s="290">
        <v>2</v>
      </c>
      <c r="P165" s="304">
        <v>2</v>
      </c>
      <c r="Q165" s="304">
        <v>10</v>
      </c>
      <c r="R165" s="305">
        <v>1000</v>
      </c>
      <c r="S165" s="306"/>
      <c r="T165" s="299"/>
      <c r="U165" s="299"/>
      <c r="V165" s="290">
        <f t="shared" si="13"/>
        <v>500</v>
      </c>
      <c r="W165" s="105" t="s">
        <v>134</v>
      </c>
      <c r="X165" s="216"/>
      <c r="Y165" s="216"/>
      <c r="Z165" s="216"/>
      <c r="AA165" s="216"/>
      <c r="AB165" s="216"/>
      <c r="AC165" s="216"/>
      <c r="AD165" s="216"/>
      <c r="AE165" s="216"/>
    </row>
    <row r="166" spans="1:31" ht="15.75" customHeight="1">
      <c r="A166" s="330" t="s">
        <v>980</v>
      </c>
      <c r="B166" s="290" t="s">
        <v>1149</v>
      </c>
      <c r="C166" s="290" t="s">
        <v>105</v>
      </c>
      <c r="D166" s="290" t="s">
        <v>940</v>
      </c>
      <c r="E166" s="290">
        <v>62</v>
      </c>
      <c r="F166" s="290" t="s">
        <v>1150</v>
      </c>
      <c r="G166" s="312" t="s">
        <v>910</v>
      </c>
      <c r="H166" s="301" t="s">
        <v>1151</v>
      </c>
      <c r="I166" s="301" t="s">
        <v>1152</v>
      </c>
      <c r="J166" s="331" t="s">
        <v>1153</v>
      </c>
      <c r="K166" s="302" t="s">
        <v>987</v>
      </c>
      <c r="L166" s="307" t="s">
        <v>988</v>
      </c>
      <c r="M166" s="290">
        <v>2022</v>
      </c>
      <c r="N166" s="290"/>
      <c r="O166" s="290">
        <v>2</v>
      </c>
      <c r="P166" s="304">
        <v>2</v>
      </c>
      <c r="Q166" s="304">
        <v>2</v>
      </c>
      <c r="R166" s="305">
        <v>200</v>
      </c>
      <c r="S166" s="323" t="s">
        <v>1154</v>
      </c>
      <c r="T166" s="299" t="s">
        <v>1155</v>
      </c>
      <c r="U166" s="299"/>
      <c r="V166" s="290">
        <f t="shared" si="13"/>
        <v>100</v>
      </c>
      <c r="W166" s="105" t="s">
        <v>134</v>
      </c>
      <c r="X166" s="216"/>
      <c r="Y166" s="216"/>
      <c r="Z166" s="216"/>
      <c r="AA166" s="216"/>
      <c r="AB166" s="216"/>
      <c r="AC166" s="216"/>
      <c r="AD166" s="216"/>
      <c r="AE166" s="216"/>
    </row>
    <row r="167" spans="1:31" ht="15.75" customHeight="1">
      <c r="B167" s="216"/>
      <c r="C167" s="89"/>
      <c r="D167" s="89"/>
      <c r="E167" s="89"/>
      <c r="F167" s="89"/>
      <c r="G167" s="89"/>
      <c r="H167" s="246"/>
      <c r="I167" s="246"/>
      <c r="J167" s="246"/>
      <c r="K167" s="216"/>
      <c r="L167" s="246"/>
      <c r="M167" s="89"/>
      <c r="N167" s="89"/>
      <c r="O167" s="89"/>
      <c r="P167" s="89"/>
      <c r="Q167" s="89"/>
      <c r="R167" s="89"/>
      <c r="S167" s="246"/>
      <c r="T167" s="246"/>
      <c r="U167" s="246"/>
      <c r="V167" s="89"/>
      <c r="W167" s="246"/>
    </row>
    <row r="168" spans="1:31" ht="15" customHeight="1">
      <c r="A168" s="332" t="s">
        <v>169</v>
      </c>
      <c r="B168" s="216"/>
      <c r="C168" s="89"/>
      <c r="D168" s="89"/>
      <c r="E168" s="89"/>
      <c r="F168" s="89"/>
      <c r="G168" s="89"/>
      <c r="H168" s="246"/>
      <c r="I168" s="246"/>
      <c r="J168" s="246"/>
      <c r="K168" s="216"/>
      <c r="L168" s="246"/>
      <c r="M168" s="89"/>
      <c r="N168" s="89"/>
      <c r="O168" s="89"/>
      <c r="P168" s="89"/>
      <c r="Q168" s="89"/>
      <c r="R168" s="89"/>
      <c r="S168" s="246"/>
      <c r="T168" s="246"/>
      <c r="U168" s="246"/>
      <c r="V168" s="333">
        <f>SUM(V12:V166)</f>
        <v>51561.683333333349</v>
      </c>
      <c r="W168" s="246"/>
    </row>
    <row r="169" spans="1:31" ht="15.75" customHeight="1">
      <c r="B169" s="216"/>
      <c r="C169" s="89"/>
      <c r="D169" s="89"/>
      <c r="E169" s="89"/>
      <c r="F169" s="89"/>
      <c r="G169" s="89"/>
      <c r="H169" s="246"/>
      <c r="I169" s="246"/>
      <c r="J169" s="246"/>
      <c r="K169" s="216"/>
      <c r="L169" s="246"/>
      <c r="M169" s="89"/>
      <c r="N169" s="89"/>
      <c r="O169" s="89"/>
      <c r="P169" s="89"/>
      <c r="Q169" s="89"/>
      <c r="R169" s="89"/>
      <c r="S169" s="246"/>
      <c r="T169" s="246"/>
      <c r="U169" s="246"/>
      <c r="V169" s="89"/>
      <c r="W169" s="246"/>
    </row>
    <row r="170" spans="1:31" ht="15" customHeight="1">
      <c r="A170" s="334" t="s">
        <v>1156</v>
      </c>
      <c r="B170" s="334"/>
      <c r="C170" s="334"/>
      <c r="D170" s="334"/>
      <c r="E170" s="334"/>
      <c r="F170" s="334"/>
      <c r="G170" s="334"/>
      <c r="H170" s="335"/>
      <c r="I170" s="246"/>
      <c r="J170" s="246"/>
      <c r="K170" s="216"/>
      <c r="L170" s="246"/>
      <c r="M170" s="89"/>
      <c r="N170" s="89"/>
      <c r="O170" s="89"/>
      <c r="P170" s="89"/>
      <c r="Q170" s="89"/>
      <c r="R170" s="89"/>
      <c r="S170" s="246"/>
      <c r="T170" s="246"/>
      <c r="U170" s="246"/>
      <c r="V170" s="89"/>
      <c r="W170" s="246"/>
    </row>
    <row r="171" spans="1:31" ht="15.75" customHeight="1">
      <c r="B171" s="216"/>
      <c r="C171" s="89"/>
      <c r="D171" s="89"/>
      <c r="E171" s="89"/>
      <c r="F171" s="89"/>
      <c r="G171" s="89"/>
      <c r="H171" s="246"/>
      <c r="I171" s="246"/>
      <c r="J171" s="246"/>
      <c r="K171" s="216"/>
      <c r="L171" s="246"/>
      <c r="M171" s="89"/>
      <c r="N171" s="89"/>
      <c r="O171" s="89"/>
      <c r="P171" s="89"/>
      <c r="Q171" s="89"/>
      <c r="R171" s="89"/>
      <c r="S171" s="246"/>
      <c r="T171" s="246"/>
      <c r="U171" s="246"/>
      <c r="V171" s="89"/>
      <c r="W171" s="246"/>
    </row>
    <row r="172" spans="1:31" ht="15.75" customHeight="1">
      <c r="B172" s="216"/>
      <c r="C172" s="89"/>
      <c r="D172" s="89"/>
      <c r="E172" s="89"/>
      <c r="F172" s="89"/>
      <c r="G172" s="89"/>
      <c r="H172" s="246"/>
      <c r="I172" s="246"/>
      <c r="J172" s="246"/>
      <c r="K172" s="216"/>
      <c r="L172" s="246"/>
      <c r="M172" s="89"/>
      <c r="N172" s="89"/>
      <c r="O172" s="89"/>
      <c r="P172" s="89"/>
      <c r="Q172" s="89"/>
      <c r="R172" s="89"/>
      <c r="S172" s="246"/>
      <c r="T172" s="246"/>
      <c r="U172" s="246"/>
      <c r="V172" s="89"/>
      <c r="W172" s="246"/>
    </row>
    <row r="173" spans="1:31" ht="15.75" customHeight="1">
      <c r="B173" s="216"/>
      <c r="C173" s="89"/>
      <c r="D173" s="89"/>
      <c r="E173" s="89"/>
      <c r="F173" s="89"/>
      <c r="G173" s="89"/>
      <c r="H173" s="246"/>
      <c r="I173" s="246"/>
      <c r="J173" s="246"/>
      <c r="K173" s="216"/>
      <c r="L173" s="246"/>
      <c r="M173" s="89"/>
      <c r="N173" s="89"/>
      <c r="O173" s="89"/>
      <c r="P173" s="89"/>
      <c r="Q173" s="89"/>
      <c r="R173" s="89"/>
      <c r="S173" s="246"/>
      <c r="T173" s="246"/>
      <c r="U173" s="246"/>
      <c r="V173" s="89"/>
      <c r="W173" s="246"/>
    </row>
    <row r="174" spans="1:31" ht="15.75" customHeight="1">
      <c r="B174" s="216"/>
      <c r="C174" s="89"/>
      <c r="D174" s="89"/>
      <c r="E174" s="89"/>
      <c r="F174" s="89"/>
      <c r="G174" s="89"/>
      <c r="H174" s="246"/>
      <c r="I174" s="246"/>
      <c r="J174" s="246"/>
      <c r="K174" s="216"/>
      <c r="L174" s="246"/>
      <c r="M174" s="89"/>
      <c r="N174" s="89"/>
      <c r="O174" s="89"/>
      <c r="P174" s="89"/>
      <c r="Q174" s="89"/>
      <c r="R174" s="89"/>
      <c r="S174" s="246"/>
      <c r="T174" s="246"/>
      <c r="U174" s="246"/>
      <c r="V174" s="89"/>
      <c r="W174" s="246"/>
    </row>
    <row r="175" spans="1:31" ht="15.75" customHeight="1">
      <c r="B175" s="216"/>
      <c r="C175" s="89"/>
      <c r="D175" s="89"/>
      <c r="E175" s="89"/>
      <c r="F175" s="89"/>
      <c r="G175" s="89"/>
      <c r="H175" s="246"/>
      <c r="I175" s="246"/>
      <c r="J175" s="246"/>
      <c r="K175" s="216"/>
      <c r="L175" s="246"/>
      <c r="M175" s="89"/>
      <c r="N175" s="89"/>
      <c r="O175" s="89"/>
      <c r="P175" s="89"/>
      <c r="Q175" s="89"/>
      <c r="R175" s="89"/>
      <c r="S175" s="246"/>
      <c r="T175" s="246"/>
      <c r="U175" s="246"/>
      <c r="V175" s="89"/>
      <c r="W175" s="246"/>
    </row>
    <row r="176" spans="1:31" ht="15.75" customHeight="1">
      <c r="B176" s="216"/>
      <c r="C176" s="89"/>
      <c r="D176" s="89"/>
      <c r="E176" s="89"/>
      <c r="F176" s="89"/>
      <c r="G176" s="89"/>
      <c r="H176" s="246"/>
      <c r="I176" s="246"/>
      <c r="J176" s="246"/>
      <c r="K176" s="216"/>
      <c r="L176" s="246"/>
      <c r="M176" s="89"/>
      <c r="N176" s="89"/>
      <c r="O176" s="89"/>
      <c r="P176" s="89"/>
      <c r="Q176" s="89"/>
      <c r="R176" s="89"/>
      <c r="S176" s="246"/>
      <c r="T176" s="246"/>
      <c r="U176" s="246"/>
      <c r="V176" s="89"/>
      <c r="W176" s="246"/>
    </row>
    <row r="177" spans="2:23" ht="15.75" customHeight="1">
      <c r="B177" s="216"/>
      <c r="C177" s="89"/>
      <c r="D177" s="89"/>
      <c r="E177" s="89"/>
      <c r="F177" s="89"/>
      <c r="G177" s="89"/>
      <c r="H177" s="246"/>
      <c r="I177" s="246"/>
      <c r="J177" s="246"/>
      <c r="K177" s="216"/>
      <c r="L177" s="246"/>
      <c r="M177" s="89"/>
      <c r="N177" s="89"/>
      <c r="O177" s="89"/>
      <c r="P177" s="89"/>
      <c r="Q177" s="89"/>
      <c r="R177" s="89"/>
      <c r="S177" s="246"/>
      <c r="T177" s="246"/>
      <c r="U177" s="246"/>
      <c r="V177" s="89"/>
      <c r="W177" s="246"/>
    </row>
    <row r="178" spans="2:23" ht="15.75" customHeight="1">
      <c r="B178" s="216"/>
      <c r="C178" s="89"/>
      <c r="D178" s="89"/>
      <c r="E178" s="89"/>
      <c r="F178" s="89"/>
      <c r="G178" s="89"/>
      <c r="H178" s="246"/>
      <c r="I178" s="246"/>
      <c r="J178" s="246"/>
      <c r="K178" s="216"/>
      <c r="L178" s="246"/>
      <c r="M178" s="89"/>
      <c r="N178" s="89"/>
      <c r="O178" s="89"/>
      <c r="P178" s="89"/>
      <c r="Q178" s="89"/>
      <c r="R178" s="89"/>
      <c r="S178" s="246"/>
      <c r="T178" s="246"/>
      <c r="U178" s="246"/>
      <c r="V178" s="89"/>
      <c r="W178" s="246"/>
    </row>
    <row r="179" spans="2:23" ht="15.75" customHeight="1">
      <c r="B179" s="216"/>
      <c r="C179" s="89"/>
      <c r="D179" s="89"/>
      <c r="E179" s="89"/>
      <c r="F179" s="89"/>
      <c r="G179" s="89"/>
      <c r="H179" s="246"/>
      <c r="I179" s="246"/>
      <c r="J179" s="246"/>
      <c r="K179" s="216"/>
      <c r="L179" s="246"/>
      <c r="M179" s="89"/>
      <c r="N179" s="89"/>
      <c r="O179" s="89"/>
      <c r="P179" s="89"/>
      <c r="Q179" s="89"/>
      <c r="R179" s="89"/>
      <c r="S179" s="246"/>
      <c r="T179" s="246"/>
      <c r="U179" s="246"/>
      <c r="V179" s="89"/>
      <c r="W179" s="246"/>
    </row>
    <row r="180" spans="2:23" ht="15.75" customHeight="1">
      <c r="B180" s="216"/>
      <c r="C180" s="89"/>
      <c r="D180" s="89"/>
      <c r="E180" s="89"/>
      <c r="F180" s="89"/>
      <c r="G180" s="89"/>
      <c r="H180" s="246"/>
      <c r="I180" s="246"/>
      <c r="J180" s="246"/>
      <c r="K180" s="216"/>
      <c r="L180" s="246"/>
      <c r="M180" s="89"/>
      <c r="N180" s="89"/>
      <c r="O180" s="89"/>
      <c r="P180" s="89"/>
      <c r="Q180" s="89"/>
      <c r="R180" s="89"/>
      <c r="S180" s="246"/>
      <c r="T180" s="246"/>
      <c r="U180" s="246"/>
      <c r="V180" s="89"/>
      <c r="W180" s="246"/>
    </row>
    <row r="181" spans="2:23" ht="15.75" customHeight="1">
      <c r="B181" s="216"/>
      <c r="C181" s="89"/>
      <c r="D181" s="89"/>
      <c r="E181" s="89"/>
      <c r="F181" s="89"/>
      <c r="G181" s="89"/>
      <c r="H181" s="246"/>
      <c r="I181" s="246"/>
      <c r="J181" s="246"/>
      <c r="K181" s="216"/>
      <c r="L181" s="246"/>
      <c r="M181" s="89"/>
      <c r="N181" s="89"/>
      <c r="O181" s="89"/>
      <c r="P181" s="89"/>
      <c r="Q181" s="89"/>
      <c r="R181" s="89"/>
      <c r="S181" s="246"/>
      <c r="T181" s="246"/>
      <c r="U181" s="246"/>
      <c r="V181" s="89"/>
      <c r="W181" s="246"/>
    </row>
    <row r="182" spans="2:23" ht="15.75" customHeight="1">
      <c r="B182" s="216"/>
      <c r="C182" s="89"/>
      <c r="D182" s="89"/>
      <c r="E182" s="89"/>
      <c r="F182" s="89"/>
      <c r="G182" s="89"/>
      <c r="H182" s="246"/>
      <c r="I182" s="246"/>
      <c r="J182" s="246"/>
      <c r="K182" s="216"/>
      <c r="L182" s="246"/>
      <c r="M182" s="89"/>
      <c r="N182" s="89"/>
      <c r="O182" s="89"/>
      <c r="P182" s="89"/>
      <c r="Q182" s="89"/>
      <c r="R182" s="89"/>
      <c r="S182" s="246"/>
      <c r="T182" s="246"/>
      <c r="U182" s="246"/>
      <c r="V182" s="89"/>
      <c r="W182" s="246"/>
    </row>
    <row r="183" spans="2:23" ht="15.75" customHeight="1">
      <c r="B183" s="216"/>
      <c r="C183" s="89"/>
      <c r="D183" s="89"/>
      <c r="E183" s="89"/>
      <c r="F183" s="89"/>
      <c r="G183" s="89"/>
      <c r="H183" s="246"/>
      <c r="I183" s="246"/>
      <c r="J183" s="246"/>
      <c r="K183" s="216"/>
      <c r="L183" s="246"/>
      <c r="M183" s="89"/>
      <c r="N183" s="89"/>
      <c r="O183" s="89"/>
      <c r="P183" s="89"/>
      <c r="Q183" s="89"/>
      <c r="R183" s="89"/>
      <c r="S183" s="246"/>
      <c r="T183" s="246"/>
      <c r="U183" s="246"/>
      <c r="V183" s="89"/>
      <c r="W183" s="246"/>
    </row>
    <row r="184" spans="2:23" ht="15.75" customHeight="1">
      <c r="B184" s="216"/>
      <c r="C184" s="89"/>
      <c r="D184" s="89"/>
      <c r="E184" s="89"/>
      <c r="F184" s="89"/>
      <c r="G184" s="89"/>
      <c r="H184" s="246"/>
      <c r="I184" s="246"/>
      <c r="J184" s="246"/>
      <c r="K184" s="216"/>
      <c r="L184" s="246"/>
      <c r="M184" s="89"/>
      <c r="N184" s="89"/>
      <c r="O184" s="89"/>
      <c r="P184" s="89"/>
      <c r="Q184" s="89"/>
      <c r="R184" s="89"/>
      <c r="S184" s="246"/>
      <c r="T184" s="246"/>
      <c r="U184" s="246"/>
      <c r="V184" s="89"/>
      <c r="W184" s="246"/>
    </row>
    <row r="185" spans="2:23" ht="15.75" customHeight="1">
      <c r="B185" s="216"/>
      <c r="C185" s="89"/>
      <c r="D185" s="89"/>
      <c r="E185" s="89"/>
      <c r="F185" s="89"/>
      <c r="G185" s="89"/>
      <c r="H185" s="246"/>
      <c r="I185" s="246"/>
      <c r="J185" s="246"/>
      <c r="K185" s="216"/>
      <c r="L185" s="246"/>
      <c r="M185" s="89"/>
      <c r="N185" s="89"/>
      <c r="O185" s="89"/>
      <c r="P185" s="89"/>
      <c r="Q185" s="89"/>
      <c r="R185" s="89"/>
      <c r="S185" s="246"/>
      <c r="T185" s="246"/>
      <c r="U185" s="246"/>
      <c r="V185" s="89"/>
      <c r="W185" s="246"/>
    </row>
    <row r="186" spans="2:23" ht="15.75" customHeight="1">
      <c r="B186" s="216"/>
      <c r="C186" s="89"/>
      <c r="D186" s="89"/>
      <c r="E186" s="89"/>
      <c r="F186" s="89"/>
      <c r="G186" s="89"/>
      <c r="H186" s="246"/>
      <c r="I186" s="246"/>
      <c r="J186" s="246"/>
      <c r="K186" s="216"/>
      <c r="L186" s="246"/>
      <c r="M186" s="89"/>
      <c r="N186" s="89"/>
      <c r="O186" s="89"/>
      <c r="P186" s="89"/>
      <c r="Q186" s="89"/>
      <c r="R186" s="89"/>
      <c r="S186" s="246"/>
      <c r="T186" s="246"/>
      <c r="U186" s="246"/>
      <c r="V186" s="89"/>
      <c r="W186" s="246"/>
    </row>
    <row r="187" spans="2:23" ht="15.75" customHeight="1">
      <c r="B187" s="216"/>
      <c r="C187" s="89"/>
      <c r="D187" s="89"/>
      <c r="E187" s="89"/>
      <c r="F187" s="89"/>
      <c r="G187" s="89"/>
      <c r="H187" s="246"/>
      <c r="I187" s="246"/>
      <c r="J187" s="246"/>
      <c r="K187" s="216"/>
      <c r="L187" s="246"/>
      <c r="M187" s="89"/>
      <c r="N187" s="89"/>
      <c r="O187" s="89"/>
      <c r="P187" s="89"/>
      <c r="Q187" s="89"/>
      <c r="R187" s="89"/>
      <c r="S187" s="246"/>
      <c r="T187" s="246"/>
      <c r="U187" s="246"/>
      <c r="V187" s="89"/>
      <c r="W187" s="246"/>
    </row>
    <row r="188" spans="2:23" ht="15.75" customHeight="1">
      <c r="B188" s="216"/>
      <c r="C188" s="89"/>
      <c r="D188" s="89"/>
      <c r="E188" s="89"/>
      <c r="F188" s="89"/>
      <c r="G188" s="89"/>
      <c r="H188" s="246"/>
      <c r="I188" s="246"/>
      <c r="J188" s="246"/>
      <c r="K188" s="216"/>
      <c r="L188" s="246"/>
      <c r="M188" s="89"/>
      <c r="N188" s="89"/>
      <c r="O188" s="89"/>
      <c r="P188" s="89"/>
      <c r="Q188" s="89"/>
      <c r="R188" s="89"/>
      <c r="S188" s="246"/>
      <c r="T188" s="246"/>
      <c r="U188" s="246"/>
      <c r="V188" s="89"/>
      <c r="W188" s="246"/>
    </row>
    <row r="189" spans="2:23" ht="15.75" customHeight="1">
      <c r="B189" s="216"/>
      <c r="C189" s="89"/>
      <c r="D189" s="89"/>
      <c r="E189" s="89"/>
      <c r="F189" s="89"/>
      <c r="G189" s="89"/>
      <c r="H189" s="246"/>
      <c r="I189" s="246"/>
      <c r="J189" s="246"/>
      <c r="K189" s="216"/>
      <c r="L189" s="246"/>
      <c r="M189" s="89"/>
      <c r="N189" s="89"/>
      <c r="O189" s="89"/>
      <c r="P189" s="89"/>
      <c r="Q189" s="89"/>
      <c r="R189" s="89"/>
      <c r="S189" s="246"/>
      <c r="T189" s="246"/>
      <c r="U189" s="246"/>
      <c r="V189" s="89"/>
      <c r="W189" s="246"/>
    </row>
    <row r="190" spans="2:23" ht="15.75" customHeight="1">
      <c r="B190" s="216"/>
      <c r="C190" s="89"/>
      <c r="D190" s="89"/>
      <c r="E190" s="89"/>
      <c r="F190" s="89"/>
      <c r="G190" s="89"/>
      <c r="H190" s="246"/>
      <c r="I190" s="246"/>
      <c r="J190" s="246"/>
      <c r="K190" s="216"/>
      <c r="L190" s="246"/>
      <c r="M190" s="89"/>
      <c r="N190" s="89"/>
      <c r="O190" s="89"/>
      <c r="P190" s="89"/>
      <c r="Q190" s="89"/>
      <c r="R190" s="89"/>
      <c r="S190" s="246"/>
      <c r="T190" s="246"/>
      <c r="U190" s="246"/>
      <c r="V190" s="89"/>
      <c r="W190" s="246"/>
    </row>
    <row r="191" spans="2:23" ht="15.75" customHeight="1">
      <c r="B191" s="216"/>
      <c r="C191" s="89"/>
      <c r="D191" s="89"/>
      <c r="E191" s="89"/>
      <c r="F191" s="89"/>
      <c r="G191" s="89"/>
      <c r="H191" s="246"/>
      <c r="I191" s="246"/>
      <c r="J191" s="246"/>
      <c r="K191" s="216"/>
      <c r="L191" s="246"/>
      <c r="M191" s="89"/>
      <c r="N191" s="89"/>
      <c r="O191" s="89"/>
      <c r="P191" s="89"/>
      <c r="Q191" s="89"/>
      <c r="R191" s="89"/>
      <c r="S191" s="246"/>
      <c r="T191" s="246"/>
      <c r="U191" s="246"/>
      <c r="V191" s="89"/>
      <c r="W191" s="246"/>
    </row>
    <row r="192" spans="2:23" ht="15.75" customHeight="1">
      <c r="B192" s="216"/>
      <c r="C192" s="89"/>
      <c r="D192" s="89"/>
      <c r="E192" s="89"/>
      <c r="F192" s="89"/>
      <c r="G192" s="89"/>
      <c r="H192" s="246"/>
      <c r="I192" s="246"/>
      <c r="J192" s="246"/>
      <c r="K192" s="216"/>
      <c r="L192" s="246"/>
      <c r="M192" s="89"/>
      <c r="N192" s="89"/>
      <c r="O192" s="89"/>
      <c r="P192" s="89"/>
      <c r="Q192" s="89"/>
      <c r="R192" s="89"/>
      <c r="S192" s="246"/>
      <c r="T192" s="246"/>
      <c r="U192" s="246"/>
      <c r="V192" s="89"/>
      <c r="W192" s="246"/>
    </row>
    <row r="193" spans="2:23" ht="15.75" customHeight="1">
      <c r="B193" s="216"/>
      <c r="C193" s="89"/>
      <c r="D193" s="89"/>
      <c r="E193" s="89"/>
      <c r="F193" s="89"/>
      <c r="G193" s="89"/>
      <c r="H193" s="246"/>
      <c r="I193" s="246"/>
      <c r="J193" s="246"/>
      <c r="K193" s="216"/>
      <c r="L193" s="246"/>
      <c r="M193" s="89"/>
      <c r="N193" s="89"/>
      <c r="O193" s="89"/>
      <c r="P193" s="89"/>
      <c r="Q193" s="89"/>
      <c r="R193" s="89"/>
      <c r="S193" s="246"/>
      <c r="T193" s="246"/>
      <c r="U193" s="246"/>
      <c r="V193" s="89"/>
      <c r="W193" s="246"/>
    </row>
    <row r="194" spans="2:23" ht="15.75" customHeight="1">
      <c r="B194" s="216"/>
      <c r="C194" s="89"/>
      <c r="D194" s="89"/>
      <c r="E194" s="89"/>
      <c r="F194" s="89"/>
      <c r="G194" s="89"/>
      <c r="H194" s="246"/>
      <c r="I194" s="246"/>
      <c r="J194" s="246"/>
      <c r="K194" s="216"/>
      <c r="L194" s="246"/>
      <c r="M194" s="89"/>
      <c r="N194" s="89"/>
      <c r="O194" s="89"/>
      <c r="P194" s="89"/>
      <c r="Q194" s="89"/>
      <c r="R194" s="89"/>
      <c r="S194" s="246"/>
      <c r="T194" s="246"/>
      <c r="U194" s="246"/>
      <c r="V194" s="89"/>
      <c r="W194" s="246"/>
    </row>
    <row r="195" spans="2:23" ht="15.75" customHeight="1">
      <c r="B195" s="216"/>
      <c r="C195" s="89"/>
      <c r="D195" s="89"/>
      <c r="E195" s="89"/>
      <c r="F195" s="89"/>
      <c r="G195" s="89"/>
      <c r="H195" s="246"/>
      <c r="I195" s="246"/>
      <c r="J195" s="246"/>
      <c r="K195" s="216"/>
      <c r="L195" s="246"/>
      <c r="M195" s="89"/>
      <c r="N195" s="89"/>
      <c r="O195" s="89"/>
      <c r="P195" s="89"/>
      <c r="Q195" s="89"/>
      <c r="R195" s="89"/>
      <c r="S195" s="246"/>
      <c r="T195" s="246"/>
      <c r="U195" s="246"/>
      <c r="V195" s="89"/>
      <c r="W195" s="246"/>
    </row>
    <row r="196" spans="2:23" ht="15.75" customHeight="1">
      <c r="B196" s="216"/>
      <c r="C196" s="89"/>
      <c r="D196" s="89"/>
      <c r="E196" s="89"/>
      <c r="F196" s="89"/>
      <c r="G196" s="89"/>
      <c r="H196" s="246"/>
      <c r="I196" s="246"/>
      <c r="J196" s="246"/>
      <c r="K196" s="216"/>
      <c r="L196" s="246"/>
      <c r="M196" s="89"/>
      <c r="N196" s="89"/>
      <c r="O196" s="89"/>
      <c r="P196" s="89"/>
      <c r="Q196" s="89"/>
      <c r="R196" s="89"/>
      <c r="S196" s="246"/>
      <c r="T196" s="246"/>
      <c r="U196" s="246"/>
      <c r="V196" s="89"/>
      <c r="W196" s="246"/>
    </row>
    <row r="197" spans="2:23" ht="15.75" customHeight="1">
      <c r="B197" s="216"/>
      <c r="C197" s="89"/>
      <c r="D197" s="89"/>
      <c r="E197" s="89"/>
      <c r="F197" s="89"/>
      <c r="G197" s="89"/>
      <c r="H197" s="246"/>
      <c r="I197" s="246"/>
      <c r="J197" s="246"/>
      <c r="K197" s="216"/>
      <c r="L197" s="246"/>
      <c r="M197" s="89"/>
      <c r="N197" s="89"/>
      <c r="O197" s="89"/>
      <c r="P197" s="89"/>
      <c r="Q197" s="89"/>
      <c r="R197" s="89"/>
      <c r="S197" s="246"/>
      <c r="T197" s="246"/>
      <c r="U197" s="246"/>
      <c r="V197" s="89"/>
      <c r="W197" s="246"/>
    </row>
    <row r="198" spans="2:23" ht="15.75" customHeight="1">
      <c r="B198" s="216"/>
      <c r="C198" s="89"/>
      <c r="D198" s="89"/>
      <c r="E198" s="89"/>
      <c r="F198" s="89"/>
      <c r="G198" s="89"/>
      <c r="H198" s="246"/>
      <c r="I198" s="246"/>
      <c r="J198" s="246"/>
      <c r="K198" s="216"/>
      <c r="L198" s="246"/>
      <c r="M198" s="89"/>
      <c r="N198" s="89"/>
      <c r="O198" s="89"/>
      <c r="P198" s="89"/>
      <c r="Q198" s="89"/>
      <c r="R198" s="89"/>
      <c r="S198" s="246"/>
      <c r="T198" s="246"/>
      <c r="U198" s="246"/>
      <c r="V198" s="89"/>
      <c r="W198" s="246"/>
    </row>
    <row r="199" spans="2:23" ht="15.75" customHeight="1">
      <c r="B199" s="216"/>
      <c r="C199" s="89"/>
      <c r="D199" s="89"/>
      <c r="E199" s="89"/>
      <c r="F199" s="89"/>
      <c r="G199" s="89"/>
      <c r="H199" s="246"/>
      <c r="I199" s="246"/>
      <c r="J199" s="246"/>
      <c r="K199" s="216"/>
      <c r="L199" s="246"/>
      <c r="M199" s="89"/>
      <c r="N199" s="89"/>
      <c r="O199" s="89"/>
      <c r="P199" s="89"/>
      <c r="Q199" s="89"/>
      <c r="R199" s="89"/>
      <c r="S199" s="246"/>
      <c r="T199" s="246"/>
      <c r="U199" s="246"/>
      <c r="V199" s="89"/>
      <c r="W199" s="246"/>
    </row>
    <row r="200" spans="2:23" ht="15.75" customHeight="1">
      <c r="B200" s="216"/>
      <c r="C200" s="89"/>
      <c r="D200" s="89"/>
      <c r="E200" s="89"/>
      <c r="F200" s="89"/>
      <c r="G200" s="89"/>
      <c r="H200" s="246"/>
      <c r="I200" s="246"/>
      <c r="J200" s="246"/>
      <c r="K200" s="216"/>
      <c r="L200" s="246"/>
      <c r="M200" s="89"/>
      <c r="N200" s="89"/>
      <c r="O200" s="89"/>
      <c r="P200" s="89"/>
      <c r="Q200" s="89"/>
      <c r="R200" s="89"/>
      <c r="S200" s="246"/>
      <c r="T200" s="246"/>
      <c r="U200" s="246"/>
      <c r="V200" s="89"/>
      <c r="W200" s="246"/>
    </row>
    <row r="201" spans="2:23" ht="15.75" customHeight="1">
      <c r="B201" s="216"/>
      <c r="C201" s="89"/>
      <c r="D201" s="89"/>
      <c r="E201" s="89"/>
      <c r="F201" s="89"/>
      <c r="G201" s="89"/>
      <c r="H201" s="246"/>
      <c r="I201" s="246"/>
      <c r="J201" s="246"/>
      <c r="K201" s="216"/>
      <c r="L201" s="246"/>
      <c r="M201" s="89"/>
      <c r="N201" s="89"/>
      <c r="O201" s="89"/>
      <c r="P201" s="89"/>
      <c r="Q201" s="89"/>
      <c r="R201" s="89"/>
      <c r="S201" s="246"/>
      <c r="T201" s="246"/>
      <c r="U201" s="246"/>
      <c r="V201" s="89"/>
      <c r="W201" s="246"/>
    </row>
    <row r="202" spans="2:23" ht="15.75" customHeight="1">
      <c r="B202" s="216"/>
      <c r="C202" s="89"/>
      <c r="D202" s="89"/>
      <c r="E202" s="89"/>
      <c r="F202" s="89"/>
      <c r="G202" s="89"/>
      <c r="H202" s="246"/>
      <c r="I202" s="246"/>
      <c r="J202" s="246"/>
      <c r="K202" s="216"/>
      <c r="L202" s="246"/>
      <c r="M202" s="89"/>
      <c r="N202" s="89"/>
      <c r="O202" s="89"/>
      <c r="P202" s="89"/>
      <c r="Q202" s="89"/>
      <c r="R202" s="89"/>
      <c r="S202" s="246"/>
      <c r="T202" s="246"/>
      <c r="U202" s="246"/>
      <c r="V202" s="89"/>
      <c r="W202" s="246"/>
    </row>
    <row r="203" spans="2:23" ht="15.75" customHeight="1">
      <c r="B203" s="216"/>
      <c r="C203" s="89"/>
      <c r="D203" s="89"/>
      <c r="E203" s="89"/>
      <c r="F203" s="89"/>
      <c r="G203" s="89"/>
      <c r="H203" s="246"/>
      <c r="I203" s="246"/>
      <c r="J203" s="246"/>
      <c r="K203" s="216"/>
      <c r="L203" s="246"/>
      <c r="M203" s="89"/>
      <c r="N203" s="89"/>
      <c r="O203" s="89"/>
      <c r="P203" s="89"/>
      <c r="Q203" s="89"/>
      <c r="R203" s="89"/>
      <c r="S203" s="246"/>
      <c r="T203" s="246"/>
      <c r="U203" s="246"/>
      <c r="V203" s="89"/>
      <c r="W203" s="246"/>
    </row>
    <row r="204" spans="2:23" ht="15.75" customHeight="1">
      <c r="B204" s="216"/>
      <c r="C204" s="89"/>
      <c r="D204" s="89"/>
      <c r="E204" s="89"/>
      <c r="F204" s="89"/>
      <c r="G204" s="89"/>
      <c r="H204" s="246"/>
      <c r="I204" s="246"/>
      <c r="J204" s="246"/>
      <c r="K204" s="216"/>
      <c r="L204" s="246"/>
      <c r="M204" s="89"/>
      <c r="N204" s="89"/>
      <c r="O204" s="89"/>
      <c r="P204" s="89"/>
      <c r="Q204" s="89"/>
      <c r="R204" s="89"/>
      <c r="S204" s="246"/>
      <c r="T204" s="246"/>
      <c r="U204" s="246"/>
      <c r="V204" s="89"/>
      <c r="W204" s="246"/>
    </row>
    <row r="205" spans="2:23" ht="15.75" customHeight="1">
      <c r="B205" s="216"/>
      <c r="C205" s="89"/>
      <c r="D205" s="89"/>
      <c r="E205" s="89"/>
      <c r="F205" s="89"/>
      <c r="G205" s="89"/>
      <c r="H205" s="246"/>
      <c r="I205" s="246"/>
      <c r="J205" s="246"/>
      <c r="K205" s="216"/>
      <c r="L205" s="246"/>
      <c r="M205" s="89"/>
      <c r="N205" s="89"/>
      <c r="O205" s="89"/>
      <c r="P205" s="89"/>
      <c r="Q205" s="89"/>
      <c r="R205" s="89"/>
      <c r="S205" s="246"/>
      <c r="T205" s="246"/>
      <c r="U205" s="246"/>
      <c r="V205" s="89"/>
      <c r="W205" s="246"/>
    </row>
    <row r="206" spans="2:23" ht="15.75" customHeight="1">
      <c r="B206" s="216"/>
      <c r="C206" s="89"/>
      <c r="D206" s="89"/>
      <c r="E206" s="89"/>
      <c r="F206" s="89"/>
      <c r="G206" s="89"/>
      <c r="H206" s="246"/>
      <c r="I206" s="246"/>
      <c r="J206" s="246"/>
      <c r="K206" s="216"/>
      <c r="L206" s="246"/>
      <c r="M206" s="89"/>
      <c r="N206" s="89"/>
      <c r="O206" s="89"/>
      <c r="P206" s="89"/>
      <c r="Q206" s="89"/>
      <c r="R206" s="89"/>
      <c r="S206" s="246"/>
      <c r="T206" s="246"/>
      <c r="U206" s="246"/>
      <c r="V206" s="89"/>
      <c r="W206" s="246"/>
    </row>
    <row r="207" spans="2:23" ht="15.75" customHeight="1">
      <c r="B207" s="216"/>
      <c r="C207" s="89"/>
      <c r="D207" s="89"/>
      <c r="E207" s="89"/>
      <c r="F207" s="89"/>
      <c r="G207" s="89"/>
      <c r="H207" s="246"/>
      <c r="I207" s="246"/>
      <c r="J207" s="246"/>
      <c r="K207" s="216"/>
      <c r="L207" s="246"/>
      <c r="M207" s="89"/>
      <c r="N207" s="89"/>
      <c r="O207" s="89"/>
      <c r="P207" s="89"/>
      <c r="Q207" s="89"/>
      <c r="R207" s="89"/>
      <c r="S207" s="246"/>
      <c r="T207" s="246"/>
      <c r="U207" s="246"/>
      <c r="V207" s="89"/>
      <c r="W207" s="246"/>
    </row>
    <row r="208" spans="2:23" ht="15.75" customHeight="1">
      <c r="B208" s="216"/>
      <c r="C208" s="89"/>
      <c r="D208" s="89"/>
      <c r="E208" s="89"/>
      <c r="F208" s="89"/>
      <c r="G208" s="89"/>
      <c r="H208" s="246"/>
      <c r="I208" s="246"/>
      <c r="J208" s="246"/>
      <c r="K208" s="216"/>
      <c r="L208" s="246"/>
      <c r="M208" s="89"/>
      <c r="N208" s="89"/>
      <c r="O208" s="89"/>
      <c r="P208" s="89"/>
      <c r="Q208" s="89"/>
      <c r="R208" s="89"/>
      <c r="S208" s="246"/>
      <c r="T208" s="246"/>
      <c r="U208" s="246"/>
      <c r="V208" s="89"/>
      <c r="W208" s="246"/>
    </row>
    <row r="209" spans="2:23" ht="15.75" customHeight="1">
      <c r="B209" s="216"/>
      <c r="C209" s="89"/>
      <c r="D209" s="89"/>
      <c r="E209" s="89"/>
      <c r="F209" s="89"/>
      <c r="G209" s="89"/>
      <c r="H209" s="246"/>
      <c r="I209" s="246"/>
      <c r="J209" s="246"/>
      <c r="K209" s="216"/>
      <c r="L209" s="246"/>
      <c r="M209" s="89"/>
      <c r="N209" s="89"/>
      <c r="O209" s="89"/>
      <c r="P209" s="89"/>
      <c r="Q209" s="89"/>
      <c r="R209" s="89"/>
      <c r="S209" s="246"/>
      <c r="T209" s="246"/>
      <c r="U209" s="246"/>
      <c r="V209" s="89"/>
      <c r="W209" s="246"/>
    </row>
    <row r="210" spans="2:23" ht="15.75" customHeight="1">
      <c r="B210" s="216"/>
      <c r="C210" s="89"/>
      <c r="D210" s="89"/>
      <c r="E210" s="89"/>
      <c r="F210" s="89"/>
      <c r="G210" s="89"/>
      <c r="H210" s="246"/>
      <c r="I210" s="246"/>
      <c r="J210" s="246"/>
      <c r="K210" s="216"/>
      <c r="L210" s="246"/>
      <c r="M210" s="89"/>
      <c r="N210" s="89"/>
      <c r="O210" s="89"/>
      <c r="P210" s="89"/>
      <c r="Q210" s="89"/>
      <c r="R210" s="89"/>
      <c r="S210" s="246"/>
      <c r="T210" s="246"/>
      <c r="U210" s="246"/>
      <c r="V210" s="89"/>
      <c r="W210" s="246"/>
    </row>
    <row r="211" spans="2:23" ht="15.75" customHeight="1">
      <c r="B211" s="216"/>
      <c r="C211" s="89"/>
      <c r="D211" s="89"/>
      <c r="E211" s="89"/>
      <c r="F211" s="89"/>
      <c r="G211" s="89"/>
      <c r="H211" s="246"/>
      <c r="I211" s="246"/>
      <c r="J211" s="246"/>
      <c r="K211" s="216"/>
      <c r="L211" s="246"/>
      <c r="M211" s="89"/>
      <c r="N211" s="89"/>
      <c r="O211" s="89"/>
      <c r="P211" s="89"/>
      <c r="Q211" s="89"/>
      <c r="R211" s="89"/>
      <c r="S211" s="246"/>
      <c r="T211" s="246"/>
      <c r="U211" s="246"/>
      <c r="V211" s="89"/>
      <c r="W211" s="246"/>
    </row>
    <row r="212" spans="2:23" ht="15.75" customHeight="1">
      <c r="B212" s="216"/>
      <c r="C212" s="89"/>
      <c r="D212" s="89"/>
      <c r="E212" s="89"/>
      <c r="F212" s="89"/>
      <c r="G212" s="89"/>
      <c r="H212" s="246"/>
      <c r="I212" s="246"/>
      <c r="J212" s="246"/>
      <c r="K212" s="216"/>
      <c r="L212" s="246"/>
      <c r="M212" s="89"/>
      <c r="N212" s="89"/>
      <c r="O212" s="89"/>
      <c r="P212" s="89"/>
      <c r="Q212" s="89"/>
      <c r="R212" s="89"/>
      <c r="S212" s="246"/>
      <c r="T212" s="246"/>
      <c r="U212" s="246"/>
      <c r="V212" s="89"/>
      <c r="W212" s="246"/>
    </row>
    <row r="213" spans="2:23" ht="15.75" customHeight="1">
      <c r="B213" s="216"/>
      <c r="C213" s="89"/>
      <c r="D213" s="89"/>
      <c r="E213" s="89"/>
      <c r="F213" s="89"/>
      <c r="G213" s="89"/>
      <c r="H213" s="246"/>
      <c r="I213" s="246"/>
      <c r="J213" s="246"/>
      <c r="K213" s="216"/>
      <c r="L213" s="246"/>
      <c r="M213" s="89"/>
      <c r="N213" s="89"/>
      <c r="O213" s="89"/>
      <c r="P213" s="89"/>
      <c r="Q213" s="89"/>
      <c r="R213" s="89"/>
      <c r="S213" s="246"/>
      <c r="T213" s="246"/>
      <c r="U213" s="246"/>
      <c r="V213" s="89"/>
      <c r="W213" s="246"/>
    </row>
    <row r="214" spans="2:23" ht="15.75" customHeight="1">
      <c r="B214" s="216"/>
      <c r="C214" s="89"/>
      <c r="D214" s="89"/>
      <c r="E214" s="89"/>
      <c r="F214" s="89"/>
      <c r="G214" s="89"/>
      <c r="H214" s="246"/>
      <c r="I214" s="246"/>
      <c r="J214" s="246"/>
      <c r="K214" s="216"/>
      <c r="L214" s="246"/>
      <c r="M214" s="89"/>
      <c r="N214" s="89"/>
      <c r="O214" s="89"/>
      <c r="P214" s="89"/>
      <c r="Q214" s="89"/>
      <c r="R214" s="89"/>
      <c r="S214" s="246"/>
      <c r="T214" s="246"/>
      <c r="U214" s="246"/>
      <c r="V214" s="89"/>
      <c r="W214" s="246"/>
    </row>
    <row r="215" spans="2:23" ht="15.75" customHeight="1">
      <c r="B215" s="216"/>
      <c r="C215" s="89"/>
      <c r="D215" s="89"/>
      <c r="E215" s="89"/>
      <c r="F215" s="89"/>
      <c r="G215" s="89"/>
      <c r="H215" s="246"/>
      <c r="I215" s="246"/>
      <c r="J215" s="246"/>
      <c r="K215" s="216"/>
      <c r="L215" s="246"/>
      <c r="M215" s="89"/>
      <c r="N215" s="89"/>
      <c r="O215" s="89"/>
      <c r="P215" s="89"/>
      <c r="Q215" s="89"/>
      <c r="R215" s="89"/>
      <c r="S215" s="246"/>
      <c r="T215" s="246"/>
      <c r="U215" s="246"/>
      <c r="V215" s="89"/>
      <c r="W215" s="246"/>
    </row>
    <row r="216" spans="2:23" ht="15.75" customHeight="1">
      <c r="B216" s="216"/>
      <c r="C216" s="89"/>
      <c r="D216" s="89"/>
      <c r="E216" s="89"/>
      <c r="F216" s="89"/>
      <c r="G216" s="89"/>
      <c r="H216" s="246"/>
      <c r="I216" s="246"/>
      <c r="J216" s="246"/>
      <c r="K216" s="216"/>
      <c r="L216" s="246"/>
      <c r="M216" s="89"/>
      <c r="N216" s="89"/>
      <c r="O216" s="89"/>
      <c r="P216" s="89"/>
      <c r="Q216" s="89"/>
      <c r="R216" s="89"/>
      <c r="S216" s="246"/>
      <c r="T216" s="246"/>
      <c r="U216" s="246"/>
      <c r="V216" s="89"/>
      <c r="W216" s="246"/>
    </row>
    <row r="217" spans="2:23" ht="15.75" customHeight="1">
      <c r="B217" s="216"/>
      <c r="C217" s="89"/>
      <c r="D217" s="89"/>
      <c r="E217" s="89"/>
      <c r="F217" s="89"/>
      <c r="G217" s="89"/>
      <c r="H217" s="246"/>
      <c r="I217" s="246"/>
      <c r="J217" s="246"/>
      <c r="K217" s="216"/>
      <c r="L217" s="246"/>
      <c r="M217" s="89"/>
      <c r="N217" s="89"/>
      <c r="O217" s="89"/>
      <c r="P217" s="89"/>
      <c r="Q217" s="89"/>
      <c r="R217" s="89"/>
      <c r="S217" s="246"/>
      <c r="T217" s="246"/>
      <c r="U217" s="246"/>
      <c r="V217" s="89"/>
      <c r="W217" s="246"/>
    </row>
    <row r="218" spans="2:23" ht="15.75" customHeight="1">
      <c r="B218" s="216"/>
      <c r="C218" s="89"/>
      <c r="D218" s="89"/>
      <c r="E218" s="89"/>
      <c r="F218" s="89"/>
      <c r="G218" s="89"/>
      <c r="H218" s="246"/>
      <c r="I218" s="246"/>
      <c r="J218" s="246"/>
      <c r="K218" s="216"/>
      <c r="L218" s="246"/>
      <c r="M218" s="89"/>
      <c r="N218" s="89"/>
      <c r="O218" s="89"/>
      <c r="P218" s="89"/>
      <c r="Q218" s="89"/>
      <c r="R218" s="89"/>
      <c r="S218" s="246"/>
      <c r="T218" s="246"/>
      <c r="U218" s="246"/>
      <c r="V218" s="89"/>
      <c r="W218" s="246"/>
    </row>
    <row r="219" spans="2:23" ht="15.75" customHeight="1">
      <c r="B219" s="216"/>
      <c r="C219" s="89"/>
      <c r="D219" s="89"/>
      <c r="E219" s="89"/>
      <c r="F219" s="89"/>
      <c r="G219" s="89"/>
      <c r="H219" s="246"/>
      <c r="I219" s="246"/>
      <c r="J219" s="246"/>
      <c r="K219" s="216"/>
      <c r="L219" s="246"/>
      <c r="M219" s="89"/>
      <c r="N219" s="89"/>
      <c r="O219" s="89"/>
      <c r="P219" s="89"/>
      <c r="Q219" s="89"/>
      <c r="R219" s="89"/>
      <c r="S219" s="246"/>
      <c r="T219" s="246"/>
      <c r="U219" s="246"/>
      <c r="V219" s="89"/>
      <c r="W219" s="246"/>
    </row>
    <row r="220" spans="2:23" ht="15.75" customHeight="1">
      <c r="B220" s="216"/>
      <c r="C220" s="89"/>
      <c r="D220" s="89"/>
      <c r="E220" s="89"/>
      <c r="F220" s="89"/>
      <c r="G220" s="89"/>
      <c r="H220" s="246"/>
      <c r="I220" s="246"/>
      <c r="J220" s="246"/>
      <c r="K220" s="216"/>
      <c r="L220" s="246"/>
      <c r="M220" s="89"/>
      <c r="N220" s="89"/>
      <c r="O220" s="89"/>
      <c r="P220" s="89"/>
      <c r="Q220" s="89"/>
      <c r="R220" s="89"/>
      <c r="S220" s="246"/>
      <c r="T220" s="246"/>
      <c r="U220" s="246"/>
      <c r="V220" s="89"/>
      <c r="W220" s="246"/>
    </row>
    <row r="221" spans="2:23" ht="15.75" customHeight="1">
      <c r="B221" s="216"/>
      <c r="C221" s="89"/>
      <c r="D221" s="89"/>
      <c r="E221" s="89"/>
      <c r="F221" s="89"/>
      <c r="G221" s="89"/>
      <c r="H221" s="246"/>
      <c r="I221" s="246"/>
      <c r="J221" s="246"/>
      <c r="K221" s="216"/>
      <c r="L221" s="246"/>
      <c r="M221" s="89"/>
      <c r="N221" s="89"/>
      <c r="O221" s="89"/>
      <c r="P221" s="89"/>
      <c r="Q221" s="89"/>
      <c r="R221" s="89"/>
      <c r="S221" s="246"/>
      <c r="T221" s="246"/>
      <c r="U221" s="246"/>
      <c r="V221" s="89"/>
      <c r="W221" s="246"/>
    </row>
    <row r="222" spans="2:23" ht="15.75" customHeight="1">
      <c r="B222" s="216"/>
      <c r="C222" s="89"/>
      <c r="D222" s="89"/>
      <c r="E222" s="89"/>
      <c r="F222" s="89"/>
      <c r="G222" s="89"/>
      <c r="H222" s="246"/>
      <c r="I222" s="246"/>
      <c r="J222" s="246"/>
      <c r="K222" s="216"/>
      <c r="L222" s="246"/>
      <c r="M222" s="89"/>
      <c r="N222" s="89"/>
      <c r="O222" s="89"/>
      <c r="P222" s="89"/>
      <c r="Q222" s="89"/>
      <c r="R222" s="89"/>
      <c r="S222" s="246"/>
      <c r="T222" s="246"/>
      <c r="U222" s="246"/>
      <c r="V222" s="89"/>
      <c r="W222" s="246"/>
    </row>
    <row r="223" spans="2:23" ht="15.75" customHeight="1">
      <c r="B223" s="216"/>
      <c r="C223" s="89"/>
      <c r="D223" s="89"/>
      <c r="E223" s="89"/>
      <c r="F223" s="89"/>
      <c r="G223" s="89"/>
      <c r="H223" s="246"/>
      <c r="I223" s="246"/>
      <c r="J223" s="246"/>
      <c r="K223" s="216"/>
      <c r="L223" s="246"/>
      <c r="M223" s="89"/>
      <c r="N223" s="89"/>
      <c r="O223" s="89"/>
      <c r="P223" s="89"/>
      <c r="Q223" s="89"/>
      <c r="R223" s="89"/>
      <c r="S223" s="246"/>
      <c r="T223" s="246"/>
      <c r="U223" s="246"/>
      <c r="V223" s="89"/>
      <c r="W223" s="246"/>
    </row>
    <row r="224" spans="2:23" ht="15.75" customHeight="1">
      <c r="B224" s="216"/>
      <c r="C224" s="89"/>
      <c r="D224" s="89"/>
      <c r="E224" s="89"/>
      <c r="F224" s="89"/>
      <c r="G224" s="89"/>
      <c r="H224" s="246"/>
      <c r="I224" s="246"/>
      <c r="J224" s="246"/>
      <c r="K224" s="216"/>
      <c r="L224" s="246"/>
      <c r="M224" s="89"/>
      <c r="N224" s="89"/>
      <c r="O224" s="89"/>
      <c r="P224" s="89"/>
      <c r="Q224" s="89"/>
      <c r="R224" s="89"/>
      <c r="S224" s="246"/>
      <c r="T224" s="246"/>
      <c r="U224" s="246"/>
      <c r="V224" s="89"/>
      <c r="W224" s="246"/>
    </row>
    <row r="225" spans="2:23" ht="15.75" customHeight="1">
      <c r="B225" s="216"/>
      <c r="C225" s="89"/>
      <c r="D225" s="89"/>
      <c r="E225" s="89"/>
      <c r="F225" s="89"/>
      <c r="G225" s="89"/>
      <c r="H225" s="246"/>
      <c r="I225" s="246"/>
      <c r="J225" s="246"/>
      <c r="K225" s="216"/>
      <c r="L225" s="246"/>
      <c r="M225" s="89"/>
      <c r="N225" s="89"/>
      <c r="O225" s="89"/>
      <c r="P225" s="89"/>
      <c r="Q225" s="89"/>
      <c r="R225" s="89"/>
      <c r="S225" s="246"/>
      <c r="T225" s="246"/>
      <c r="U225" s="246"/>
      <c r="V225" s="89"/>
      <c r="W225" s="246"/>
    </row>
    <row r="226" spans="2:23" ht="15.75" customHeight="1">
      <c r="B226" s="216"/>
      <c r="C226" s="89"/>
      <c r="D226" s="89"/>
      <c r="E226" s="89"/>
      <c r="F226" s="89"/>
      <c r="G226" s="89"/>
      <c r="H226" s="246"/>
      <c r="I226" s="246"/>
      <c r="J226" s="246"/>
      <c r="K226" s="216"/>
      <c r="L226" s="246"/>
      <c r="M226" s="89"/>
      <c r="N226" s="89"/>
      <c r="O226" s="89"/>
      <c r="P226" s="89"/>
      <c r="Q226" s="89"/>
      <c r="R226" s="89"/>
      <c r="S226" s="246"/>
      <c r="T226" s="246"/>
      <c r="U226" s="246"/>
      <c r="V226" s="89"/>
      <c r="W226" s="246"/>
    </row>
    <row r="227" spans="2:23" ht="15.75" customHeight="1">
      <c r="B227" s="216"/>
      <c r="C227" s="89"/>
      <c r="D227" s="89"/>
      <c r="E227" s="89"/>
      <c r="F227" s="89"/>
      <c r="G227" s="89"/>
      <c r="H227" s="246"/>
      <c r="I227" s="246"/>
      <c r="J227" s="246"/>
      <c r="K227" s="216"/>
      <c r="L227" s="246"/>
      <c r="M227" s="89"/>
      <c r="N227" s="89"/>
      <c r="O227" s="89"/>
      <c r="P227" s="89"/>
      <c r="Q227" s="89"/>
      <c r="R227" s="89"/>
      <c r="S227" s="246"/>
      <c r="T227" s="246"/>
      <c r="U227" s="246"/>
      <c r="V227" s="89"/>
      <c r="W227" s="246"/>
    </row>
    <row r="228" spans="2:23" ht="15.75" customHeight="1">
      <c r="B228" s="216"/>
      <c r="C228" s="89"/>
      <c r="D228" s="89"/>
      <c r="E228" s="89"/>
      <c r="F228" s="89"/>
      <c r="G228" s="89"/>
      <c r="H228" s="246"/>
      <c r="I228" s="246"/>
      <c r="J228" s="246"/>
      <c r="K228" s="216"/>
      <c r="L228" s="246"/>
      <c r="M228" s="89"/>
      <c r="N228" s="89"/>
      <c r="O228" s="89"/>
      <c r="P228" s="89"/>
      <c r="Q228" s="89"/>
      <c r="R228" s="89"/>
      <c r="S228" s="246"/>
      <c r="T228" s="246"/>
      <c r="U228" s="246"/>
      <c r="V228" s="89"/>
      <c r="W228" s="246"/>
    </row>
    <row r="229" spans="2:23" ht="15.75" customHeight="1">
      <c r="B229" s="216"/>
      <c r="C229" s="89"/>
      <c r="D229" s="89"/>
      <c r="E229" s="89"/>
      <c r="F229" s="89"/>
      <c r="G229" s="89"/>
      <c r="H229" s="246"/>
      <c r="I229" s="246"/>
      <c r="J229" s="246"/>
      <c r="K229" s="216"/>
      <c r="L229" s="246"/>
      <c r="M229" s="89"/>
      <c r="N229" s="89"/>
      <c r="O229" s="89"/>
      <c r="P229" s="89"/>
      <c r="Q229" s="89"/>
      <c r="R229" s="89"/>
      <c r="S229" s="246"/>
      <c r="T229" s="246"/>
      <c r="U229" s="246"/>
      <c r="V229" s="89"/>
      <c r="W229" s="246"/>
    </row>
    <row r="230" spans="2:23" ht="15.75" customHeight="1">
      <c r="B230" s="216"/>
      <c r="C230" s="89"/>
      <c r="D230" s="89"/>
      <c r="E230" s="89"/>
      <c r="F230" s="89"/>
      <c r="G230" s="89"/>
      <c r="H230" s="246"/>
      <c r="I230" s="246"/>
      <c r="J230" s="246"/>
      <c r="K230" s="216"/>
      <c r="L230" s="246"/>
      <c r="M230" s="89"/>
      <c r="N230" s="89"/>
      <c r="O230" s="89"/>
      <c r="P230" s="89"/>
      <c r="Q230" s="89"/>
      <c r="R230" s="89"/>
      <c r="S230" s="246"/>
      <c r="T230" s="246"/>
      <c r="U230" s="246"/>
      <c r="V230" s="89"/>
      <c r="W230" s="246"/>
    </row>
    <row r="231" spans="2:23" ht="15.75" customHeight="1">
      <c r="B231" s="216"/>
      <c r="C231" s="89"/>
      <c r="D231" s="89"/>
      <c r="E231" s="89"/>
      <c r="F231" s="89"/>
      <c r="G231" s="89"/>
      <c r="H231" s="246"/>
      <c r="I231" s="246"/>
      <c r="J231" s="246"/>
      <c r="K231" s="216"/>
      <c r="L231" s="246"/>
      <c r="M231" s="89"/>
      <c r="N231" s="89"/>
      <c r="O231" s="89"/>
      <c r="P231" s="89"/>
      <c r="Q231" s="89"/>
      <c r="R231" s="89"/>
      <c r="S231" s="246"/>
      <c r="T231" s="246"/>
      <c r="U231" s="246"/>
      <c r="V231" s="89"/>
      <c r="W231" s="246"/>
    </row>
    <row r="232" spans="2:23" ht="15.75" customHeight="1">
      <c r="B232" s="216"/>
      <c r="C232" s="89"/>
      <c r="D232" s="89"/>
      <c r="E232" s="89"/>
      <c r="F232" s="89"/>
      <c r="G232" s="89"/>
      <c r="H232" s="246"/>
      <c r="I232" s="246"/>
      <c r="J232" s="246"/>
      <c r="K232" s="216"/>
      <c r="L232" s="246"/>
      <c r="M232" s="89"/>
      <c r="N232" s="89"/>
      <c r="O232" s="89"/>
      <c r="P232" s="89"/>
      <c r="Q232" s="89"/>
      <c r="R232" s="89"/>
      <c r="S232" s="246"/>
      <c r="T232" s="246"/>
      <c r="U232" s="246"/>
      <c r="V232" s="89"/>
      <c r="W232" s="246"/>
    </row>
    <row r="233" spans="2:23" ht="15.75" customHeight="1">
      <c r="B233" s="216"/>
      <c r="C233" s="89"/>
      <c r="D233" s="89"/>
      <c r="E233" s="89"/>
      <c r="F233" s="89"/>
      <c r="G233" s="89"/>
      <c r="H233" s="246"/>
      <c r="I233" s="246"/>
      <c r="J233" s="246"/>
      <c r="K233" s="216"/>
      <c r="L233" s="246"/>
      <c r="M233" s="89"/>
      <c r="N233" s="89"/>
      <c r="O233" s="89"/>
      <c r="P233" s="89"/>
      <c r="Q233" s="89"/>
      <c r="R233" s="89"/>
      <c r="S233" s="246"/>
      <c r="T233" s="246"/>
      <c r="U233" s="246"/>
      <c r="V233" s="89"/>
      <c r="W233" s="246"/>
    </row>
    <row r="234" spans="2:23" ht="15.75" customHeight="1">
      <c r="B234" s="216"/>
      <c r="C234" s="89"/>
      <c r="D234" s="89"/>
      <c r="E234" s="89"/>
      <c r="F234" s="89"/>
      <c r="G234" s="89"/>
      <c r="H234" s="246"/>
      <c r="I234" s="246"/>
      <c r="J234" s="246"/>
      <c r="K234" s="216"/>
      <c r="L234" s="246"/>
      <c r="M234" s="89"/>
      <c r="N234" s="89"/>
      <c r="O234" s="89"/>
      <c r="P234" s="89"/>
      <c r="Q234" s="89"/>
      <c r="R234" s="89"/>
      <c r="S234" s="246"/>
      <c r="T234" s="246"/>
      <c r="U234" s="246"/>
      <c r="V234" s="89"/>
      <c r="W234" s="246"/>
    </row>
    <row r="235" spans="2:23" ht="15.75" customHeight="1">
      <c r="B235" s="216"/>
      <c r="C235" s="89"/>
      <c r="D235" s="89"/>
      <c r="E235" s="89"/>
      <c r="F235" s="89"/>
      <c r="G235" s="89"/>
      <c r="H235" s="246"/>
      <c r="I235" s="246"/>
      <c r="J235" s="246"/>
      <c r="K235" s="216"/>
      <c r="L235" s="246"/>
      <c r="M235" s="89"/>
      <c r="N235" s="89"/>
      <c r="O235" s="89"/>
      <c r="P235" s="89"/>
      <c r="Q235" s="89"/>
      <c r="R235" s="89"/>
      <c r="S235" s="246"/>
      <c r="T235" s="246"/>
      <c r="U235" s="246"/>
      <c r="V235" s="89"/>
      <c r="W235" s="246"/>
    </row>
    <row r="236" spans="2:23" ht="15.75" customHeight="1">
      <c r="B236" s="216"/>
      <c r="C236" s="89"/>
      <c r="D236" s="89"/>
      <c r="E236" s="89"/>
      <c r="F236" s="89"/>
      <c r="G236" s="89"/>
      <c r="H236" s="246"/>
      <c r="I236" s="246"/>
      <c r="J236" s="246"/>
      <c r="K236" s="216"/>
      <c r="L236" s="246"/>
      <c r="M236" s="89"/>
      <c r="N236" s="89"/>
      <c r="O236" s="89"/>
      <c r="P236" s="89"/>
      <c r="Q236" s="89"/>
      <c r="R236" s="89"/>
      <c r="S236" s="246"/>
      <c r="T236" s="246"/>
      <c r="U236" s="246"/>
      <c r="V236" s="89"/>
      <c r="W236" s="246"/>
    </row>
    <row r="237" spans="2:23" ht="15.75" customHeight="1">
      <c r="B237" s="216"/>
      <c r="C237" s="89"/>
      <c r="D237" s="89"/>
      <c r="E237" s="89"/>
      <c r="F237" s="89"/>
      <c r="G237" s="89"/>
      <c r="H237" s="246"/>
      <c r="I237" s="246"/>
      <c r="J237" s="246"/>
      <c r="K237" s="216"/>
      <c r="L237" s="246"/>
      <c r="M237" s="89"/>
      <c r="N237" s="89"/>
      <c r="O237" s="89"/>
      <c r="P237" s="89"/>
      <c r="Q237" s="89"/>
      <c r="R237" s="89"/>
      <c r="S237" s="246"/>
      <c r="T237" s="246"/>
      <c r="U237" s="246"/>
      <c r="V237" s="89"/>
      <c r="W237" s="246"/>
    </row>
    <row r="238" spans="2:23" ht="15.75" customHeight="1">
      <c r="B238" s="216"/>
      <c r="C238" s="89"/>
      <c r="D238" s="89"/>
      <c r="E238" s="89"/>
      <c r="F238" s="89"/>
      <c r="G238" s="89"/>
      <c r="H238" s="246"/>
      <c r="I238" s="246"/>
      <c r="J238" s="246"/>
      <c r="K238" s="216"/>
      <c r="L238" s="246"/>
      <c r="M238" s="89"/>
      <c r="N238" s="89"/>
      <c r="O238" s="89"/>
      <c r="P238" s="89"/>
      <c r="Q238" s="89"/>
      <c r="R238" s="89"/>
      <c r="S238" s="246"/>
      <c r="T238" s="246"/>
      <c r="U238" s="246"/>
      <c r="V238" s="89"/>
      <c r="W238" s="246"/>
    </row>
    <row r="239" spans="2:23" ht="15.75" customHeight="1">
      <c r="B239" s="216"/>
      <c r="C239" s="89"/>
      <c r="D239" s="89"/>
      <c r="E239" s="89"/>
      <c r="F239" s="89"/>
      <c r="G239" s="89"/>
      <c r="H239" s="246"/>
      <c r="I239" s="246"/>
      <c r="J239" s="246"/>
      <c r="K239" s="216"/>
      <c r="L239" s="246"/>
      <c r="M239" s="89"/>
      <c r="N239" s="89"/>
      <c r="O239" s="89"/>
      <c r="P239" s="89"/>
      <c r="Q239" s="89"/>
      <c r="R239" s="89"/>
      <c r="S239" s="246"/>
      <c r="T239" s="246"/>
      <c r="U239" s="246"/>
      <c r="V239" s="89"/>
      <c r="W239" s="246"/>
    </row>
    <row r="240" spans="2:23" ht="15.75" customHeight="1">
      <c r="B240" s="216"/>
      <c r="C240" s="89"/>
      <c r="D240" s="89"/>
      <c r="E240" s="89"/>
      <c r="F240" s="89"/>
      <c r="G240" s="89"/>
      <c r="H240" s="246"/>
      <c r="I240" s="246"/>
      <c r="J240" s="246"/>
      <c r="K240" s="216"/>
      <c r="L240" s="246"/>
      <c r="M240" s="89"/>
      <c r="N240" s="89"/>
      <c r="O240" s="89"/>
      <c r="P240" s="89"/>
      <c r="Q240" s="89"/>
      <c r="R240" s="89"/>
      <c r="S240" s="246"/>
      <c r="T240" s="246"/>
      <c r="U240" s="246"/>
      <c r="V240" s="89"/>
      <c r="W240" s="246"/>
    </row>
    <row r="241" spans="2:23" ht="15.75" customHeight="1">
      <c r="B241" s="216"/>
      <c r="C241" s="89"/>
      <c r="D241" s="89"/>
      <c r="E241" s="89"/>
      <c r="F241" s="89"/>
      <c r="G241" s="89"/>
      <c r="H241" s="246"/>
      <c r="I241" s="246"/>
      <c r="J241" s="246"/>
      <c r="K241" s="216"/>
      <c r="L241" s="246"/>
      <c r="M241" s="89"/>
      <c r="N241" s="89"/>
      <c r="O241" s="89"/>
      <c r="P241" s="89"/>
      <c r="Q241" s="89"/>
      <c r="R241" s="89"/>
      <c r="S241" s="246"/>
      <c r="T241" s="246"/>
      <c r="U241" s="246"/>
      <c r="V241" s="89"/>
      <c r="W241" s="246"/>
    </row>
    <row r="242" spans="2:23" ht="15.75" customHeight="1">
      <c r="B242" s="216"/>
      <c r="C242" s="89"/>
      <c r="D242" s="89"/>
      <c r="E242" s="89"/>
      <c r="F242" s="89"/>
      <c r="G242" s="89"/>
      <c r="H242" s="246"/>
      <c r="I242" s="246"/>
      <c r="J242" s="246"/>
      <c r="K242" s="216"/>
      <c r="L242" s="246"/>
      <c r="M242" s="89"/>
      <c r="N242" s="89"/>
      <c r="O242" s="89"/>
      <c r="P242" s="89"/>
      <c r="Q242" s="89"/>
      <c r="R242" s="89"/>
      <c r="S242" s="246"/>
      <c r="T242" s="246"/>
      <c r="U242" s="246"/>
      <c r="V242" s="89"/>
      <c r="W242" s="246"/>
    </row>
    <row r="243" spans="2:23" ht="15.75" customHeight="1">
      <c r="B243" s="216"/>
      <c r="C243" s="89"/>
      <c r="D243" s="89"/>
      <c r="E243" s="89"/>
      <c r="F243" s="89"/>
      <c r="G243" s="89"/>
      <c r="H243" s="246"/>
      <c r="I243" s="246"/>
      <c r="J243" s="246"/>
      <c r="K243" s="216"/>
      <c r="L243" s="246"/>
      <c r="M243" s="89"/>
      <c r="N243" s="89"/>
      <c r="O243" s="89"/>
      <c r="P243" s="89"/>
      <c r="Q243" s="89"/>
      <c r="R243" s="89"/>
      <c r="S243" s="246"/>
      <c r="T243" s="246"/>
      <c r="U243" s="246"/>
      <c r="V243" s="89"/>
      <c r="W243" s="246"/>
    </row>
    <row r="244" spans="2:23" ht="15.75" customHeight="1">
      <c r="B244" s="216"/>
      <c r="C244" s="89"/>
      <c r="D244" s="89"/>
      <c r="E244" s="89"/>
      <c r="F244" s="89"/>
      <c r="G244" s="89"/>
      <c r="H244" s="246"/>
      <c r="I244" s="246"/>
      <c r="J244" s="246"/>
      <c r="K244" s="216"/>
      <c r="L244" s="246"/>
      <c r="M244" s="89"/>
      <c r="N244" s="89"/>
      <c r="O244" s="89"/>
      <c r="P244" s="89"/>
      <c r="Q244" s="89"/>
      <c r="R244" s="89"/>
      <c r="S244" s="246"/>
      <c r="T244" s="246"/>
      <c r="U244" s="246"/>
      <c r="V244" s="89"/>
      <c r="W244" s="246"/>
    </row>
    <row r="245" spans="2:23" ht="15.75" customHeight="1">
      <c r="B245" s="216"/>
      <c r="C245" s="89"/>
      <c r="D245" s="89"/>
      <c r="E245" s="89"/>
      <c r="F245" s="89"/>
      <c r="G245" s="89"/>
      <c r="H245" s="246"/>
      <c r="I245" s="246"/>
      <c r="J245" s="246"/>
      <c r="K245" s="216"/>
      <c r="L245" s="246"/>
      <c r="M245" s="89"/>
      <c r="N245" s="89"/>
      <c r="O245" s="89"/>
      <c r="P245" s="89"/>
      <c r="Q245" s="89"/>
      <c r="R245" s="89"/>
      <c r="S245" s="246"/>
      <c r="T245" s="246"/>
      <c r="U245" s="246"/>
      <c r="V245" s="89"/>
      <c r="W245" s="246"/>
    </row>
    <row r="246" spans="2:23" ht="15.75" customHeight="1">
      <c r="B246" s="216"/>
      <c r="C246" s="89"/>
      <c r="D246" s="89"/>
      <c r="E246" s="89"/>
      <c r="F246" s="89"/>
      <c r="G246" s="89"/>
      <c r="H246" s="246"/>
      <c r="I246" s="246"/>
      <c r="J246" s="246"/>
      <c r="K246" s="216"/>
      <c r="L246" s="246"/>
      <c r="M246" s="89"/>
      <c r="N246" s="89"/>
      <c r="O246" s="89"/>
      <c r="P246" s="89"/>
      <c r="Q246" s="89"/>
      <c r="R246" s="89"/>
      <c r="S246" s="246"/>
      <c r="T246" s="246"/>
      <c r="U246" s="246"/>
      <c r="V246" s="89"/>
      <c r="W246" s="246"/>
    </row>
    <row r="247" spans="2:23" ht="15.75" customHeight="1">
      <c r="B247" s="216"/>
      <c r="C247" s="89"/>
      <c r="D247" s="89"/>
      <c r="E247" s="89"/>
      <c r="F247" s="89"/>
      <c r="G247" s="89"/>
      <c r="H247" s="246"/>
      <c r="I247" s="246"/>
      <c r="J247" s="246"/>
      <c r="K247" s="216"/>
      <c r="L247" s="246"/>
      <c r="M247" s="89"/>
      <c r="N247" s="89"/>
      <c r="O247" s="89"/>
      <c r="P247" s="89"/>
      <c r="Q247" s="89"/>
      <c r="R247" s="89"/>
      <c r="S247" s="246"/>
      <c r="T247" s="246"/>
      <c r="U247" s="246"/>
      <c r="V247" s="89"/>
      <c r="W247" s="246"/>
    </row>
    <row r="248" spans="2:23" ht="15.75" customHeight="1">
      <c r="B248" s="216"/>
      <c r="C248" s="89"/>
      <c r="D248" s="89"/>
      <c r="E248" s="89"/>
      <c r="F248" s="89"/>
      <c r="G248" s="89"/>
      <c r="H248" s="246"/>
      <c r="I248" s="246"/>
      <c r="J248" s="246"/>
      <c r="K248" s="216"/>
      <c r="L248" s="246"/>
      <c r="M248" s="89"/>
      <c r="N248" s="89"/>
      <c r="O248" s="89"/>
      <c r="P248" s="89"/>
      <c r="Q248" s="89"/>
      <c r="R248" s="89"/>
      <c r="S248" s="246"/>
      <c r="T248" s="246"/>
      <c r="U248" s="246"/>
      <c r="V248" s="89"/>
      <c r="W248" s="246"/>
    </row>
    <row r="249" spans="2:23" ht="15.75" customHeight="1">
      <c r="B249" s="216"/>
      <c r="C249" s="89"/>
      <c r="D249" s="89"/>
      <c r="E249" s="89"/>
      <c r="F249" s="89"/>
      <c r="G249" s="89"/>
      <c r="H249" s="246"/>
      <c r="I249" s="246"/>
      <c r="J249" s="246"/>
      <c r="K249" s="216"/>
      <c r="L249" s="246"/>
      <c r="M249" s="89"/>
      <c r="N249" s="89"/>
      <c r="O249" s="89"/>
      <c r="P249" s="89"/>
      <c r="Q249" s="89"/>
      <c r="R249" s="89"/>
      <c r="S249" s="246"/>
      <c r="T249" s="246"/>
      <c r="U249" s="246"/>
      <c r="V249" s="89"/>
      <c r="W249" s="246"/>
    </row>
    <row r="250" spans="2:23" ht="15.75" customHeight="1">
      <c r="B250" s="216"/>
      <c r="C250" s="89"/>
      <c r="D250" s="89"/>
      <c r="E250" s="89"/>
      <c r="F250" s="89"/>
      <c r="G250" s="89"/>
      <c r="H250" s="246"/>
      <c r="I250" s="246"/>
      <c r="J250" s="246"/>
      <c r="K250" s="216"/>
      <c r="L250" s="246"/>
      <c r="M250" s="89"/>
      <c r="N250" s="89"/>
      <c r="O250" s="89"/>
      <c r="P250" s="89"/>
      <c r="Q250" s="89"/>
      <c r="R250" s="89"/>
      <c r="S250" s="246"/>
      <c r="T250" s="246"/>
      <c r="U250" s="246"/>
      <c r="V250" s="89"/>
      <c r="W250" s="246"/>
    </row>
    <row r="251" spans="2:23" ht="15.75" customHeight="1">
      <c r="B251" s="216"/>
      <c r="C251" s="89"/>
      <c r="D251" s="89"/>
      <c r="E251" s="89"/>
      <c r="F251" s="89"/>
      <c r="G251" s="89"/>
      <c r="H251" s="246"/>
      <c r="I251" s="246"/>
      <c r="J251" s="246"/>
      <c r="K251" s="216"/>
      <c r="L251" s="246"/>
      <c r="M251" s="89"/>
      <c r="N251" s="89"/>
      <c r="O251" s="89"/>
      <c r="P251" s="89"/>
      <c r="Q251" s="89"/>
      <c r="R251" s="89"/>
      <c r="S251" s="246"/>
      <c r="T251" s="246"/>
      <c r="U251" s="246"/>
      <c r="V251" s="89"/>
      <c r="W251" s="246"/>
    </row>
    <row r="252" spans="2:23" ht="15.75" customHeight="1">
      <c r="B252" s="216"/>
      <c r="C252" s="89"/>
      <c r="D252" s="89"/>
      <c r="E252" s="89"/>
      <c r="F252" s="89"/>
      <c r="G252" s="89"/>
      <c r="H252" s="246"/>
      <c r="I252" s="246"/>
      <c r="J252" s="246"/>
      <c r="K252" s="216"/>
      <c r="L252" s="246"/>
      <c r="M252" s="89"/>
      <c r="N252" s="89"/>
      <c r="O252" s="89"/>
      <c r="P252" s="89"/>
      <c r="Q252" s="89"/>
      <c r="R252" s="89"/>
      <c r="S252" s="246"/>
      <c r="T252" s="246"/>
      <c r="U252" s="246"/>
      <c r="V252" s="89"/>
      <c r="W252" s="246"/>
    </row>
    <row r="253" spans="2:23" ht="15.75" customHeight="1">
      <c r="B253" s="216"/>
      <c r="C253" s="89"/>
      <c r="D253" s="89"/>
      <c r="E253" s="89"/>
      <c r="F253" s="89"/>
      <c r="G253" s="89"/>
      <c r="H253" s="246"/>
      <c r="I253" s="246"/>
      <c r="J253" s="246"/>
      <c r="K253" s="216"/>
      <c r="L253" s="246"/>
      <c r="M253" s="89"/>
      <c r="N253" s="89"/>
      <c r="O253" s="89"/>
      <c r="P253" s="89"/>
      <c r="Q253" s="89"/>
      <c r="R253" s="89"/>
      <c r="S253" s="246"/>
      <c r="T253" s="246"/>
      <c r="U253" s="246"/>
      <c r="V253" s="89"/>
      <c r="W253" s="246"/>
    </row>
    <row r="254" spans="2:23" ht="15.75" customHeight="1">
      <c r="B254" s="216"/>
      <c r="C254" s="89"/>
      <c r="D254" s="89"/>
      <c r="E254" s="89"/>
      <c r="F254" s="89"/>
      <c r="G254" s="89"/>
      <c r="H254" s="246"/>
      <c r="I254" s="246"/>
      <c r="J254" s="246"/>
      <c r="K254" s="216"/>
      <c r="L254" s="246"/>
      <c r="M254" s="89"/>
      <c r="N254" s="89"/>
      <c r="O254" s="89"/>
      <c r="P254" s="89"/>
      <c r="Q254" s="89"/>
      <c r="R254" s="89"/>
      <c r="S254" s="246"/>
      <c r="T254" s="246"/>
      <c r="U254" s="246"/>
      <c r="V254" s="89"/>
      <c r="W254" s="246"/>
    </row>
    <row r="255" spans="2:23" ht="15.75" customHeight="1">
      <c r="B255" s="216"/>
      <c r="C255" s="89"/>
      <c r="D255" s="89"/>
      <c r="E255" s="89"/>
      <c r="F255" s="89"/>
      <c r="G255" s="89"/>
      <c r="H255" s="246"/>
      <c r="I255" s="246"/>
      <c r="J255" s="246"/>
      <c r="K255" s="216"/>
      <c r="L255" s="246"/>
      <c r="M255" s="89"/>
      <c r="N255" s="89"/>
      <c r="O255" s="89"/>
      <c r="P255" s="89"/>
      <c r="Q255" s="89"/>
      <c r="R255" s="89"/>
      <c r="S255" s="246"/>
      <c r="T255" s="246"/>
      <c r="U255" s="246"/>
      <c r="V255" s="89"/>
      <c r="W255" s="246"/>
    </row>
    <row r="256" spans="2:23" ht="15.75" customHeight="1">
      <c r="B256" s="216"/>
      <c r="C256" s="89"/>
      <c r="D256" s="89"/>
      <c r="E256" s="89"/>
      <c r="F256" s="89"/>
      <c r="G256" s="89"/>
      <c r="H256" s="246"/>
      <c r="I256" s="246"/>
      <c r="J256" s="246"/>
      <c r="K256" s="216"/>
      <c r="L256" s="246"/>
      <c r="M256" s="89"/>
      <c r="N256" s="89"/>
      <c r="O256" s="89"/>
      <c r="P256" s="89"/>
      <c r="Q256" s="89"/>
      <c r="R256" s="89"/>
      <c r="S256" s="246"/>
      <c r="T256" s="246"/>
      <c r="U256" s="246"/>
      <c r="V256" s="89"/>
      <c r="W256" s="246"/>
    </row>
    <row r="257" spans="2:23" ht="15.75" customHeight="1">
      <c r="B257" s="216"/>
      <c r="C257" s="89"/>
      <c r="D257" s="89"/>
      <c r="E257" s="89"/>
      <c r="F257" s="89"/>
      <c r="G257" s="89"/>
      <c r="H257" s="246"/>
      <c r="I257" s="246"/>
      <c r="J257" s="246"/>
      <c r="K257" s="216"/>
      <c r="L257" s="246"/>
      <c r="M257" s="89"/>
      <c r="N257" s="89"/>
      <c r="O257" s="89"/>
      <c r="P257" s="89"/>
      <c r="Q257" s="89"/>
      <c r="R257" s="89"/>
      <c r="S257" s="246"/>
      <c r="T257" s="246"/>
      <c r="U257" s="246"/>
      <c r="V257" s="89"/>
      <c r="W257" s="246"/>
    </row>
    <row r="258" spans="2:23" ht="15.75" customHeight="1">
      <c r="B258" s="216"/>
      <c r="C258" s="89"/>
      <c r="D258" s="89"/>
      <c r="E258" s="89"/>
      <c r="F258" s="89"/>
      <c r="G258" s="89"/>
      <c r="H258" s="246"/>
      <c r="I258" s="246"/>
      <c r="J258" s="246"/>
      <c r="K258" s="216"/>
      <c r="L258" s="246"/>
      <c r="M258" s="89"/>
      <c r="N258" s="89"/>
      <c r="O258" s="89"/>
      <c r="P258" s="89"/>
      <c r="Q258" s="89"/>
      <c r="R258" s="89"/>
      <c r="S258" s="246"/>
      <c r="T258" s="246"/>
      <c r="U258" s="246"/>
      <c r="V258" s="89"/>
      <c r="W258" s="246"/>
    </row>
    <row r="259" spans="2:23" ht="15.75" customHeight="1">
      <c r="B259" s="216"/>
      <c r="C259" s="89"/>
      <c r="D259" s="89"/>
      <c r="E259" s="89"/>
      <c r="F259" s="89"/>
      <c r="G259" s="89"/>
      <c r="H259" s="246"/>
      <c r="I259" s="246"/>
      <c r="J259" s="246"/>
      <c r="K259" s="216"/>
      <c r="L259" s="246"/>
      <c r="M259" s="89"/>
      <c r="N259" s="89"/>
      <c r="O259" s="89"/>
      <c r="P259" s="89"/>
      <c r="Q259" s="89"/>
      <c r="R259" s="89"/>
      <c r="S259" s="246"/>
      <c r="T259" s="246"/>
      <c r="U259" s="246"/>
      <c r="V259" s="89"/>
      <c r="W259" s="246"/>
    </row>
    <row r="260" spans="2:23" ht="15.75" customHeight="1">
      <c r="B260" s="216"/>
      <c r="C260" s="89"/>
      <c r="D260" s="89"/>
      <c r="E260" s="89"/>
      <c r="F260" s="89"/>
      <c r="G260" s="89"/>
      <c r="H260" s="246"/>
      <c r="I260" s="246"/>
      <c r="J260" s="246"/>
      <c r="K260" s="216"/>
      <c r="L260" s="246"/>
      <c r="M260" s="89"/>
      <c r="N260" s="89"/>
      <c r="O260" s="89"/>
      <c r="P260" s="89"/>
      <c r="Q260" s="89"/>
      <c r="R260" s="89"/>
      <c r="S260" s="246"/>
      <c r="T260" s="246"/>
      <c r="U260" s="246"/>
      <c r="V260" s="89"/>
      <c r="W260" s="246"/>
    </row>
    <row r="261" spans="2:23" ht="15.75" customHeight="1">
      <c r="B261" s="216"/>
      <c r="C261" s="89"/>
      <c r="D261" s="89"/>
      <c r="E261" s="89"/>
      <c r="F261" s="89"/>
      <c r="G261" s="89"/>
      <c r="H261" s="246"/>
      <c r="I261" s="246"/>
      <c r="J261" s="246"/>
      <c r="K261" s="216"/>
      <c r="L261" s="246"/>
      <c r="M261" s="89"/>
      <c r="N261" s="89"/>
      <c r="O261" s="89"/>
      <c r="P261" s="89"/>
      <c r="Q261" s="89"/>
      <c r="R261" s="89"/>
      <c r="S261" s="246"/>
      <c r="T261" s="246"/>
      <c r="U261" s="246"/>
      <c r="V261" s="89"/>
      <c r="W261" s="246"/>
    </row>
    <row r="262" spans="2:23" ht="15.75" customHeight="1">
      <c r="B262" s="216"/>
      <c r="C262" s="89"/>
      <c r="D262" s="89"/>
      <c r="E262" s="89"/>
      <c r="F262" s="89"/>
      <c r="G262" s="89"/>
      <c r="H262" s="246"/>
      <c r="I262" s="246"/>
      <c r="J262" s="246"/>
      <c r="K262" s="216"/>
      <c r="L262" s="246"/>
      <c r="M262" s="89"/>
      <c r="N262" s="89"/>
      <c r="O262" s="89"/>
      <c r="P262" s="89"/>
      <c r="Q262" s="89"/>
      <c r="R262" s="89"/>
      <c r="S262" s="246"/>
      <c r="T262" s="246"/>
      <c r="U262" s="246"/>
      <c r="V262" s="89"/>
      <c r="W262" s="246"/>
    </row>
    <row r="263" spans="2:23" ht="15.75" customHeight="1">
      <c r="B263" s="216"/>
      <c r="C263" s="89"/>
      <c r="D263" s="89"/>
      <c r="E263" s="89"/>
      <c r="F263" s="89"/>
      <c r="G263" s="89"/>
      <c r="H263" s="246"/>
      <c r="I263" s="246"/>
      <c r="J263" s="246"/>
      <c r="K263" s="216"/>
      <c r="L263" s="246"/>
      <c r="M263" s="89"/>
      <c r="N263" s="89"/>
      <c r="O263" s="89"/>
      <c r="P263" s="89"/>
      <c r="Q263" s="89"/>
      <c r="R263" s="89"/>
      <c r="S263" s="246"/>
      <c r="T263" s="246"/>
      <c r="U263" s="246"/>
      <c r="V263" s="89"/>
      <c r="W263" s="246"/>
    </row>
    <row r="264" spans="2:23" ht="15.75" customHeight="1">
      <c r="B264" s="216"/>
      <c r="C264" s="89"/>
      <c r="D264" s="89"/>
      <c r="E264" s="89"/>
      <c r="F264" s="89"/>
      <c r="G264" s="89"/>
      <c r="H264" s="246"/>
      <c r="I264" s="246"/>
      <c r="J264" s="246"/>
      <c r="K264" s="216"/>
      <c r="L264" s="246"/>
      <c r="M264" s="89"/>
      <c r="N264" s="89"/>
      <c r="O264" s="89"/>
      <c r="P264" s="89"/>
      <c r="Q264" s="89"/>
      <c r="R264" s="89"/>
      <c r="S264" s="246"/>
      <c r="T264" s="246"/>
      <c r="U264" s="246"/>
      <c r="V264" s="89"/>
      <c r="W264" s="246"/>
    </row>
    <row r="265" spans="2:23" ht="15.75" customHeight="1">
      <c r="B265" s="216"/>
      <c r="C265" s="89"/>
      <c r="D265" s="89"/>
      <c r="E265" s="89"/>
      <c r="F265" s="89"/>
      <c r="G265" s="89"/>
      <c r="H265" s="246"/>
      <c r="I265" s="246"/>
      <c r="J265" s="246"/>
      <c r="K265" s="216"/>
      <c r="L265" s="246"/>
      <c r="M265" s="89"/>
      <c r="N265" s="89"/>
      <c r="O265" s="89"/>
      <c r="P265" s="89"/>
      <c r="Q265" s="89"/>
      <c r="R265" s="89"/>
      <c r="S265" s="246"/>
      <c r="T265" s="246"/>
      <c r="U265" s="246"/>
      <c r="V265" s="89"/>
      <c r="W265" s="246"/>
    </row>
    <row r="266" spans="2:23" ht="15.75" customHeight="1">
      <c r="B266" s="216"/>
      <c r="C266" s="89"/>
      <c r="D266" s="89"/>
      <c r="E266" s="89"/>
      <c r="F266" s="89"/>
      <c r="G266" s="89"/>
      <c r="H266" s="246"/>
      <c r="I266" s="246"/>
      <c r="J266" s="246"/>
      <c r="K266" s="216"/>
      <c r="L266" s="246"/>
      <c r="M266" s="89"/>
      <c r="N266" s="89"/>
      <c r="O266" s="89"/>
      <c r="P266" s="89"/>
      <c r="Q266" s="89"/>
      <c r="R266" s="89"/>
      <c r="S266" s="246"/>
      <c r="T266" s="246"/>
      <c r="U266" s="246"/>
      <c r="V266" s="89"/>
      <c r="W266" s="246"/>
    </row>
    <row r="267" spans="2:23" ht="15.75" customHeight="1">
      <c r="B267" s="216"/>
      <c r="C267" s="89"/>
      <c r="D267" s="89"/>
      <c r="E267" s="89"/>
      <c r="F267" s="89"/>
      <c r="G267" s="89"/>
      <c r="H267" s="246"/>
      <c r="I267" s="246"/>
      <c r="J267" s="246"/>
      <c r="K267" s="216"/>
      <c r="L267" s="246"/>
      <c r="M267" s="89"/>
      <c r="N267" s="89"/>
      <c r="O267" s="89"/>
      <c r="P267" s="89"/>
      <c r="Q267" s="89"/>
      <c r="R267" s="89"/>
      <c r="S267" s="246"/>
      <c r="T267" s="246"/>
      <c r="U267" s="246"/>
      <c r="V267" s="89"/>
      <c r="W267" s="246"/>
    </row>
    <row r="268" spans="2:23" ht="15.75" customHeight="1">
      <c r="B268" s="216"/>
      <c r="C268" s="89"/>
      <c r="D268" s="89"/>
      <c r="E268" s="89"/>
      <c r="F268" s="89"/>
      <c r="G268" s="89"/>
      <c r="H268" s="246"/>
      <c r="I268" s="246"/>
      <c r="J268" s="246"/>
      <c r="K268" s="216"/>
      <c r="L268" s="246"/>
      <c r="M268" s="89"/>
      <c r="N268" s="89"/>
      <c r="O268" s="89"/>
      <c r="P268" s="89"/>
      <c r="Q268" s="89"/>
      <c r="R268" s="89"/>
      <c r="S268" s="246"/>
      <c r="T268" s="246"/>
      <c r="U268" s="246"/>
      <c r="V268" s="89"/>
      <c r="W268" s="246"/>
    </row>
    <row r="269" spans="2:23" ht="15.75" customHeight="1">
      <c r="B269" s="216"/>
      <c r="C269" s="89"/>
      <c r="D269" s="89"/>
      <c r="E269" s="89"/>
      <c r="F269" s="89"/>
      <c r="G269" s="89"/>
      <c r="H269" s="246"/>
      <c r="I269" s="246"/>
      <c r="J269" s="246"/>
      <c r="K269" s="216"/>
      <c r="L269" s="246"/>
      <c r="M269" s="89"/>
      <c r="N269" s="89"/>
      <c r="O269" s="89"/>
      <c r="P269" s="89"/>
      <c r="Q269" s="89"/>
      <c r="R269" s="89"/>
      <c r="S269" s="246"/>
      <c r="T269" s="246"/>
      <c r="U269" s="246"/>
      <c r="V269" s="89"/>
      <c r="W269" s="246"/>
    </row>
    <row r="270" spans="2:23" ht="15.75" customHeight="1">
      <c r="B270" s="216"/>
      <c r="C270" s="89"/>
      <c r="D270" s="89"/>
      <c r="E270" s="89"/>
      <c r="F270" s="89"/>
      <c r="G270" s="89"/>
      <c r="H270" s="246"/>
      <c r="I270" s="246"/>
      <c r="J270" s="246"/>
      <c r="K270" s="216"/>
      <c r="L270" s="246"/>
      <c r="M270" s="89"/>
      <c r="N270" s="89"/>
      <c r="O270" s="89"/>
      <c r="P270" s="89"/>
      <c r="Q270" s="89"/>
      <c r="R270" s="89"/>
      <c r="S270" s="246"/>
      <c r="T270" s="246"/>
      <c r="U270" s="246"/>
      <c r="V270" s="89"/>
      <c r="W270" s="246"/>
    </row>
    <row r="271" spans="2:23" ht="15.75" customHeight="1">
      <c r="B271" s="216"/>
      <c r="C271" s="89"/>
      <c r="D271" s="89"/>
      <c r="E271" s="89"/>
      <c r="F271" s="89"/>
      <c r="G271" s="89"/>
      <c r="H271" s="246"/>
      <c r="I271" s="246"/>
      <c r="J271" s="246"/>
      <c r="K271" s="216"/>
      <c r="L271" s="246"/>
      <c r="M271" s="89"/>
      <c r="N271" s="89"/>
      <c r="O271" s="89"/>
      <c r="P271" s="89"/>
      <c r="Q271" s="89"/>
      <c r="R271" s="89"/>
      <c r="S271" s="246"/>
      <c r="T271" s="246"/>
      <c r="U271" s="246"/>
      <c r="V271" s="89"/>
      <c r="W271" s="246"/>
    </row>
    <row r="272" spans="2:23" ht="15.75" customHeight="1">
      <c r="B272" s="216"/>
      <c r="C272" s="89"/>
      <c r="D272" s="89"/>
      <c r="E272" s="89"/>
      <c r="F272" s="89"/>
      <c r="G272" s="89"/>
      <c r="H272" s="246"/>
      <c r="I272" s="246"/>
      <c r="J272" s="246"/>
      <c r="K272" s="216"/>
      <c r="L272" s="246"/>
      <c r="M272" s="89"/>
      <c r="N272" s="89"/>
      <c r="O272" s="89"/>
      <c r="P272" s="89"/>
      <c r="Q272" s="89"/>
      <c r="R272" s="89"/>
      <c r="S272" s="246"/>
      <c r="T272" s="246"/>
      <c r="U272" s="246"/>
      <c r="V272" s="89"/>
      <c r="W272" s="246"/>
    </row>
    <row r="273" spans="2:23" ht="15.75" customHeight="1">
      <c r="B273" s="216"/>
      <c r="C273" s="89"/>
      <c r="D273" s="89"/>
      <c r="E273" s="89"/>
      <c r="F273" s="89"/>
      <c r="G273" s="89"/>
      <c r="H273" s="246"/>
      <c r="I273" s="246"/>
      <c r="J273" s="246"/>
      <c r="K273" s="216"/>
      <c r="L273" s="246"/>
      <c r="M273" s="89"/>
      <c r="N273" s="89"/>
      <c r="O273" s="89"/>
      <c r="P273" s="89"/>
      <c r="Q273" s="89"/>
      <c r="R273" s="89"/>
      <c r="S273" s="246"/>
      <c r="T273" s="246"/>
      <c r="U273" s="246"/>
      <c r="V273" s="89"/>
      <c r="W273" s="246"/>
    </row>
    <row r="274" spans="2:23" ht="15.75" customHeight="1">
      <c r="B274" s="216"/>
      <c r="C274" s="89"/>
      <c r="D274" s="89"/>
      <c r="E274" s="89"/>
      <c r="F274" s="89"/>
      <c r="G274" s="89"/>
      <c r="H274" s="246"/>
      <c r="I274" s="246"/>
      <c r="J274" s="246"/>
      <c r="K274" s="216"/>
      <c r="L274" s="246"/>
      <c r="M274" s="89"/>
      <c r="N274" s="89"/>
      <c r="O274" s="89"/>
      <c r="P274" s="89"/>
      <c r="Q274" s="89"/>
      <c r="R274" s="89"/>
      <c r="S274" s="246"/>
      <c r="T274" s="246"/>
      <c r="U274" s="246"/>
      <c r="V274" s="89"/>
      <c r="W274" s="246"/>
    </row>
    <row r="275" spans="2:23" ht="15.75" customHeight="1">
      <c r="B275" s="216"/>
      <c r="C275" s="89"/>
      <c r="D275" s="89"/>
      <c r="E275" s="89"/>
      <c r="F275" s="89"/>
      <c r="G275" s="89"/>
      <c r="H275" s="246"/>
      <c r="I275" s="246"/>
      <c r="J275" s="246"/>
      <c r="K275" s="216"/>
      <c r="L275" s="246"/>
      <c r="M275" s="89"/>
      <c r="N275" s="89"/>
      <c r="O275" s="89"/>
      <c r="P275" s="89"/>
      <c r="Q275" s="89"/>
      <c r="R275" s="89"/>
      <c r="S275" s="246"/>
      <c r="T275" s="246"/>
      <c r="U275" s="246"/>
      <c r="V275" s="89"/>
      <c r="W275" s="246"/>
    </row>
    <row r="276" spans="2:23" ht="15.75" customHeight="1">
      <c r="B276" s="216"/>
      <c r="C276" s="89"/>
      <c r="D276" s="89"/>
      <c r="E276" s="89"/>
      <c r="F276" s="89"/>
      <c r="G276" s="89"/>
      <c r="H276" s="246"/>
      <c r="I276" s="246"/>
      <c r="J276" s="246"/>
      <c r="K276" s="216"/>
      <c r="L276" s="246"/>
      <c r="M276" s="89"/>
      <c r="N276" s="89"/>
      <c r="O276" s="89"/>
      <c r="P276" s="89"/>
      <c r="Q276" s="89"/>
      <c r="R276" s="89"/>
      <c r="S276" s="246"/>
      <c r="T276" s="246"/>
      <c r="U276" s="246"/>
      <c r="V276" s="89"/>
      <c r="W276" s="246"/>
    </row>
    <row r="277" spans="2:23" ht="15.75" customHeight="1">
      <c r="B277" s="216"/>
      <c r="C277" s="89"/>
      <c r="D277" s="89"/>
      <c r="E277" s="89"/>
      <c r="F277" s="89"/>
      <c r="G277" s="89"/>
      <c r="H277" s="246"/>
      <c r="I277" s="246"/>
      <c r="J277" s="246"/>
      <c r="K277" s="216"/>
      <c r="L277" s="246"/>
      <c r="M277" s="89"/>
      <c r="N277" s="89"/>
      <c r="O277" s="89"/>
      <c r="P277" s="89"/>
      <c r="Q277" s="89"/>
      <c r="R277" s="89"/>
      <c r="S277" s="246"/>
      <c r="T277" s="246"/>
      <c r="U277" s="246"/>
      <c r="V277" s="89"/>
      <c r="W277" s="246"/>
    </row>
    <row r="278" spans="2:23" ht="15.75" customHeight="1">
      <c r="B278" s="216"/>
      <c r="C278" s="89"/>
      <c r="D278" s="89"/>
      <c r="E278" s="89"/>
      <c r="F278" s="89"/>
      <c r="G278" s="89"/>
      <c r="H278" s="246"/>
      <c r="I278" s="246"/>
      <c r="J278" s="246"/>
      <c r="K278" s="216"/>
      <c r="L278" s="246"/>
      <c r="M278" s="89"/>
      <c r="N278" s="89"/>
      <c r="O278" s="89"/>
      <c r="P278" s="89"/>
      <c r="Q278" s="89"/>
      <c r="R278" s="89"/>
      <c r="S278" s="246"/>
      <c r="T278" s="246"/>
      <c r="U278" s="246"/>
      <c r="V278" s="89"/>
      <c r="W278" s="246"/>
    </row>
    <row r="279" spans="2:23" ht="15.75" customHeight="1">
      <c r="B279" s="216"/>
      <c r="C279" s="89"/>
      <c r="D279" s="89"/>
      <c r="E279" s="89"/>
      <c r="F279" s="89"/>
      <c r="G279" s="89"/>
      <c r="H279" s="246"/>
      <c r="I279" s="246"/>
      <c r="J279" s="246"/>
      <c r="K279" s="216"/>
      <c r="L279" s="246"/>
      <c r="M279" s="89"/>
      <c r="N279" s="89"/>
      <c r="O279" s="89"/>
      <c r="P279" s="89"/>
      <c r="Q279" s="89"/>
      <c r="R279" s="89"/>
      <c r="S279" s="246"/>
      <c r="T279" s="246"/>
      <c r="U279" s="246"/>
      <c r="V279" s="89"/>
      <c r="W279" s="246"/>
    </row>
    <row r="280" spans="2:23" ht="15.75" customHeight="1">
      <c r="B280" s="216"/>
      <c r="C280" s="89"/>
      <c r="D280" s="89"/>
      <c r="E280" s="89"/>
      <c r="F280" s="89"/>
      <c r="G280" s="89"/>
      <c r="H280" s="246"/>
      <c r="I280" s="246"/>
      <c r="J280" s="246"/>
      <c r="K280" s="216"/>
      <c r="L280" s="246"/>
      <c r="M280" s="89"/>
      <c r="N280" s="89"/>
      <c r="O280" s="89"/>
      <c r="P280" s="89"/>
      <c r="Q280" s="89"/>
      <c r="R280" s="89"/>
      <c r="S280" s="246"/>
      <c r="T280" s="246"/>
      <c r="U280" s="246"/>
      <c r="V280" s="89"/>
      <c r="W280" s="246"/>
    </row>
    <row r="281" spans="2:23" ht="15.75" customHeight="1">
      <c r="B281" s="216"/>
      <c r="C281" s="89"/>
      <c r="D281" s="89"/>
      <c r="E281" s="89"/>
      <c r="F281" s="89"/>
      <c r="G281" s="89"/>
      <c r="H281" s="246"/>
      <c r="I281" s="246"/>
      <c r="J281" s="246"/>
      <c r="K281" s="216"/>
      <c r="L281" s="246"/>
      <c r="M281" s="89"/>
      <c r="N281" s="89"/>
      <c r="O281" s="89"/>
      <c r="P281" s="89"/>
      <c r="Q281" s="89"/>
      <c r="R281" s="89"/>
      <c r="S281" s="246"/>
      <c r="T281" s="246"/>
      <c r="U281" s="246"/>
      <c r="V281" s="89"/>
      <c r="W281" s="246"/>
    </row>
    <row r="282" spans="2:23" ht="15.75" customHeight="1">
      <c r="B282" s="216"/>
      <c r="C282" s="89"/>
      <c r="D282" s="89"/>
      <c r="E282" s="89"/>
      <c r="F282" s="89"/>
      <c r="G282" s="89"/>
      <c r="H282" s="246"/>
      <c r="I282" s="246"/>
      <c r="J282" s="246"/>
      <c r="K282" s="216"/>
      <c r="L282" s="246"/>
      <c r="M282" s="89"/>
      <c r="N282" s="89"/>
      <c r="O282" s="89"/>
      <c r="P282" s="89"/>
      <c r="Q282" s="89"/>
      <c r="R282" s="89"/>
      <c r="S282" s="246"/>
      <c r="T282" s="246"/>
      <c r="U282" s="246"/>
      <c r="V282" s="89"/>
      <c r="W282" s="246"/>
    </row>
    <row r="283" spans="2:23" ht="15.75" customHeight="1">
      <c r="B283" s="216"/>
      <c r="C283" s="89"/>
      <c r="D283" s="89"/>
      <c r="E283" s="89"/>
      <c r="F283" s="89"/>
      <c r="G283" s="89"/>
      <c r="H283" s="246"/>
      <c r="I283" s="246"/>
      <c r="J283" s="246"/>
      <c r="K283" s="216"/>
      <c r="L283" s="246"/>
      <c r="M283" s="89"/>
      <c r="N283" s="89"/>
      <c r="O283" s="89"/>
      <c r="P283" s="89"/>
      <c r="Q283" s="89"/>
      <c r="R283" s="89"/>
      <c r="S283" s="246"/>
      <c r="T283" s="246"/>
      <c r="U283" s="246"/>
      <c r="V283" s="89"/>
      <c r="W283" s="246"/>
    </row>
    <row r="284" spans="2:23" ht="15.75" customHeight="1">
      <c r="B284" s="216"/>
      <c r="C284" s="89"/>
      <c r="D284" s="89"/>
      <c r="E284" s="89"/>
      <c r="F284" s="89"/>
      <c r="G284" s="89"/>
      <c r="H284" s="246"/>
      <c r="I284" s="246"/>
      <c r="J284" s="246"/>
      <c r="K284" s="216"/>
      <c r="L284" s="246"/>
      <c r="M284" s="89"/>
      <c r="N284" s="89"/>
      <c r="O284" s="89"/>
      <c r="P284" s="89"/>
      <c r="Q284" s="89"/>
      <c r="R284" s="89"/>
      <c r="S284" s="246"/>
      <c r="T284" s="246"/>
      <c r="U284" s="246"/>
      <c r="V284" s="89"/>
      <c r="W284" s="246"/>
    </row>
    <row r="285" spans="2:23" ht="15.75" customHeight="1">
      <c r="B285" s="216"/>
      <c r="C285" s="89"/>
      <c r="D285" s="89"/>
      <c r="E285" s="89"/>
      <c r="F285" s="89"/>
      <c r="G285" s="89"/>
      <c r="H285" s="246"/>
      <c r="I285" s="246"/>
      <c r="J285" s="246"/>
      <c r="K285" s="216"/>
      <c r="L285" s="246"/>
      <c r="M285" s="89"/>
      <c r="N285" s="89"/>
      <c r="O285" s="89"/>
      <c r="P285" s="89"/>
      <c r="Q285" s="89"/>
      <c r="R285" s="89"/>
      <c r="S285" s="246"/>
      <c r="T285" s="246"/>
      <c r="U285" s="246"/>
      <c r="V285" s="89"/>
      <c r="W285" s="246"/>
    </row>
    <row r="286" spans="2:23" ht="15.75" customHeight="1">
      <c r="B286" s="216"/>
      <c r="C286" s="89"/>
      <c r="D286" s="89"/>
      <c r="E286" s="89"/>
      <c r="F286" s="89"/>
      <c r="G286" s="89"/>
      <c r="H286" s="246"/>
      <c r="I286" s="246"/>
      <c r="J286" s="246"/>
      <c r="K286" s="216"/>
      <c r="L286" s="246"/>
      <c r="M286" s="89"/>
      <c r="N286" s="89"/>
      <c r="O286" s="89"/>
      <c r="P286" s="89"/>
      <c r="Q286" s="89"/>
      <c r="R286" s="89"/>
      <c r="S286" s="246"/>
      <c r="T286" s="246"/>
      <c r="U286" s="246"/>
      <c r="V286" s="89"/>
      <c r="W286" s="246"/>
    </row>
    <row r="287" spans="2:23" ht="15.75" customHeight="1">
      <c r="B287" s="216"/>
      <c r="C287" s="89"/>
      <c r="D287" s="89"/>
      <c r="E287" s="89"/>
      <c r="F287" s="89"/>
      <c r="G287" s="89"/>
      <c r="H287" s="246"/>
      <c r="I287" s="246"/>
      <c r="J287" s="246"/>
      <c r="K287" s="216"/>
      <c r="L287" s="246"/>
      <c r="M287" s="89"/>
      <c r="N287" s="89"/>
      <c r="O287" s="89"/>
      <c r="P287" s="89"/>
      <c r="Q287" s="89"/>
      <c r="R287" s="89"/>
      <c r="S287" s="246"/>
      <c r="T287" s="246"/>
      <c r="U287" s="246"/>
      <c r="V287" s="89"/>
      <c r="W287" s="246"/>
    </row>
    <row r="288" spans="2:23" ht="15.75" customHeight="1">
      <c r="B288" s="216"/>
      <c r="C288" s="89"/>
      <c r="D288" s="89"/>
      <c r="E288" s="89"/>
      <c r="F288" s="89"/>
      <c r="G288" s="89"/>
      <c r="H288" s="246"/>
      <c r="I288" s="246"/>
      <c r="J288" s="246"/>
      <c r="K288" s="216"/>
      <c r="L288" s="246"/>
      <c r="M288" s="89"/>
      <c r="N288" s="89"/>
      <c r="O288" s="89"/>
      <c r="P288" s="89"/>
      <c r="Q288" s="89"/>
      <c r="R288" s="89"/>
      <c r="S288" s="246"/>
      <c r="T288" s="246"/>
      <c r="U288" s="246"/>
      <c r="V288" s="89"/>
      <c r="W288" s="246"/>
    </row>
    <row r="289" spans="2:23" ht="15.75" customHeight="1">
      <c r="B289" s="216"/>
      <c r="C289" s="89"/>
      <c r="D289" s="89"/>
      <c r="E289" s="89"/>
      <c r="F289" s="89"/>
      <c r="G289" s="89"/>
      <c r="H289" s="246"/>
      <c r="I289" s="246"/>
      <c r="J289" s="246"/>
      <c r="K289" s="216"/>
      <c r="L289" s="246"/>
      <c r="M289" s="89"/>
      <c r="N289" s="89"/>
      <c r="O289" s="89"/>
      <c r="P289" s="89"/>
      <c r="Q289" s="89"/>
      <c r="R289" s="89"/>
      <c r="S289" s="246"/>
      <c r="T289" s="246"/>
      <c r="U289" s="246"/>
      <c r="V289" s="89"/>
      <c r="W289" s="246"/>
    </row>
    <row r="290" spans="2:23" ht="15.75" customHeight="1">
      <c r="B290" s="216"/>
      <c r="C290" s="89"/>
      <c r="D290" s="89"/>
      <c r="E290" s="89"/>
      <c r="F290" s="89"/>
      <c r="G290" s="89"/>
      <c r="H290" s="246"/>
      <c r="I290" s="246"/>
      <c r="J290" s="246"/>
      <c r="K290" s="216"/>
      <c r="L290" s="246"/>
      <c r="M290" s="89"/>
      <c r="N290" s="89"/>
      <c r="O290" s="89"/>
      <c r="P290" s="89"/>
      <c r="Q290" s="89"/>
      <c r="R290" s="89"/>
      <c r="S290" s="246"/>
      <c r="T290" s="246"/>
      <c r="U290" s="246"/>
      <c r="V290" s="89"/>
      <c r="W290" s="246"/>
    </row>
    <row r="291" spans="2:23" ht="15.75" customHeight="1">
      <c r="B291" s="216"/>
      <c r="C291" s="89"/>
      <c r="D291" s="89"/>
      <c r="E291" s="89"/>
      <c r="F291" s="89"/>
      <c r="G291" s="89"/>
      <c r="H291" s="246"/>
      <c r="I291" s="246"/>
      <c r="J291" s="246"/>
      <c r="K291" s="216"/>
      <c r="L291" s="246"/>
      <c r="M291" s="89"/>
      <c r="N291" s="89"/>
      <c r="O291" s="89"/>
      <c r="P291" s="89"/>
      <c r="Q291" s="89"/>
      <c r="R291" s="89"/>
      <c r="S291" s="246"/>
      <c r="T291" s="246"/>
      <c r="U291" s="246"/>
      <c r="V291" s="89"/>
      <c r="W291" s="246"/>
    </row>
    <row r="292" spans="2:23" ht="15.75" customHeight="1">
      <c r="B292" s="216"/>
      <c r="C292" s="89"/>
      <c r="D292" s="89"/>
      <c r="E292" s="89"/>
      <c r="F292" s="89"/>
      <c r="G292" s="89"/>
      <c r="H292" s="246"/>
      <c r="I292" s="246"/>
      <c r="J292" s="246"/>
      <c r="K292" s="216"/>
      <c r="L292" s="246"/>
      <c r="M292" s="89"/>
      <c r="N292" s="89"/>
      <c r="O292" s="89"/>
      <c r="P292" s="89"/>
      <c r="Q292" s="89"/>
      <c r="R292" s="89"/>
      <c r="S292" s="246"/>
      <c r="T292" s="246"/>
      <c r="U292" s="246"/>
      <c r="V292" s="89"/>
      <c r="W292" s="246"/>
    </row>
    <row r="293" spans="2:23" ht="15.75" customHeight="1">
      <c r="B293" s="216"/>
      <c r="C293" s="89"/>
      <c r="D293" s="89"/>
      <c r="E293" s="89"/>
      <c r="F293" s="89"/>
      <c r="G293" s="89"/>
      <c r="H293" s="246"/>
      <c r="I293" s="246"/>
      <c r="J293" s="246"/>
      <c r="K293" s="216"/>
      <c r="L293" s="246"/>
      <c r="M293" s="89"/>
      <c r="N293" s="89"/>
      <c r="O293" s="89"/>
      <c r="P293" s="89"/>
      <c r="Q293" s="89"/>
      <c r="R293" s="89"/>
      <c r="S293" s="246"/>
      <c r="T293" s="246"/>
      <c r="U293" s="246"/>
      <c r="V293" s="89"/>
      <c r="W293" s="246"/>
    </row>
    <row r="294" spans="2:23" ht="15.75" customHeight="1">
      <c r="B294" s="216"/>
      <c r="C294" s="89"/>
      <c r="D294" s="89"/>
      <c r="E294" s="89"/>
      <c r="F294" s="89"/>
      <c r="G294" s="89"/>
      <c r="H294" s="246"/>
      <c r="I294" s="246"/>
      <c r="J294" s="246"/>
      <c r="K294" s="216"/>
      <c r="L294" s="246"/>
      <c r="M294" s="89"/>
      <c r="N294" s="89"/>
      <c r="O294" s="89"/>
      <c r="P294" s="89"/>
      <c r="Q294" s="89"/>
      <c r="R294" s="89"/>
      <c r="S294" s="246"/>
      <c r="T294" s="246"/>
      <c r="U294" s="246"/>
      <c r="V294" s="89"/>
      <c r="W294" s="246"/>
    </row>
    <row r="295" spans="2:23" ht="15.75" customHeight="1">
      <c r="B295" s="216"/>
      <c r="C295" s="89"/>
      <c r="D295" s="89"/>
      <c r="E295" s="89"/>
      <c r="F295" s="89"/>
      <c r="G295" s="89"/>
      <c r="H295" s="246"/>
      <c r="I295" s="246"/>
      <c r="J295" s="246"/>
      <c r="K295" s="216"/>
      <c r="L295" s="246"/>
      <c r="M295" s="89"/>
      <c r="N295" s="89"/>
      <c r="O295" s="89"/>
      <c r="P295" s="89"/>
      <c r="Q295" s="89"/>
      <c r="R295" s="89"/>
      <c r="S295" s="246"/>
      <c r="T295" s="246"/>
      <c r="U295" s="246"/>
      <c r="V295" s="89"/>
      <c r="W295" s="246"/>
    </row>
    <row r="296" spans="2:23" ht="15.75" customHeight="1">
      <c r="B296" s="216"/>
      <c r="C296" s="89"/>
      <c r="D296" s="89"/>
      <c r="E296" s="89"/>
      <c r="F296" s="89"/>
      <c r="G296" s="89"/>
      <c r="H296" s="246"/>
      <c r="I296" s="246"/>
      <c r="J296" s="246"/>
      <c r="K296" s="216"/>
      <c r="L296" s="246"/>
      <c r="M296" s="89"/>
      <c r="N296" s="89"/>
      <c r="O296" s="89"/>
      <c r="P296" s="89"/>
      <c r="Q296" s="89"/>
      <c r="R296" s="89"/>
      <c r="S296" s="246"/>
      <c r="T296" s="246"/>
      <c r="U296" s="246"/>
      <c r="V296" s="89"/>
      <c r="W296" s="246"/>
    </row>
    <row r="297" spans="2:23" ht="15.75" customHeight="1">
      <c r="B297" s="216"/>
      <c r="C297" s="89"/>
      <c r="D297" s="89"/>
      <c r="E297" s="89"/>
      <c r="F297" s="89"/>
      <c r="G297" s="89"/>
      <c r="H297" s="246"/>
      <c r="I297" s="246"/>
      <c r="J297" s="246"/>
      <c r="K297" s="216"/>
      <c r="L297" s="246"/>
      <c r="M297" s="89"/>
      <c r="N297" s="89"/>
      <c r="O297" s="89"/>
      <c r="P297" s="89"/>
      <c r="Q297" s="89"/>
      <c r="R297" s="89"/>
      <c r="S297" s="246"/>
      <c r="T297" s="246"/>
      <c r="U297" s="246"/>
      <c r="V297" s="89"/>
      <c r="W297" s="246"/>
    </row>
    <row r="298" spans="2:23" ht="15.75" customHeight="1">
      <c r="B298" s="216"/>
      <c r="C298" s="89"/>
      <c r="D298" s="89"/>
      <c r="E298" s="89"/>
      <c r="F298" s="89"/>
      <c r="G298" s="89"/>
      <c r="H298" s="246"/>
      <c r="I298" s="246"/>
      <c r="J298" s="246"/>
      <c r="K298" s="216"/>
      <c r="L298" s="246"/>
      <c r="M298" s="89"/>
      <c r="N298" s="89"/>
      <c r="O298" s="89"/>
      <c r="P298" s="89"/>
      <c r="Q298" s="89"/>
      <c r="R298" s="89"/>
      <c r="S298" s="246"/>
      <c r="T298" s="246"/>
      <c r="U298" s="246"/>
      <c r="V298" s="89"/>
      <c r="W298" s="246"/>
    </row>
    <row r="299" spans="2:23" ht="15.75" customHeight="1">
      <c r="B299" s="216"/>
      <c r="C299" s="89"/>
      <c r="D299" s="89"/>
      <c r="E299" s="89"/>
      <c r="F299" s="89"/>
      <c r="G299" s="89"/>
      <c r="H299" s="246"/>
      <c r="I299" s="246"/>
      <c r="J299" s="246"/>
      <c r="K299" s="216"/>
      <c r="L299" s="246"/>
      <c r="M299" s="89"/>
      <c r="N299" s="89"/>
      <c r="O299" s="89"/>
      <c r="P299" s="89"/>
      <c r="Q299" s="89"/>
      <c r="R299" s="89"/>
      <c r="S299" s="246"/>
      <c r="T299" s="246"/>
      <c r="U299" s="246"/>
      <c r="V299" s="89"/>
      <c r="W299" s="246"/>
    </row>
    <row r="300" spans="2:23" ht="15.75" customHeight="1">
      <c r="B300" s="216"/>
      <c r="C300" s="89"/>
      <c r="D300" s="89"/>
      <c r="E300" s="89"/>
      <c r="F300" s="89"/>
      <c r="G300" s="89"/>
      <c r="H300" s="246"/>
      <c r="I300" s="246"/>
      <c r="J300" s="246"/>
      <c r="K300" s="216"/>
      <c r="L300" s="246"/>
      <c r="M300" s="89"/>
      <c r="N300" s="89"/>
      <c r="O300" s="89"/>
      <c r="P300" s="89"/>
      <c r="Q300" s="89"/>
      <c r="R300" s="89"/>
      <c r="S300" s="246"/>
      <c r="T300" s="246"/>
      <c r="U300" s="246"/>
      <c r="V300" s="89"/>
      <c r="W300" s="246"/>
    </row>
    <row r="301" spans="2:23" ht="15.75" customHeight="1">
      <c r="B301" s="216"/>
      <c r="C301" s="89"/>
      <c r="D301" s="89"/>
      <c r="E301" s="89"/>
      <c r="F301" s="89"/>
      <c r="G301" s="89"/>
      <c r="H301" s="246"/>
      <c r="I301" s="246"/>
      <c r="J301" s="246"/>
      <c r="K301" s="216"/>
      <c r="L301" s="246"/>
      <c r="M301" s="89"/>
      <c r="N301" s="89"/>
      <c r="O301" s="89"/>
      <c r="P301" s="89"/>
      <c r="Q301" s="89"/>
      <c r="R301" s="89"/>
      <c r="S301" s="246"/>
      <c r="T301" s="246"/>
      <c r="U301" s="246"/>
      <c r="V301" s="89"/>
      <c r="W301" s="246"/>
    </row>
    <row r="302" spans="2:23" ht="15.75" customHeight="1">
      <c r="B302" s="216"/>
      <c r="C302" s="89"/>
      <c r="D302" s="89"/>
      <c r="E302" s="89"/>
      <c r="F302" s="89"/>
      <c r="G302" s="89"/>
      <c r="H302" s="246"/>
      <c r="I302" s="246"/>
      <c r="J302" s="246"/>
      <c r="K302" s="216"/>
      <c r="L302" s="246"/>
      <c r="M302" s="89"/>
      <c r="N302" s="89"/>
      <c r="O302" s="89"/>
      <c r="P302" s="89"/>
      <c r="Q302" s="89"/>
      <c r="R302" s="89"/>
      <c r="S302" s="246"/>
      <c r="T302" s="246"/>
      <c r="U302" s="246"/>
      <c r="V302" s="89"/>
      <c r="W302" s="246"/>
    </row>
    <row r="303" spans="2:23" ht="15.75" customHeight="1">
      <c r="B303" s="216"/>
      <c r="C303" s="89"/>
      <c r="D303" s="89"/>
      <c r="E303" s="89"/>
      <c r="F303" s="89"/>
      <c r="G303" s="89"/>
      <c r="H303" s="246"/>
      <c r="I303" s="246"/>
      <c r="J303" s="246"/>
      <c r="K303" s="216"/>
      <c r="L303" s="246"/>
      <c r="M303" s="89"/>
      <c r="N303" s="89"/>
      <c r="O303" s="89"/>
      <c r="P303" s="89"/>
      <c r="Q303" s="89"/>
      <c r="R303" s="89"/>
      <c r="S303" s="246"/>
      <c r="T303" s="246"/>
      <c r="U303" s="246"/>
      <c r="V303" s="89"/>
      <c r="W303" s="246"/>
    </row>
    <row r="304" spans="2:23" ht="15.75" customHeight="1">
      <c r="B304" s="216"/>
      <c r="C304" s="89"/>
      <c r="D304" s="89"/>
      <c r="E304" s="89"/>
      <c r="F304" s="89"/>
      <c r="G304" s="89"/>
      <c r="H304" s="246"/>
      <c r="I304" s="246"/>
      <c r="J304" s="246"/>
      <c r="K304" s="216"/>
      <c r="L304" s="246"/>
      <c r="M304" s="89"/>
      <c r="N304" s="89"/>
      <c r="O304" s="89"/>
      <c r="P304" s="89"/>
      <c r="Q304" s="89"/>
      <c r="R304" s="89"/>
      <c r="S304" s="246"/>
      <c r="T304" s="246"/>
      <c r="U304" s="246"/>
      <c r="V304" s="89"/>
      <c r="W304" s="246"/>
    </row>
    <row r="305" spans="2:23" ht="15.75" customHeight="1">
      <c r="B305" s="216"/>
      <c r="C305" s="89"/>
      <c r="D305" s="89"/>
      <c r="E305" s="89"/>
      <c r="F305" s="89"/>
      <c r="G305" s="89"/>
      <c r="H305" s="246"/>
      <c r="I305" s="246"/>
      <c r="J305" s="246"/>
      <c r="K305" s="216"/>
      <c r="L305" s="246"/>
      <c r="M305" s="89"/>
      <c r="N305" s="89"/>
      <c r="O305" s="89"/>
      <c r="P305" s="89"/>
      <c r="Q305" s="89"/>
      <c r="R305" s="89"/>
      <c r="S305" s="246"/>
      <c r="T305" s="246"/>
      <c r="U305" s="246"/>
      <c r="V305" s="89"/>
      <c r="W305" s="246"/>
    </row>
    <row r="306" spans="2:23" ht="15.75" customHeight="1">
      <c r="B306" s="216"/>
      <c r="C306" s="89"/>
      <c r="D306" s="89"/>
      <c r="E306" s="89"/>
      <c r="F306" s="89"/>
      <c r="G306" s="89"/>
      <c r="H306" s="246"/>
      <c r="I306" s="246"/>
      <c r="J306" s="246"/>
      <c r="K306" s="216"/>
      <c r="L306" s="246"/>
      <c r="M306" s="89"/>
      <c r="N306" s="89"/>
      <c r="O306" s="89"/>
      <c r="P306" s="89"/>
      <c r="Q306" s="89"/>
      <c r="R306" s="89"/>
      <c r="S306" s="246"/>
      <c r="T306" s="246"/>
      <c r="U306" s="246"/>
      <c r="V306" s="89"/>
      <c r="W306" s="246"/>
    </row>
    <row r="307" spans="2:23" ht="15.75" customHeight="1">
      <c r="B307" s="216"/>
      <c r="C307" s="89"/>
      <c r="D307" s="89"/>
      <c r="E307" s="89"/>
      <c r="F307" s="89"/>
      <c r="G307" s="89"/>
      <c r="H307" s="246"/>
      <c r="I307" s="246"/>
      <c r="J307" s="246"/>
      <c r="K307" s="216"/>
      <c r="L307" s="246"/>
      <c r="M307" s="89"/>
      <c r="N307" s="89"/>
      <c r="O307" s="89"/>
      <c r="P307" s="89"/>
      <c r="Q307" s="89"/>
      <c r="R307" s="89"/>
      <c r="S307" s="246"/>
      <c r="T307" s="246"/>
      <c r="U307" s="246"/>
      <c r="V307" s="89"/>
      <c r="W307" s="246"/>
    </row>
    <row r="308" spans="2:23" ht="15.75" customHeight="1">
      <c r="B308" s="216"/>
      <c r="C308" s="89"/>
      <c r="D308" s="89"/>
      <c r="E308" s="89"/>
      <c r="F308" s="89"/>
      <c r="G308" s="89"/>
      <c r="H308" s="246"/>
      <c r="I308" s="246"/>
      <c r="J308" s="246"/>
      <c r="K308" s="216"/>
      <c r="L308" s="246"/>
      <c r="M308" s="89"/>
      <c r="N308" s="89"/>
      <c r="O308" s="89"/>
      <c r="P308" s="89"/>
      <c r="Q308" s="89"/>
      <c r="R308" s="89"/>
      <c r="S308" s="246"/>
      <c r="T308" s="246"/>
      <c r="U308" s="246"/>
      <c r="V308" s="89"/>
      <c r="W308" s="246"/>
    </row>
    <row r="309" spans="2:23" ht="15.75" customHeight="1">
      <c r="B309" s="216"/>
      <c r="C309" s="89"/>
      <c r="D309" s="89"/>
      <c r="E309" s="89"/>
      <c r="F309" s="89"/>
      <c r="G309" s="89"/>
      <c r="H309" s="246"/>
      <c r="I309" s="246"/>
      <c r="J309" s="246"/>
      <c r="K309" s="216"/>
      <c r="L309" s="246"/>
      <c r="M309" s="89"/>
      <c r="N309" s="89"/>
      <c r="O309" s="89"/>
      <c r="P309" s="89"/>
      <c r="Q309" s="89"/>
      <c r="R309" s="89"/>
      <c r="S309" s="246"/>
      <c r="T309" s="246"/>
      <c r="U309" s="246"/>
      <c r="V309" s="89"/>
      <c r="W309" s="246"/>
    </row>
    <row r="310" spans="2:23" ht="15.75" customHeight="1">
      <c r="B310" s="216"/>
      <c r="C310" s="89"/>
      <c r="D310" s="89"/>
      <c r="E310" s="89"/>
      <c r="F310" s="89"/>
      <c r="G310" s="89"/>
      <c r="H310" s="246"/>
      <c r="I310" s="246"/>
      <c r="J310" s="246"/>
      <c r="K310" s="216"/>
      <c r="L310" s="246"/>
      <c r="M310" s="89"/>
      <c r="N310" s="89"/>
      <c r="O310" s="89"/>
      <c r="P310" s="89"/>
      <c r="Q310" s="89"/>
      <c r="R310" s="89"/>
      <c r="S310" s="246"/>
      <c r="T310" s="246"/>
      <c r="U310" s="246"/>
      <c r="V310" s="89"/>
      <c r="W310" s="246"/>
    </row>
    <row r="311" spans="2:23" ht="15.75" customHeight="1">
      <c r="B311" s="216"/>
      <c r="C311" s="89"/>
      <c r="D311" s="89"/>
      <c r="E311" s="89"/>
      <c r="F311" s="89"/>
      <c r="G311" s="89"/>
      <c r="H311" s="246"/>
      <c r="I311" s="246"/>
      <c r="J311" s="246"/>
      <c r="K311" s="216"/>
      <c r="L311" s="246"/>
      <c r="M311" s="89"/>
      <c r="N311" s="89"/>
      <c r="O311" s="89"/>
      <c r="P311" s="89"/>
      <c r="Q311" s="89"/>
      <c r="R311" s="89"/>
      <c r="S311" s="246"/>
      <c r="T311" s="246"/>
      <c r="U311" s="246"/>
      <c r="V311" s="89"/>
      <c r="W311" s="246"/>
    </row>
    <row r="312" spans="2:23" ht="15.75" customHeight="1">
      <c r="B312" s="216"/>
      <c r="C312" s="89"/>
      <c r="D312" s="89"/>
      <c r="E312" s="89"/>
      <c r="F312" s="89"/>
      <c r="G312" s="89"/>
      <c r="H312" s="246"/>
      <c r="I312" s="246"/>
      <c r="J312" s="246"/>
      <c r="K312" s="216"/>
      <c r="L312" s="246"/>
      <c r="M312" s="89"/>
      <c r="N312" s="89"/>
      <c r="O312" s="89"/>
      <c r="P312" s="89"/>
      <c r="Q312" s="89"/>
      <c r="R312" s="89"/>
      <c r="S312" s="246"/>
      <c r="T312" s="246"/>
      <c r="U312" s="246"/>
      <c r="V312" s="89"/>
      <c r="W312" s="246"/>
    </row>
    <row r="313" spans="2:23" ht="15.75" customHeight="1">
      <c r="B313" s="216"/>
      <c r="C313" s="89"/>
      <c r="D313" s="89"/>
      <c r="E313" s="89"/>
      <c r="F313" s="89"/>
      <c r="G313" s="89"/>
      <c r="H313" s="246"/>
      <c r="I313" s="246"/>
      <c r="J313" s="246"/>
      <c r="K313" s="216"/>
      <c r="L313" s="246"/>
      <c r="M313" s="89"/>
      <c r="N313" s="89"/>
      <c r="O313" s="89"/>
      <c r="P313" s="89"/>
      <c r="Q313" s="89"/>
      <c r="R313" s="89"/>
      <c r="S313" s="246"/>
      <c r="T313" s="246"/>
      <c r="U313" s="246"/>
      <c r="V313" s="89"/>
      <c r="W313" s="246"/>
    </row>
    <row r="314" spans="2:23" ht="15.75" customHeight="1">
      <c r="B314" s="216"/>
      <c r="C314" s="89"/>
      <c r="D314" s="89"/>
      <c r="E314" s="89"/>
      <c r="F314" s="89"/>
      <c r="G314" s="89"/>
      <c r="H314" s="246"/>
      <c r="I314" s="246"/>
      <c r="J314" s="246"/>
      <c r="K314" s="216"/>
      <c r="L314" s="246"/>
      <c r="M314" s="89"/>
      <c r="N314" s="89"/>
      <c r="O314" s="89"/>
      <c r="P314" s="89"/>
      <c r="Q314" s="89"/>
      <c r="R314" s="89"/>
      <c r="S314" s="246"/>
      <c r="T314" s="246"/>
      <c r="U314" s="246"/>
      <c r="V314" s="89"/>
      <c r="W314" s="246"/>
    </row>
    <row r="315" spans="2:23" ht="15.75" customHeight="1">
      <c r="B315" s="216"/>
      <c r="C315" s="89"/>
      <c r="D315" s="89"/>
      <c r="E315" s="89"/>
      <c r="F315" s="89"/>
      <c r="G315" s="89"/>
      <c r="H315" s="246"/>
      <c r="I315" s="246"/>
      <c r="J315" s="246"/>
      <c r="K315" s="216"/>
      <c r="L315" s="246"/>
      <c r="M315" s="89"/>
      <c r="N315" s="89"/>
      <c r="O315" s="89"/>
      <c r="P315" s="89"/>
      <c r="Q315" s="89"/>
      <c r="R315" s="89"/>
      <c r="S315" s="246"/>
      <c r="T315" s="246"/>
      <c r="U315" s="246"/>
      <c r="V315" s="89"/>
      <c r="W315" s="246"/>
    </row>
    <row r="316" spans="2:23" ht="15.75" customHeight="1">
      <c r="B316" s="216"/>
      <c r="C316" s="89"/>
      <c r="D316" s="89"/>
      <c r="E316" s="89"/>
      <c r="F316" s="89"/>
      <c r="G316" s="89"/>
      <c r="H316" s="246"/>
      <c r="I316" s="246"/>
      <c r="J316" s="246"/>
      <c r="K316" s="216"/>
      <c r="L316" s="246"/>
      <c r="M316" s="89"/>
      <c r="N316" s="89"/>
      <c r="O316" s="89"/>
      <c r="P316" s="89"/>
      <c r="Q316" s="89"/>
      <c r="R316" s="89"/>
      <c r="S316" s="246"/>
      <c r="T316" s="246"/>
      <c r="U316" s="246"/>
      <c r="V316" s="89"/>
      <c r="W316" s="246"/>
    </row>
    <row r="317" spans="2:23" ht="15.75" customHeight="1">
      <c r="B317" s="216"/>
      <c r="C317" s="89"/>
      <c r="D317" s="89"/>
      <c r="E317" s="89"/>
      <c r="F317" s="89"/>
      <c r="G317" s="89"/>
      <c r="H317" s="246"/>
      <c r="I317" s="246"/>
      <c r="J317" s="246"/>
      <c r="K317" s="216"/>
      <c r="L317" s="246"/>
      <c r="M317" s="89"/>
      <c r="N317" s="89"/>
      <c r="O317" s="89"/>
      <c r="P317" s="89"/>
      <c r="Q317" s="89"/>
      <c r="R317" s="89"/>
      <c r="S317" s="246"/>
      <c r="T317" s="246"/>
      <c r="U317" s="246"/>
      <c r="V317" s="89"/>
      <c r="W317" s="246"/>
    </row>
    <row r="318" spans="2:23" ht="15.75" customHeight="1">
      <c r="B318" s="216"/>
      <c r="C318" s="89"/>
      <c r="D318" s="89"/>
      <c r="E318" s="89"/>
      <c r="F318" s="89"/>
      <c r="G318" s="89"/>
      <c r="H318" s="246"/>
      <c r="I318" s="246"/>
      <c r="J318" s="246"/>
      <c r="K318" s="216"/>
      <c r="L318" s="246"/>
      <c r="M318" s="89"/>
      <c r="N318" s="89"/>
      <c r="O318" s="89"/>
      <c r="P318" s="89"/>
      <c r="Q318" s="89"/>
      <c r="R318" s="89"/>
      <c r="S318" s="246"/>
      <c r="T318" s="246"/>
      <c r="U318" s="246"/>
      <c r="V318" s="89"/>
      <c r="W318" s="246"/>
    </row>
    <row r="319" spans="2:23" ht="15.75" customHeight="1">
      <c r="B319" s="216"/>
      <c r="C319" s="89"/>
      <c r="D319" s="89"/>
      <c r="E319" s="89"/>
      <c r="F319" s="89"/>
      <c r="G319" s="89"/>
      <c r="H319" s="246"/>
      <c r="I319" s="246"/>
      <c r="J319" s="246"/>
      <c r="K319" s="216"/>
      <c r="L319" s="246"/>
      <c r="M319" s="89"/>
      <c r="N319" s="89"/>
      <c r="O319" s="89"/>
      <c r="P319" s="89"/>
      <c r="Q319" s="89"/>
      <c r="R319" s="89"/>
      <c r="S319" s="246"/>
      <c r="T319" s="246"/>
      <c r="U319" s="246"/>
      <c r="V319" s="89"/>
      <c r="W319" s="246"/>
    </row>
    <row r="320" spans="2:23" ht="15.75" customHeight="1">
      <c r="B320" s="216"/>
      <c r="C320" s="89"/>
      <c r="D320" s="89"/>
      <c r="E320" s="89"/>
      <c r="F320" s="89"/>
      <c r="G320" s="89"/>
      <c r="H320" s="246"/>
      <c r="I320" s="246"/>
      <c r="J320" s="246"/>
      <c r="K320" s="216"/>
      <c r="L320" s="246"/>
      <c r="M320" s="89"/>
      <c r="N320" s="89"/>
      <c r="O320" s="89"/>
      <c r="P320" s="89"/>
      <c r="Q320" s="89"/>
      <c r="R320" s="89"/>
      <c r="S320" s="246"/>
      <c r="T320" s="246"/>
      <c r="U320" s="246"/>
      <c r="V320" s="89"/>
      <c r="W320" s="246"/>
    </row>
    <row r="321" spans="2:23" ht="15.75" customHeight="1">
      <c r="B321" s="216"/>
      <c r="C321" s="89"/>
      <c r="D321" s="89"/>
      <c r="E321" s="89"/>
      <c r="F321" s="89"/>
      <c r="G321" s="89"/>
      <c r="H321" s="246"/>
      <c r="I321" s="246"/>
      <c r="J321" s="246"/>
      <c r="K321" s="216"/>
      <c r="L321" s="246"/>
      <c r="M321" s="89"/>
      <c r="N321" s="89"/>
      <c r="O321" s="89"/>
      <c r="P321" s="89"/>
      <c r="Q321" s="89"/>
      <c r="R321" s="89"/>
      <c r="S321" s="246"/>
      <c r="T321" s="246"/>
      <c r="U321" s="246"/>
      <c r="V321" s="89"/>
      <c r="W321" s="246"/>
    </row>
    <row r="322" spans="2:23" ht="15.75" customHeight="1">
      <c r="B322" s="216"/>
      <c r="C322" s="89"/>
      <c r="D322" s="89"/>
      <c r="E322" s="89"/>
      <c r="F322" s="89"/>
      <c r="G322" s="89"/>
      <c r="H322" s="246"/>
      <c r="I322" s="246"/>
      <c r="J322" s="246"/>
      <c r="K322" s="216"/>
      <c r="L322" s="246"/>
      <c r="M322" s="89"/>
      <c r="N322" s="89"/>
      <c r="O322" s="89"/>
      <c r="P322" s="89"/>
      <c r="Q322" s="89"/>
      <c r="R322" s="89"/>
      <c r="S322" s="246"/>
      <c r="T322" s="246"/>
      <c r="U322" s="246"/>
      <c r="V322" s="89"/>
      <c r="W322" s="246"/>
    </row>
    <row r="323" spans="2:23" ht="15.75" customHeight="1">
      <c r="B323" s="216"/>
      <c r="C323" s="89"/>
      <c r="D323" s="89"/>
      <c r="E323" s="89"/>
      <c r="F323" s="89"/>
      <c r="G323" s="89"/>
      <c r="H323" s="246"/>
      <c r="I323" s="246"/>
      <c r="J323" s="246"/>
      <c r="K323" s="216"/>
      <c r="L323" s="246"/>
      <c r="M323" s="89"/>
      <c r="N323" s="89"/>
      <c r="O323" s="89"/>
      <c r="P323" s="89"/>
      <c r="Q323" s="89"/>
      <c r="R323" s="89"/>
      <c r="S323" s="246"/>
      <c r="T323" s="246"/>
      <c r="U323" s="246"/>
      <c r="V323" s="89"/>
      <c r="W323" s="246"/>
    </row>
    <row r="324" spans="2:23" ht="15.75" customHeight="1">
      <c r="B324" s="216"/>
      <c r="C324" s="89"/>
      <c r="D324" s="89"/>
      <c r="E324" s="89"/>
      <c r="F324" s="89"/>
      <c r="G324" s="89"/>
      <c r="H324" s="246"/>
      <c r="I324" s="246"/>
      <c r="J324" s="246"/>
      <c r="K324" s="216"/>
      <c r="L324" s="246"/>
      <c r="M324" s="89"/>
      <c r="N324" s="89"/>
      <c r="O324" s="89"/>
      <c r="P324" s="89"/>
      <c r="Q324" s="89"/>
      <c r="R324" s="89"/>
      <c r="S324" s="246"/>
      <c r="T324" s="246"/>
      <c r="U324" s="246"/>
      <c r="V324" s="89"/>
      <c r="W324" s="246"/>
    </row>
    <row r="325" spans="2:23" ht="15.75" customHeight="1">
      <c r="B325" s="216"/>
      <c r="C325" s="89"/>
      <c r="D325" s="89"/>
      <c r="E325" s="89"/>
      <c r="F325" s="89"/>
      <c r="G325" s="89"/>
      <c r="H325" s="246"/>
      <c r="I325" s="246"/>
      <c r="J325" s="246"/>
      <c r="K325" s="216"/>
      <c r="L325" s="246"/>
      <c r="M325" s="89"/>
      <c r="N325" s="89"/>
      <c r="O325" s="89"/>
      <c r="P325" s="89"/>
      <c r="Q325" s="89"/>
      <c r="R325" s="89"/>
      <c r="S325" s="246"/>
      <c r="T325" s="246"/>
      <c r="U325" s="246"/>
      <c r="V325" s="89"/>
      <c r="W325" s="246"/>
    </row>
    <row r="326" spans="2:23" ht="15.75" customHeight="1">
      <c r="B326" s="216"/>
      <c r="C326" s="89"/>
      <c r="D326" s="89"/>
      <c r="E326" s="89"/>
      <c r="F326" s="89"/>
      <c r="G326" s="89"/>
      <c r="H326" s="246"/>
      <c r="I326" s="246"/>
      <c r="J326" s="246"/>
      <c r="K326" s="216"/>
      <c r="L326" s="246"/>
      <c r="M326" s="89"/>
      <c r="N326" s="89"/>
      <c r="O326" s="89"/>
      <c r="P326" s="89"/>
      <c r="Q326" s="89"/>
      <c r="R326" s="89"/>
      <c r="S326" s="246"/>
      <c r="T326" s="246"/>
      <c r="U326" s="246"/>
      <c r="V326" s="89"/>
      <c r="W326" s="246"/>
    </row>
    <row r="327" spans="2:23" ht="15.75" customHeight="1">
      <c r="B327" s="216"/>
      <c r="C327" s="89"/>
      <c r="D327" s="89"/>
      <c r="E327" s="89"/>
      <c r="F327" s="89"/>
      <c r="G327" s="89"/>
      <c r="H327" s="246"/>
      <c r="I327" s="246"/>
      <c r="J327" s="246"/>
      <c r="K327" s="216"/>
      <c r="L327" s="246"/>
      <c r="M327" s="89"/>
      <c r="N327" s="89"/>
      <c r="O327" s="89"/>
      <c r="P327" s="89"/>
      <c r="Q327" s="89"/>
      <c r="R327" s="89"/>
      <c r="S327" s="246"/>
      <c r="T327" s="246"/>
      <c r="U327" s="246"/>
      <c r="V327" s="89"/>
      <c r="W327" s="246"/>
    </row>
    <row r="328" spans="2:23" ht="15.75" customHeight="1">
      <c r="B328" s="216"/>
      <c r="C328" s="89"/>
      <c r="D328" s="89"/>
      <c r="E328" s="89"/>
      <c r="F328" s="89"/>
      <c r="G328" s="89"/>
      <c r="H328" s="246"/>
      <c r="I328" s="246"/>
      <c r="J328" s="246"/>
      <c r="K328" s="216"/>
      <c r="L328" s="246"/>
      <c r="M328" s="89"/>
      <c r="N328" s="89"/>
      <c r="O328" s="89"/>
      <c r="P328" s="89"/>
      <c r="Q328" s="89"/>
      <c r="R328" s="89"/>
      <c r="S328" s="246"/>
      <c r="T328" s="246"/>
      <c r="U328" s="246"/>
      <c r="V328" s="89"/>
      <c r="W328" s="246"/>
    </row>
    <row r="329" spans="2:23" ht="15.75" customHeight="1">
      <c r="B329" s="216"/>
      <c r="C329" s="89"/>
      <c r="D329" s="89"/>
      <c r="E329" s="89"/>
      <c r="F329" s="89"/>
      <c r="G329" s="89"/>
      <c r="H329" s="246"/>
      <c r="I329" s="246"/>
      <c r="J329" s="246"/>
      <c r="K329" s="216"/>
      <c r="L329" s="246"/>
      <c r="M329" s="89"/>
      <c r="N329" s="89"/>
      <c r="O329" s="89"/>
      <c r="P329" s="89"/>
      <c r="Q329" s="89"/>
      <c r="R329" s="89"/>
      <c r="S329" s="246"/>
      <c r="T329" s="246"/>
      <c r="U329" s="246"/>
      <c r="V329" s="89"/>
      <c r="W329" s="246"/>
    </row>
    <row r="330" spans="2:23" ht="15.75" customHeight="1">
      <c r="B330" s="216"/>
      <c r="C330" s="89"/>
      <c r="D330" s="89"/>
      <c r="E330" s="89"/>
      <c r="F330" s="89"/>
      <c r="G330" s="89"/>
      <c r="H330" s="246"/>
      <c r="I330" s="246"/>
      <c r="J330" s="246"/>
      <c r="K330" s="216"/>
      <c r="L330" s="246"/>
      <c r="M330" s="89"/>
      <c r="N330" s="89"/>
      <c r="O330" s="89"/>
      <c r="P330" s="89"/>
      <c r="Q330" s="89"/>
      <c r="R330" s="89"/>
      <c r="S330" s="246"/>
      <c r="T330" s="246"/>
      <c r="U330" s="246"/>
      <c r="V330" s="89"/>
      <c r="W330" s="246"/>
    </row>
    <row r="331" spans="2:23" ht="15.75" customHeight="1">
      <c r="B331" s="216"/>
      <c r="C331" s="89"/>
      <c r="D331" s="89"/>
      <c r="E331" s="89"/>
      <c r="F331" s="89"/>
      <c r="G331" s="89"/>
      <c r="H331" s="246"/>
      <c r="I331" s="246"/>
      <c r="J331" s="246"/>
      <c r="K331" s="216"/>
      <c r="L331" s="246"/>
      <c r="M331" s="89"/>
      <c r="N331" s="89"/>
      <c r="O331" s="89"/>
      <c r="P331" s="89"/>
      <c r="Q331" s="89"/>
      <c r="R331" s="89"/>
      <c r="S331" s="246"/>
      <c r="T331" s="246"/>
      <c r="U331" s="246"/>
      <c r="V331" s="89"/>
      <c r="W331" s="246"/>
    </row>
    <row r="332" spans="2:23" ht="15.75" customHeight="1">
      <c r="B332" s="216"/>
      <c r="C332" s="89"/>
      <c r="D332" s="89"/>
      <c r="E332" s="89"/>
      <c r="F332" s="89"/>
      <c r="G332" s="89"/>
      <c r="H332" s="246"/>
      <c r="I332" s="246"/>
      <c r="J332" s="246"/>
      <c r="K332" s="216"/>
      <c r="L332" s="246"/>
      <c r="M332" s="89"/>
      <c r="N332" s="89"/>
      <c r="O332" s="89"/>
      <c r="P332" s="89"/>
      <c r="Q332" s="89"/>
      <c r="R332" s="89"/>
      <c r="S332" s="246"/>
      <c r="T332" s="246"/>
      <c r="U332" s="246"/>
      <c r="V332" s="89"/>
      <c r="W332" s="246"/>
    </row>
    <row r="333" spans="2:23" ht="15.75" customHeight="1">
      <c r="B333" s="216"/>
      <c r="C333" s="89"/>
      <c r="D333" s="89"/>
      <c r="E333" s="89"/>
      <c r="F333" s="89"/>
      <c r="G333" s="89"/>
      <c r="H333" s="246"/>
      <c r="I333" s="246"/>
      <c r="J333" s="246"/>
      <c r="K333" s="216"/>
      <c r="L333" s="246"/>
      <c r="M333" s="89"/>
      <c r="N333" s="89"/>
      <c r="O333" s="89"/>
      <c r="P333" s="89"/>
      <c r="Q333" s="89"/>
      <c r="R333" s="89"/>
      <c r="S333" s="246"/>
      <c r="T333" s="246"/>
      <c r="U333" s="246"/>
      <c r="V333" s="89"/>
      <c r="W333" s="246"/>
    </row>
    <row r="334" spans="2:23" ht="15.75" customHeight="1">
      <c r="B334" s="216"/>
      <c r="C334" s="89"/>
      <c r="D334" s="89"/>
      <c r="E334" s="89"/>
      <c r="F334" s="89"/>
      <c r="G334" s="89"/>
      <c r="H334" s="246"/>
      <c r="I334" s="246"/>
      <c r="J334" s="246"/>
      <c r="K334" s="216"/>
      <c r="L334" s="246"/>
      <c r="M334" s="89"/>
      <c r="N334" s="89"/>
      <c r="O334" s="89"/>
      <c r="P334" s="89"/>
      <c r="Q334" s="89"/>
      <c r="R334" s="89"/>
      <c r="S334" s="246"/>
      <c r="T334" s="246"/>
      <c r="U334" s="246"/>
      <c r="V334" s="89"/>
      <c r="W334" s="246"/>
    </row>
    <row r="335" spans="2:23" ht="15.75" customHeight="1">
      <c r="B335" s="216"/>
      <c r="C335" s="89"/>
      <c r="D335" s="89"/>
      <c r="E335" s="89"/>
      <c r="F335" s="89"/>
      <c r="G335" s="89"/>
      <c r="H335" s="246"/>
      <c r="I335" s="246"/>
      <c r="J335" s="246"/>
      <c r="K335" s="216"/>
      <c r="L335" s="246"/>
      <c r="M335" s="89"/>
      <c r="N335" s="89"/>
      <c r="O335" s="89"/>
      <c r="P335" s="89"/>
      <c r="Q335" s="89"/>
      <c r="R335" s="89"/>
      <c r="S335" s="246"/>
      <c r="T335" s="246"/>
      <c r="U335" s="246"/>
      <c r="V335" s="89"/>
      <c r="W335" s="246"/>
    </row>
    <row r="336" spans="2:23" ht="15.75" customHeight="1">
      <c r="B336" s="216"/>
      <c r="C336" s="89"/>
      <c r="D336" s="89"/>
      <c r="E336" s="89"/>
      <c r="F336" s="89"/>
      <c r="G336" s="89"/>
      <c r="H336" s="246"/>
      <c r="I336" s="246"/>
      <c r="J336" s="246"/>
      <c r="K336" s="216"/>
      <c r="L336" s="246"/>
      <c r="M336" s="89"/>
      <c r="N336" s="89"/>
      <c r="O336" s="89"/>
      <c r="P336" s="89"/>
      <c r="Q336" s="89"/>
      <c r="R336" s="89"/>
      <c r="S336" s="246"/>
      <c r="T336" s="246"/>
      <c r="U336" s="246"/>
      <c r="V336" s="89"/>
      <c r="W336" s="246"/>
    </row>
    <row r="337" spans="2:23" ht="15.75" customHeight="1">
      <c r="B337" s="216"/>
      <c r="C337" s="89"/>
      <c r="D337" s="89"/>
      <c r="E337" s="89"/>
      <c r="F337" s="89"/>
      <c r="G337" s="89"/>
      <c r="H337" s="246"/>
      <c r="I337" s="246"/>
      <c r="J337" s="246"/>
      <c r="K337" s="216"/>
      <c r="L337" s="246"/>
      <c r="M337" s="89"/>
      <c r="N337" s="89"/>
      <c r="O337" s="89"/>
      <c r="P337" s="89"/>
      <c r="Q337" s="89"/>
      <c r="R337" s="89"/>
      <c r="S337" s="246"/>
      <c r="T337" s="246"/>
      <c r="U337" s="246"/>
      <c r="V337" s="89"/>
      <c r="W337" s="246"/>
    </row>
    <row r="338" spans="2:23" ht="15.75" customHeight="1">
      <c r="B338" s="216"/>
      <c r="C338" s="89"/>
      <c r="D338" s="89"/>
      <c r="E338" s="89"/>
      <c r="F338" s="89"/>
      <c r="G338" s="89"/>
      <c r="H338" s="246"/>
      <c r="I338" s="246"/>
      <c r="J338" s="246"/>
      <c r="K338" s="216"/>
      <c r="L338" s="246"/>
      <c r="M338" s="89"/>
      <c r="N338" s="89"/>
      <c r="O338" s="89"/>
      <c r="P338" s="89"/>
      <c r="Q338" s="89"/>
      <c r="R338" s="89"/>
      <c r="S338" s="246"/>
      <c r="T338" s="246"/>
      <c r="U338" s="246"/>
      <c r="V338" s="89"/>
      <c r="W338" s="246"/>
    </row>
    <row r="339" spans="2:23" ht="15.75" customHeight="1">
      <c r="B339" s="216"/>
      <c r="C339" s="89"/>
      <c r="D339" s="89"/>
      <c r="E339" s="89"/>
      <c r="F339" s="89"/>
      <c r="G339" s="89"/>
      <c r="H339" s="246"/>
      <c r="I339" s="246"/>
      <c r="J339" s="246"/>
      <c r="K339" s="216"/>
      <c r="L339" s="246"/>
      <c r="M339" s="89"/>
      <c r="N339" s="89"/>
      <c r="O339" s="89"/>
      <c r="P339" s="89"/>
      <c r="Q339" s="89"/>
      <c r="R339" s="89"/>
      <c r="S339" s="246"/>
      <c r="T339" s="246"/>
      <c r="U339" s="246"/>
      <c r="V339" s="89"/>
      <c r="W339" s="246"/>
    </row>
    <row r="340" spans="2:23" ht="15.75" customHeight="1">
      <c r="B340" s="216"/>
      <c r="C340" s="89"/>
      <c r="D340" s="89"/>
      <c r="E340" s="89"/>
      <c r="F340" s="89"/>
      <c r="G340" s="89"/>
      <c r="H340" s="246"/>
      <c r="I340" s="246"/>
      <c r="J340" s="246"/>
      <c r="K340" s="216"/>
      <c r="L340" s="246"/>
      <c r="M340" s="89"/>
      <c r="N340" s="89"/>
      <c r="O340" s="89"/>
      <c r="P340" s="89"/>
      <c r="Q340" s="89"/>
      <c r="R340" s="89"/>
      <c r="S340" s="246"/>
      <c r="T340" s="246"/>
      <c r="U340" s="246"/>
      <c r="V340" s="89"/>
      <c r="W340" s="246"/>
    </row>
    <row r="341" spans="2:23" ht="15.75" customHeight="1">
      <c r="B341" s="216"/>
      <c r="C341" s="89"/>
      <c r="D341" s="89"/>
      <c r="E341" s="89"/>
      <c r="F341" s="89"/>
      <c r="G341" s="89"/>
      <c r="H341" s="246"/>
      <c r="I341" s="246"/>
      <c r="J341" s="246"/>
      <c r="K341" s="216"/>
      <c r="L341" s="246"/>
      <c r="M341" s="89"/>
      <c r="N341" s="89"/>
      <c r="O341" s="89"/>
      <c r="P341" s="89"/>
      <c r="Q341" s="89"/>
      <c r="R341" s="89"/>
      <c r="S341" s="246"/>
      <c r="T341" s="246"/>
      <c r="U341" s="246"/>
      <c r="V341" s="89"/>
      <c r="W341" s="246"/>
    </row>
    <row r="342" spans="2:23" ht="15.75" customHeight="1">
      <c r="B342" s="216"/>
      <c r="C342" s="89"/>
      <c r="D342" s="89"/>
      <c r="E342" s="89"/>
      <c r="F342" s="89"/>
      <c r="G342" s="89"/>
      <c r="H342" s="246"/>
      <c r="I342" s="246"/>
      <c r="J342" s="246"/>
      <c r="K342" s="216"/>
      <c r="L342" s="246"/>
      <c r="M342" s="89"/>
      <c r="N342" s="89"/>
      <c r="O342" s="89"/>
      <c r="P342" s="89"/>
      <c r="Q342" s="89"/>
      <c r="R342" s="89"/>
      <c r="S342" s="246"/>
      <c r="T342" s="246"/>
      <c r="U342" s="246"/>
      <c r="V342" s="89"/>
      <c r="W342" s="246"/>
    </row>
    <row r="343" spans="2:23" ht="15.75" customHeight="1">
      <c r="B343" s="216"/>
      <c r="C343" s="89"/>
      <c r="D343" s="89"/>
      <c r="E343" s="89"/>
      <c r="F343" s="89"/>
      <c r="G343" s="89"/>
      <c r="H343" s="246"/>
      <c r="I343" s="246"/>
      <c r="J343" s="246"/>
      <c r="K343" s="216"/>
      <c r="L343" s="246"/>
      <c r="M343" s="89"/>
      <c r="N343" s="89"/>
      <c r="O343" s="89"/>
      <c r="P343" s="89"/>
      <c r="Q343" s="89"/>
      <c r="R343" s="89"/>
      <c r="S343" s="246"/>
      <c r="T343" s="246"/>
      <c r="U343" s="246"/>
      <c r="V343" s="89"/>
      <c r="W343" s="246"/>
    </row>
    <row r="344" spans="2:23" ht="15.75" customHeight="1">
      <c r="B344" s="216"/>
      <c r="C344" s="89"/>
      <c r="D344" s="89"/>
      <c r="E344" s="89"/>
      <c r="F344" s="89"/>
      <c r="G344" s="89"/>
      <c r="H344" s="246"/>
      <c r="I344" s="246"/>
      <c r="J344" s="246"/>
      <c r="K344" s="216"/>
      <c r="L344" s="246"/>
      <c r="M344" s="89"/>
      <c r="N344" s="89"/>
      <c r="O344" s="89"/>
      <c r="P344" s="89"/>
      <c r="Q344" s="89"/>
      <c r="R344" s="89"/>
      <c r="S344" s="246"/>
      <c r="T344" s="246"/>
      <c r="U344" s="246"/>
      <c r="V344" s="89"/>
      <c r="W344" s="246"/>
    </row>
    <row r="345" spans="2:23" ht="15.75" customHeight="1">
      <c r="B345" s="216"/>
      <c r="C345" s="89"/>
      <c r="D345" s="89"/>
      <c r="E345" s="89"/>
      <c r="F345" s="89"/>
      <c r="G345" s="89"/>
      <c r="H345" s="246"/>
      <c r="I345" s="246"/>
      <c r="J345" s="246"/>
      <c r="K345" s="216"/>
      <c r="L345" s="246"/>
      <c r="M345" s="89"/>
      <c r="N345" s="89"/>
      <c r="O345" s="89"/>
      <c r="P345" s="89"/>
      <c r="Q345" s="89"/>
      <c r="R345" s="89"/>
      <c r="S345" s="246"/>
      <c r="T345" s="246"/>
      <c r="U345" s="246"/>
      <c r="V345" s="89"/>
      <c r="W345" s="246"/>
    </row>
    <row r="346" spans="2:23" ht="15.75" customHeight="1">
      <c r="B346" s="216"/>
      <c r="C346" s="89"/>
      <c r="D346" s="89"/>
      <c r="E346" s="89"/>
      <c r="F346" s="89"/>
      <c r="G346" s="89"/>
      <c r="H346" s="246"/>
      <c r="I346" s="246"/>
      <c r="J346" s="246"/>
      <c r="K346" s="216"/>
      <c r="L346" s="246"/>
      <c r="M346" s="89"/>
      <c r="N346" s="89"/>
      <c r="O346" s="89"/>
      <c r="P346" s="89"/>
      <c r="Q346" s="89"/>
      <c r="R346" s="89"/>
      <c r="S346" s="246"/>
      <c r="T346" s="246"/>
      <c r="U346" s="246"/>
      <c r="V346" s="89"/>
      <c r="W346" s="246"/>
    </row>
    <row r="347" spans="2:23" ht="15.75" customHeight="1">
      <c r="B347" s="216"/>
      <c r="C347" s="89"/>
      <c r="D347" s="89"/>
      <c r="E347" s="89"/>
      <c r="F347" s="89"/>
      <c r="G347" s="89"/>
      <c r="H347" s="246"/>
      <c r="I347" s="246"/>
      <c r="J347" s="246"/>
      <c r="K347" s="216"/>
      <c r="L347" s="246"/>
      <c r="M347" s="89"/>
      <c r="N347" s="89"/>
      <c r="O347" s="89"/>
      <c r="P347" s="89"/>
      <c r="Q347" s="89"/>
      <c r="R347" s="89"/>
      <c r="S347" s="246"/>
      <c r="T347" s="246"/>
      <c r="U347" s="246"/>
      <c r="V347" s="89"/>
      <c r="W347" s="246"/>
    </row>
    <row r="348" spans="2:23" ht="15.75" customHeight="1">
      <c r="B348" s="216"/>
      <c r="C348" s="89"/>
      <c r="D348" s="89"/>
      <c r="E348" s="89"/>
      <c r="F348" s="89"/>
      <c r="G348" s="89"/>
      <c r="H348" s="246"/>
      <c r="I348" s="246"/>
      <c r="J348" s="246"/>
      <c r="K348" s="216"/>
      <c r="L348" s="246"/>
      <c r="M348" s="89"/>
      <c r="N348" s="89"/>
      <c r="O348" s="89"/>
      <c r="P348" s="89"/>
      <c r="Q348" s="89"/>
      <c r="R348" s="89"/>
      <c r="S348" s="246"/>
      <c r="T348" s="246"/>
      <c r="U348" s="246"/>
      <c r="V348" s="89"/>
      <c r="W348" s="246"/>
    </row>
    <row r="349" spans="2:23" ht="15.75" customHeight="1">
      <c r="B349" s="216"/>
      <c r="C349" s="89"/>
      <c r="D349" s="89"/>
      <c r="E349" s="89"/>
      <c r="F349" s="89"/>
      <c r="G349" s="89"/>
      <c r="H349" s="246"/>
      <c r="I349" s="246"/>
      <c r="J349" s="246"/>
      <c r="K349" s="216"/>
      <c r="L349" s="246"/>
      <c r="M349" s="89"/>
      <c r="N349" s="89"/>
      <c r="O349" s="89"/>
      <c r="P349" s="89"/>
      <c r="Q349" s="89"/>
      <c r="R349" s="89"/>
      <c r="S349" s="246"/>
      <c r="T349" s="246"/>
      <c r="U349" s="246"/>
      <c r="V349" s="89"/>
      <c r="W349" s="246"/>
    </row>
    <row r="350" spans="2:23" ht="15.75" customHeight="1">
      <c r="B350" s="216"/>
      <c r="C350" s="89"/>
      <c r="D350" s="89"/>
      <c r="E350" s="89"/>
      <c r="F350" s="89"/>
      <c r="G350" s="89"/>
      <c r="H350" s="246"/>
      <c r="I350" s="246"/>
      <c r="J350" s="246"/>
      <c r="K350" s="216"/>
      <c r="L350" s="246"/>
      <c r="M350" s="89"/>
      <c r="N350" s="89"/>
      <c r="O350" s="89"/>
      <c r="P350" s="89"/>
      <c r="Q350" s="89"/>
      <c r="R350" s="89"/>
      <c r="S350" s="246"/>
      <c r="T350" s="246"/>
      <c r="U350" s="246"/>
      <c r="V350" s="89"/>
      <c r="W350" s="246"/>
    </row>
    <row r="351" spans="2:23" ht="15.75" customHeight="1">
      <c r="B351" s="216"/>
      <c r="C351" s="89"/>
      <c r="D351" s="89"/>
      <c r="E351" s="89"/>
      <c r="F351" s="89"/>
      <c r="G351" s="89"/>
      <c r="H351" s="246"/>
      <c r="I351" s="246"/>
      <c r="J351" s="246"/>
      <c r="K351" s="216"/>
      <c r="L351" s="246"/>
      <c r="M351" s="89"/>
      <c r="N351" s="89"/>
      <c r="O351" s="89"/>
      <c r="P351" s="89"/>
      <c r="Q351" s="89"/>
      <c r="R351" s="89"/>
      <c r="S351" s="246"/>
      <c r="T351" s="246"/>
      <c r="U351" s="246"/>
      <c r="V351" s="89"/>
      <c r="W351" s="246"/>
    </row>
    <row r="352" spans="2:23" ht="15.75" customHeight="1">
      <c r="B352" s="216"/>
      <c r="C352" s="89"/>
      <c r="D352" s="89"/>
      <c r="E352" s="89"/>
      <c r="F352" s="89"/>
      <c r="G352" s="89"/>
      <c r="H352" s="246"/>
      <c r="I352" s="246"/>
      <c r="J352" s="246"/>
      <c r="K352" s="216"/>
      <c r="L352" s="246"/>
      <c r="M352" s="89"/>
      <c r="N352" s="89"/>
      <c r="O352" s="89"/>
      <c r="P352" s="89"/>
      <c r="Q352" s="89"/>
      <c r="R352" s="89"/>
      <c r="S352" s="246"/>
      <c r="T352" s="246"/>
      <c r="U352" s="246"/>
      <c r="V352" s="89"/>
      <c r="W352" s="246"/>
    </row>
    <row r="353" spans="2:23" ht="15.75" customHeight="1">
      <c r="B353" s="216"/>
      <c r="C353" s="89"/>
      <c r="D353" s="89"/>
      <c r="E353" s="89"/>
      <c r="F353" s="89"/>
      <c r="G353" s="89"/>
      <c r="H353" s="246"/>
      <c r="I353" s="246"/>
      <c r="J353" s="246"/>
      <c r="K353" s="216"/>
      <c r="L353" s="246"/>
      <c r="M353" s="89"/>
      <c r="N353" s="89"/>
      <c r="O353" s="89"/>
      <c r="P353" s="89"/>
      <c r="Q353" s="89"/>
      <c r="R353" s="89"/>
      <c r="S353" s="246"/>
      <c r="T353" s="246"/>
      <c r="U353" s="246"/>
      <c r="V353" s="89"/>
      <c r="W353" s="246"/>
    </row>
    <row r="354" spans="2:23" ht="15.75" customHeight="1">
      <c r="B354" s="216"/>
      <c r="C354" s="89"/>
      <c r="D354" s="89"/>
      <c r="E354" s="89"/>
      <c r="F354" s="89"/>
      <c r="G354" s="89"/>
      <c r="H354" s="246"/>
      <c r="I354" s="246"/>
      <c r="J354" s="246"/>
      <c r="K354" s="216"/>
      <c r="L354" s="246"/>
      <c r="M354" s="89"/>
      <c r="N354" s="89"/>
      <c r="O354" s="89"/>
      <c r="P354" s="89"/>
      <c r="Q354" s="89"/>
      <c r="R354" s="89"/>
      <c r="S354" s="246"/>
      <c r="T354" s="246"/>
      <c r="U354" s="246"/>
      <c r="V354" s="89"/>
      <c r="W354" s="246"/>
    </row>
    <row r="355" spans="2:23" ht="15.75" customHeight="1">
      <c r="B355" s="216"/>
      <c r="C355" s="89"/>
      <c r="D355" s="89"/>
      <c r="E355" s="89"/>
      <c r="F355" s="89"/>
      <c r="G355" s="89"/>
      <c r="H355" s="246"/>
      <c r="I355" s="246"/>
      <c r="J355" s="246"/>
      <c r="K355" s="216"/>
      <c r="L355" s="246"/>
      <c r="M355" s="89"/>
      <c r="N355" s="89"/>
      <c r="O355" s="89"/>
      <c r="P355" s="89"/>
      <c r="Q355" s="89"/>
      <c r="R355" s="89"/>
      <c r="S355" s="246"/>
      <c r="T355" s="246"/>
      <c r="U355" s="246"/>
      <c r="V355" s="89"/>
      <c r="W355" s="246"/>
    </row>
    <row r="356" spans="2:23" ht="15.75" customHeight="1">
      <c r="B356" s="216"/>
      <c r="C356" s="89"/>
      <c r="D356" s="89"/>
      <c r="E356" s="89"/>
      <c r="F356" s="89"/>
      <c r="G356" s="89"/>
      <c r="H356" s="246"/>
      <c r="I356" s="246"/>
      <c r="J356" s="246"/>
      <c r="K356" s="216"/>
      <c r="L356" s="246"/>
      <c r="M356" s="89"/>
      <c r="N356" s="89"/>
      <c r="O356" s="89"/>
      <c r="P356" s="89"/>
      <c r="Q356" s="89"/>
      <c r="R356" s="89"/>
      <c r="S356" s="246"/>
      <c r="T356" s="246"/>
      <c r="U356" s="246"/>
      <c r="V356" s="89"/>
      <c r="W356" s="246"/>
    </row>
    <row r="357" spans="2:23" ht="15.75" customHeight="1">
      <c r="B357" s="216"/>
      <c r="C357" s="89"/>
      <c r="D357" s="89"/>
      <c r="E357" s="89"/>
      <c r="F357" s="89"/>
      <c r="G357" s="89"/>
      <c r="H357" s="246"/>
      <c r="I357" s="246"/>
      <c r="J357" s="246"/>
      <c r="K357" s="216"/>
      <c r="L357" s="246"/>
      <c r="M357" s="89"/>
      <c r="N357" s="89"/>
      <c r="O357" s="89"/>
      <c r="P357" s="89"/>
      <c r="Q357" s="89"/>
      <c r="R357" s="89"/>
      <c r="S357" s="246"/>
      <c r="T357" s="246"/>
      <c r="U357" s="246"/>
      <c r="V357" s="89"/>
      <c r="W357" s="246"/>
    </row>
    <row r="358" spans="2:23" ht="15.75" customHeight="1">
      <c r="B358" s="216"/>
      <c r="C358" s="89"/>
      <c r="D358" s="89"/>
      <c r="E358" s="89"/>
      <c r="F358" s="89"/>
      <c r="G358" s="89"/>
      <c r="H358" s="246"/>
      <c r="I358" s="246"/>
      <c r="J358" s="246"/>
      <c r="K358" s="216"/>
      <c r="L358" s="246"/>
      <c r="M358" s="89"/>
      <c r="N358" s="89"/>
      <c r="O358" s="89"/>
      <c r="P358" s="89"/>
      <c r="Q358" s="89"/>
      <c r="R358" s="89"/>
      <c r="S358" s="246"/>
      <c r="T358" s="246"/>
      <c r="U358" s="246"/>
      <c r="V358" s="89"/>
      <c r="W358" s="246"/>
    </row>
    <row r="359" spans="2:23" ht="15.75" customHeight="1">
      <c r="B359" s="216"/>
      <c r="C359" s="89"/>
      <c r="D359" s="89"/>
      <c r="E359" s="89"/>
      <c r="F359" s="89"/>
      <c r="G359" s="89"/>
      <c r="H359" s="246"/>
      <c r="I359" s="246"/>
      <c r="J359" s="246"/>
      <c r="K359" s="216"/>
      <c r="L359" s="246"/>
      <c r="M359" s="89"/>
      <c r="N359" s="89"/>
      <c r="O359" s="89"/>
      <c r="P359" s="89"/>
      <c r="Q359" s="89"/>
      <c r="R359" s="89"/>
      <c r="S359" s="246"/>
      <c r="T359" s="246"/>
      <c r="U359" s="246"/>
      <c r="V359" s="89"/>
      <c r="W359" s="246"/>
    </row>
    <row r="360" spans="2:23" ht="15.75" customHeight="1">
      <c r="B360" s="216"/>
      <c r="C360" s="89"/>
      <c r="D360" s="89"/>
      <c r="E360" s="89"/>
      <c r="F360" s="89"/>
      <c r="G360" s="89"/>
      <c r="H360" s="246"/>
      <c r="I360" s="246"/>
      <c r="J360" s="246"/>
      <c r="K360" s="216"/>
      <c r="L360" s="246"/>
      <c r="M360" s="89"/>
      <c r="N360" s="89"/>
      <c r="O360" s="89"/>
      <c r="P360" s="89"/>
      <c r="Q360" s="89"/>
      <c r="R360" s="89"/>
      <c r="S360" s="246"/>
      <c r="T360" s="246"/>
      <c r="U360" s="246"/>
      <c r="V360" s="89"/>
      <c r="W360" s="246"/>
    </row>
    <row r="361" spans="2:23" ht="15.75" customHeight="1">
      <c r="B361" s="216"/>
      <c r="C361" s="89"/>
      <c r="D361" s="89"/>
      <c r="E361" s="89"/>
      <c r="F361" s="89"/>
      <c r="G361" s="89"/>
      <c r="H361" s="246"/>
      <c r="I361" s="246"/>
      <c r="J361" s="246"/>
      <c r="K361" s="216"/>
      <c r="L361" s="246"/>
      <c r="M361" s="89"/>
      <c r="N361" s="89"/>
      <c r="O361" s="89"/>
      <c r="P361" s="89"/>
      <c r="Q361" s="89"/>
      <c r="R361" s="89"/>
      <c r="S361" s="246"/>
      <c r="T361" s="246"/>
      <c r="U361" s="246"/>
      <c r="V361" s="89"/>
      <c r="W361" s="246"/>
    </row>
    <row r="362" spans="2:23" ht="15.75" customHeight="1">
      <c r="B362" s="216"/>
      <c r="C362" s="89"/>
      <c r="D362" s="89"/>
      <c r="E362" s="89"/>
      <c r="F362" s="89"/>
      <c r="G362" s="89"/>
      <c r="H362" s="246"/>
      <c r="I362" s="246"/>
      <c r="J362" s="246"/>
      <c r="K362" s="216"/>
      <c r="L362" s="246"/>
      <c r="M362" s="89"/>
      <c r="N362" s="89"/>
      <c r="O362" s="89"/>
      <c r="P362" s="89"/>
      <c r="Q362" s="89"/>
      <c r="R362" s="89"/>
      <c r="S362" s="246"/>
      <c r="T362" s="246"/>
      <c r="U362" s="246"/>
      <c r="V362" s="89"/>
      <c r="W362" s="246"/>
    </row>
    <row r="363" spans="2:23" ht="15.75" customHeight="1">
      <c r="B363" s="216"/>
      <c r="C363" s="89"/>
      <c r="D363" s="89"/>
      <c r="E363" s="89"/>
      <c r="F363" s="89"/>
      <c r="G363" s="89"/>
      <c r="H363" s="246"/>
      <c r="I363" s="246"/>
      <c r="J363" s="246"/>
      <c r="K363" s="216"/>
      <c r="L363" s="246"/>
      <c r="M363" s="89"/>
      <c r="N363" s="89"/>
      <c r="O363" s="89"/>
      <c r="P363" s="89"/>
      <c r="Q363" s="89"/>
      <c r="R363" s="89"/>
      <c r="S363" s="246"/>
      <c r="T363" s="246"/>
      <c r="U363" s="246"/>
      <c r="V363" s="89"/>
      <c r="W363" s="246"/>
    </row>
    <row r="364" spans="2:23" ht="15.75" customHeight="1">
      <c r="B364" s="216"/>
      <c r="C364" s="89"/>
      <c r="D364" s="89"/>
      <c r="E364" s="89"/>
      <c r="F364" s="89"/>
      <c r="G364" s="89"/>
      <c r="H364" s="246"/>
      <c r="I364" s="246"/>
      <c r="J364" s="246"/>
      <c r="K364" s="216"/>
      <c r="L364" s="246"/>
      <c r="M364" s="89"/>
      <c r="N364" s="89"/>
      <c r="O364" s="89"/>
      <c r="P364" s="89"/>
      <c r="Q364" s="89"/>
      <c r="R364" s="89"/>
      <c r="S364" s="246"/>
      <c r="T364" s="246"/>
      <c r="U364" s="246"/>
      <c r="V364" s="89"/>
      <c r="W364" s="246"/>
    </row>
    <row r="365" spans="2:23" ht="15.75" customHeight="1">
      <c r="B365" s="216"/>
      <c r="C365" s="89"/>
      <c r="D365" s="89"/>
      <c r="E365" s="89"/>
      <c r="F365" s="89"/>
      <c r="G365" s="89"/>
      <c r="H365" s="246"/>
      <c r="I365" s="246"/>
      <c r="J365" s="246"/>
      <c r="K365" s="216"/>
      <c r="L365" s="246"/>
      <c r="M365" s="89"/>
      <c r="N365" s="89"/>
      <c r="O365" s="89"/>
      <c r="P365" s="89"/>
      <c r="Q365" s="89"/>
      <c r="R365" s="89"/>
      <c r="S365" s="246"/>
      <c r="T365" s="246"/>
      <c r="U365" s="246"/>
      <c r="V365" s="89"/>
      <c r="W365" s="246"/>
    </row>
    <row r="366" spans="2:23" ht="15.75" customHeight="1">
      <c r="B366" s="216"/>
      <c r="C366" s="89"/>
      <c r="D366" s="89"/>
      <c r="E366" s="89"/>
      <c r="F366" s="89"/>
      <c r="G366" s="89"/>
      <c r="H366" s="246"/>
      <c r="I366" s="246"/>
      <c r="J366" s="246"/>
      <c r="K366" s="216"/>
      <c r="L366" s="246"/>
      <c r="M366" s="89"/>
      <c r="N366" s="89"/>
      <c r="O366" s="89"/>
      <c r="P366" s="89"/>
      <c r="Q366" s="89"/>
      <c r="R366" s="89"/>
      <c r="S366" s="246"/>
      <c r="T366" s="246"/>
      <c r="U366" s="246"/>
      <c r="V366" s="89"/>
      <c r="W366" s="246"/>
    </row>
    <row r="367" spans="2:23" ht="15.75" customHeight="1">
      <c r="B367" s="216"/>
      <c r="C367" s="89"/>
      <c r="D367" s="89"/>
      <c r="E367" s="89"/>
      <c r="F367" s="89"/>
      <c r="G367" s="89"/>
      <c r="H367" s="246"/>
      <c r="I367" s="246"/>
      <c r="J367" s="246"/>
      <c r="K367" s="216"/>
      <c r="L367" s="246"/>
      <c r="M367" s="89"/>
      <c r="N367" s="89"/>
      <c r="O367" s="89"/>
      <c r="P367" s="89"/>
      <c r="Q367" s="89"/>
      <c r="R367" s="89"/>
      <c r="S367" s="246"/>
      <c r="T367" s="246"/>
      <c r="U367" s="246"/>
      <c r="V367" s="89"/>
      <c r="W367" s="246"/>
    </row>
    <row r="368" spans="2:23" ht="15.75" customHeight="1">
      <c r="B368" s="216"/>
      <c r="C368" s="89"/>
      <c r="D368" s="89"/>
      <c r="E368" s="89"/>
      <c r="F368" s="89"/>
      <c r="G368" s="89"/>
      <c r="H368" s="246"/>
      <c r="I368" s="246"/>
      <c r="J368" s="246"/>
      <c r="K368" s="216"/>
      <c r="L368" s="246"/>
      <c r="M368" s="89"/>
      <c r="N368" s="89"/>
      <c r="O368" s="89"/>
      <c r="P368" s="89"/>
      <c r="Q368" s="89"/>
      <c r="R368" s="89"/>
      <c r="S368" s="246"/>
      <c r="T368" s="246"/>
      <c r="U368" s="246"/>
      <c r="V368" s="89"/>
      <c r="W368" s="246"/>
    </row>
    <row r="369" spans="2:23" ht="15.75" customHeight="1">
      <c r="B369" s="216"/>
      <c r="C369" s="89"/>
      <c r="D369" s="89"/>
      <c r="E369" s="89"/>
      <c r="F369" s="89"/>
      <c r="G369" s="89"/>
      <c r="H369" s="246"/>
      <c r="I369" s="246"/>
      <c r="J369" s="246"/>
      <c r="K369" s="216"/>
      <c r="L369" s="246"/>
      <c r="M369" s="89"/>
      <c r="N369" s="89"/>
      <c r="O369" s="89"/>
      <c r="P369" s="89"/>
      <c r="Q369" s="89"/>
      <c r="R369" s="89"/>
      <c r="S369" s="246"/>
      <c r="T369" s="246"/>
      <c r="U369" s="246"/>
      <c r="V369" s="89"/>
      <c r="W369" s="246"/>
    </row>
    <row r="370" spans="2:23" ht="15.75" customHeight="1">
      <c r="B370" s="216"/>
      <c r="C370" s="89"/>
      <c r="D370" s="89"/>
      <c r="E370" s="89"/>
      <c r="F370" s="89"/>
      <c r="G370" s="89"/>
      <c r="H370" s="246"/>
      <c r="I370" s="246"/>
      <c r="J370" s="246"/>
      <c r="K370" s="216"/>
      <c r="L370" s="246"/>
      <c r="M370" s="89"/>
      <c r="N370" s="89"/>
      <c r="O370" s="89"/>
      <c r="P370" s="89"/>
      <c r="Q370" s="89"/>
      <c r="R370" s="89"/>
      <c r="S370" s="246"/>
      <c r="T370" s="246"/>
      <c r="U370" s="246"/>
      <c r="V370" s="89"/>
      <c r="W370" s="246"/>
    </row>
    <row r="371" spans="2:23" ht="15.75" customHeight="1">
      <c r="B371" s="216"/>
      <c r="C371" s="89"/>
      <c r="D371" s="89"/>
      <c r="E371" s="89"/>
      <c r="F371" s="89"/>
      <c r="G371" s="89"/>
      <c r="H371" s="246"/>
      <c r="I371" s="246"/>
      <c r="J371" s="246"/>
      <c r="K371" s="216"/>
      <c r="L371" s="246"/>
      <c r="M371" s="89"/>
      <c r="N371" s="89"/>
      <c r="O371" s="89"/>
      <c r="P371" s="89"/>
      <c r="Q371" s="89"/>
      <c r="R371" s="89"/>
      <c r="S371" s="246"/>
      <c r="T371" s="246"/>
      <c r="U371" s="246"/>
      <c r="V371" s="89"/>
      <c r="W371" s="246"/>
    </row>
    <row r="372" spans="2:23" ht="15.75" customHeight="1">
      <c r="B372" s="216"/>
      <c r="C372" s="89"/>
      <c r="D372" s="89"/>
      <c r="E372" s="89"/>
      <c r="F372" s="89"/>
      <c r="G372" s="89"/>
      <c r="H372" s="246"/>
      <c r="I372" s="246"/>
      <c r="J372" s="246"/>
      <c r="K372" s="216"/>
      <c r="L372" s="246"/>
      <c r="M372" s="89"/>
      <c r="N372" s="89"/>
      <c r="O372" s="89"/>
      <c r="P372" s="89"/>
      <c r="Q372" s="89"/>
      <c r="R372" s="89"/>
      <c r="S372" s="246"/>
      <c r="T372" s="246"/>
      <c r="U372" s="246"/>
      <c r="V372" s="89"/>
      <c r="W372" s="246"/>
    </row>
    <row r="373" spans="2:23" ht="15.75" customHeight="1">
      <c r="B373" s="216"/>
      <c r="C373" s="89"/>
      <c r="D373" s="89"/>
      <c r="E373" s="89"/>
      <c r="F373" s="89"/>
      <c r="G373" s="89"/>
      <c r="H373" s="246"/>
      <c r="I373" s="246"/>
      <c r="J373" s="246"/>
      <c r="K373" s="216"/>
      <c r="L373" s="246"/>
      <c r="M373" s="89"/>
      <c r="N373" s="89"/>
      <c r="O373" s="89"/>
      <c r="P373" s="89"/>
      <c r="Q373" s="89"/>
      <c r="R373" s="89"/>
      <c r="S373" s="246"/>
      <c r="T373" s="246"/>
      <c r="U373" s="246"/>
      <c r="V373" s="89"/>
      <c r="W373" s="246"/>
    </row>
    <row r="374" spans="2:23" ht="15.75" customHeight="1">
      <c r="B374" s="216"/>
      <c r="C374" s="89"/>
      <c r="D374" s="89"/>
      <c r="E374" s="89"/>
      <c r="F374" s="89"/>
      <c r="G374" s="89"/>
      <c r="H374" s="246"/>
      <c r="I374" s="246"/>
      <c r="J374" s="246"/>
      <c r="K374" s="216"/>
      <c r="L374" s="246"/>
      <c r="M374" s="89"/>
      <c r="N374" s="89"/>
      <c r="O374" s="89"/>
      <c r="P374" s="89"/>
      <c r="Q374" s="89"/>
      <c r="R374" s="89"/>
      <c r="S374" s="246"/>
      <c r="T374" s="246"/>
      <c r="U374" s="246"/>
      <c r="V374" s="89"/>
      <c r="W374" s="246"/>
    </row>
    <row r="375" spans="2:23" ht="15.75" customHeight="1">
      <c r="B375" s="216"/>
      <c r="C375" s="89"/>
      <c r="D375" s="89"/>
      <c r="E375" s="89"/>
      <c r="F375" s="89"/>
      <c r="G375" s="89"/>
      <c r="H375" s="246"/>
      <c r="I375" s="246"/>
      <c r="J375" s="246"/>
      <c r="K375" s="216"/>
      <c r="L375" s="246"/>
      <c r="M375" s="89"/>
      <c r="N375" s="89"/>
      <c r="O375" s="89"/>
      <c r="P375" s="89"/>
      <c r="Q375" s="89"/>
      <c r="R375" s="89"/>
      <c r="S375" s="246"/>
      <c r="T375" s="246"/>
      <c r="U375" s="246"/>
      <c r="V375" s="89"/>
      <c r="W375" s="246"/>
    </row>
    <row r="376" spans="2:23" ht="15.75" customHeight="1">
      <c r="B376" s="216"/>
      <c r="C376" s="89"/>
      <c r="D376" s="89"/>
      <c r="E376" s="89"/>
      <c r="F376" s="89"/>
      <c r="G376" s="89"/>
      <c r="H376" s="246"/>
      <c r="I376" s="246"/>
      <c r="J376" s="246"/>
      <c r="K376" s="216"/>
      <c r="L376" s="246"/>
      <c r="M376" s="89"/>
      <c r="N376" s="89"/>
      <c r="O376" s="89"/>
      <c r="P376" s="89"/>
      <c r="Q376" s="89"/>
      <c r="R376" s="89"/>
      <c r="S376" s="246"/>
      <c r="T376" s="246"/>
      <c r="U376" s="246"/>
      <c r="V376" s="89"/>
      <c r="W376" s="246"/>
    </row>
    <row r="377" spans="2:23" ht="15.75" customHeight="1">
      <c r="B377" s="216"/>
      <c r="C377" s="89"/>
      <c r="D377" s="89"/>
      <c r="E377" s="89"/>
      <c r="F377" s="89"/>
      <c r="G377" s="89"/>
      <c r="H377" s="246"/>
      <c r="I377" s="246"/>
      <c r="J377" s="246"/>
      <c r="K377" s="216"/>
      <c r="L377" s="246"/>
      <c r="M377" s="89"/>
      <c r="N377" s="89"/>
      <c r="O377" s="89"/>
      <c r="P377" s="89"/>
      <c r="Q377" s="89"/>
      <c r="R377" s="89"/>
      <c r="S377" s="246"/>
      <c r="T377" s="246"/>
      <c r="U377" s="246"/>
      <c r="V377" s="89"/>
      <c r="W377" s="246"/>
    </row>
    <row r="378" spans="2:23" ht="15.75" customHeight="1">
      <c r="B378" s="216"/>
      <c r="C378" s="89"/>
      <c r="D378" s="89"/>
      <c r="E378" s="89"/>
      <c r="F378" s="89"/>
      <c r="G378" s="89"/>
      <c r="H378" s="246"/>
      <c r="I378" s="246"/>
      <c r="J378" s="246"/>
      <c r="K378" s="216"/>
      <c r="L378" s="246"/>
      <c r="M378" s="89"/>
      <c r="N378" s="89"/>
      <c r="O378" s="89"/>
      <c r="P378" s="89"/>
      <c r="Q378" s="89"/>
      <c r="R378" s="89"/>
      <c r="S378" s="246"/>
      <c r="T378" s="246"/>
      <c r="U378" s="246"/>
      <c r="V378" s="89"/>
      <c r="W378" s="246"/>
    </row>
    <row r="379" spans="2:23" ht="15.75" customHeight="1">
      <c r="B379" s="216"/>
      <c r="C379" s="89"/>
      <c r="D379" s="89"/>
      <c r="E379" s="89"/>
      <c r="F379" s="89"/>
      <c r="G379" s="89"/>
      <c r="H379" s="246"/>
      <c r="I379" s="246"/>
      <c r="J379" s="246"/>
      <c r="K379" s="216"/>
      <c r="L379" s="246"/>
      <c r="M379" s="89"/>
      <c r="N379" s="89"/>
      <c r="O379" s="89"/>
      <c r="P379" s="89"/>
      <c r="Q379" s="89"/>
      <c r="R379" s="89"/>
      <c r="S379" s="246"/>
      <c r="T379" s="246"/>
      <c r="U379" s="246"/>
      <c r="V379" s="89"/>
      <c r="W379" s="246"/>
    </row>
    <row r="380" spans="2:23" ht="15.75" customHeight="1">
      <c r="B380" s="216"/>
      <c r="C380" s="89"/>
      <c r="D380" s="89"/>
      <c r="E380" s="89"/>
      <c r="F380" s="89"/>
      <c r="G380" s="89"/>
      <c r="H380" s="246"/>
      <c r="I380" s="246"/>
      <c r="J380" s="246"/>
      <c r="K380" s="216"/>
      <c r="L380" s="246"/>
      <c r="M380" s="89"/>
      <c r="N380" s="89"/>
      <c r="O380" s="89"/>
      <c r="P380" s="89"/>
      <c r="Q380" s="89"/>
      <c r="R380" s="89"/>
      <c r="S380" s="246"/>
      <c r="T380" s="246"/>
      <c r="U380" s="246"/>
      <c r="V380" s="89"/>
      <c r="W380" s="246"/>
    </row>
    <row r="381" spans="2:23" ht="15.75" customHeight="1">
      <c r="B381" s="216"/>
      <c r="C381" s="89"/>
      <c r="D381" s="89"/>
      <c r="E381" s="89"/>
      <c r="F381" s="89"/>
      <c r="G381" s="89"/>
      <c r="H381" s="246"/>
      <c r="I381" s="246"/>
      <c r="J381" s="246"/>
      <c r="K381" s="216"/>
      <c r="L381" s="246"/>
      <c r="M381" s="89"/>
      <c r="N381" s="89"/>
      <c r="O381" s="89"/>
      <c r="P381" s="89"/>
      <c r="Q381" s="89"/>
      <c r="R381" s="89"/>
      <c r="S381" s="246"/>
      <c r="T381" s="246"/>
      <c r="U381" s="246"/>
      <c r="V381" s="89"/>
      <c r="W381" s="246"/>
    </row>
    <row r="382" spans="2:23" ht="15.75" customHeight="1">
      <c r="B382" s="216"/>
      <c r="C382" s="89"/>
      <c r="D382" s="89"/>
      <c r="E382" s="89"/>
      <c r="F382" s="89"/>
      <c r="G382" s="89"/>
      <c r="H382" s="246"/>
      <c r="I382" s="246"/>
      <c r="J382" s="246"/>
      <c r="K382" s="216"/>
      <c r="L382" s="246"/>
      <c r="M382" s="89"/>
      <c r="N382" s="89"/>
      <c r="O382" s="89"/>
      <c r="P382" s="89"/>
      <c r="Q382" s="89"/>
      <c r="R382" s="89"/>
      <c r="S382" s="246"/>
      <c r="T382" s="246"/>
      <c r="U382" s="246"/>
      <c r="V382" s="89"/>
      <c r="W382" s="246"/>
    </row>
    <row r="383" spans="2:23" ht="15.75" customHeight="1">
      <c r="B383" s="216"/>
      <c r="C383" s="89"/>
      <c r="D383" s="89"/>
      <c r="E383" s="89"/>
      <c r="F383" s="89"/>
      <c r="G383" s="89"/>
      <c r="H383" s="246"/>
      <c r="I383" s="246"/>
      <c r="J383" s="246"/>
      <c r="K383" s="216"/>
      <c r="L383" s="246"/>
      <c r="M383" s="89"/>
      <c r="N383" s="89"/>
      <c r="O383" s="89"/>
      <c r="P383" s="89"/>
      <c r="Q383" s="89"/>
      <c r="R383" s="89"/>
      <c r="S383" s="246"/>
      <c r="T383" s="246"/>
      <c r="U383" s="246"/>
      <c r="V383" s="89"/>
      <c r="W383" s="246"/>
    </row>
    <row r="384" spans="2:23" ht="15.75" customHeight="1">
      <c r="B384" s="216"/>
      <c r="C384" s="89"/>
      <c r="D384" s="89"/>
      <c r="E384" s="89"/>
      <c r="F384" s="89"/>
      <c r="G384" s="89"/>
      <c r="H384" s="246"/>
      <c r="I384" s="246"/>
      <c r="J384" s="246"/>
      <c r="K384" s="216"/>
      <c r="L384" s="246"/>
      <c r="M384" s="89"/>
      <c r="N384" s="89"/>
      <c r="O384" s="89"/>
      <c r="P384" s="89"/>
      <c r="Q384" s="89"/>
      <c r="R384" s="89"/>
      <c r="S384" s="246"/>
      <c r="T384" s="246"/>
      <c r="U384" s="246"/>
      <c r="V384" s="89"/>
      <c r="W384" s="246"/>
    </row>
    <row r="385" spans="2:23" ht="15.75" customHeight="1">
      <c r="B385" s="216"/>
      <c r="C385" s="89"/>
      <c r="D385" s="89"/>
      <c r="E385" s="89"/>
      <c r="F385" s="89"/>
      <c r="G385" s="89"/>
      <c r="H385" s="246"/>
      <c r="I385" s="246"/>
      <c r="J385" s="246"/>
      <c r="K385" s="216"/>
      <c r="L385" s="246"/>
      <c r="M385" s="89"/>
      <c r="N385" s="89"/>
      <c r="O385" s="89"/>
      <c r="P385" s="89"/>
      <c r="Q385" s="89"/>
      <c r="R385" s="89"/>
      <c r="S385" s="246"/>
      <c r="T385" s="246"/>
      <c r="U385" s="246"/>
      <c r="V385" s="89"/>
      <c r="W385" s="246"/>
    </row>
    <row r="386" spans="2:23" ht="15.75" customHeight="1">
      <c r="B386" s="216"/>
      <c r="C386" s="89"/>
      <c r="D386" s="89"/>
      <c r="E386" s="89"/>
      <c r="F386" s="89"/>
      <c r="G386" s="89"/>
      <c r="H386" s="246"/>
      <c r="I386" s="246"/>
      <c r="J386" s="246"/>
      <c r="K386" s="216"/>
      <c r="L386" s="246"/>
      <c r="M386" s="89"/>
      <c r="N386" s="89"/>
      <c r="O386" s="89"/>
      <c r="P386" s="89"/>
      <c r="Q386" s="89"/>
      <c r="R386" s="89"/>
      <c r="S386" s="246"/>
      <c r="T386" s="246"/>
      <c r="U386" s="246"/>
      <c r="V386" s="89"/>
      <c r="W386" s="246"/>
    </row>
    <row r="387" spans="2:23" ht="15.75" customHeight="1">
      <c r="B387" s="216"/>
      <c r="C387" s="89"/>
      <c r="D387" s="89"/>
      <c r="E387" s="89"/>
      <c r="F387" s="89"/>
      <c r="G387" s="89"/>
      <c r="H387" s="246"/>
      <c r="I387" s="246"/>
      <c r="J387" s="246"/>
      <c r="K387" s="216"/>
      <c r="L387" s="246"/>
      <c r="M387" s="89"/>
      <c r="N387" s="89"/>
      <c r="O387" s="89"/>
      <c r="P387" s="89"/>
      <c r="Q387" s="89"/>
      <c r="R387" s="89"/>
      <c r="S387" s="246"/>
      <c r="T387" s="246"/>
      <c r="U387" s="246"/>
      <c r="V387" s="89"/>
      <c r="W387" s="246"/>
    </row>
    <row r="388" spans="2:23" ht="15.75" customHeight="1">
      <c r="B388" s="216"/>
      <c r="C388" s="89"/>
      <c r="D388" s="89"/>
      <c r="E388" s="89"/>
      <c r="F388" s="89"/>
      <c r="G388" s="89"/>
      <c r="H388" s="246"/>
      <c r="I388" s="246"/>
      <c r="J388" s="246"/>
      <c r="K388" s="216"/>
      <c r="L388" s="246"/>
      <c r="M388" s="89"/>
      <c r="N388" s="89"/>
      <c r="O388" s="89"/>
      <c r="P388" s="89"/>
      <c r="Q388" s="89"/>
      <c r="R388" s="89"/>
      <c r="S388" s="246"/>
      <c r="T388" s="246"/>
      <c r="U388" s="246"/>
      <c r="V388" s="89"/>
      <c r="W388" s="246"/>
    </row>
    <row r="389" spans="2:23" ht="15.75" customHeight="1">
      <c r="B389" s="216"/>
      <c r="C389" s="89"/>
      <c r="D389" s="89"/>
      <c r="E389" s="89"/>
      <c r="F389" s="89"/>
      <c r="G389" s="89"/>
      <c r="H389" s="246"/>
      <c r="I389" s="246"/>
      <c r="J389" s="246"/>
      <c r="K389" s="216"/>
      <c r="L389" s="246"/>
      <c r="M389" s="89"/>
      <c r="N389" s="89"/>
      <c r="O389" s="89"/>
      <c r="P389" s="89"/>
      <c r="Q389" s="89"/>
      <c r="R389" s="89"/>
      <c r="S389" s="246"/>
      <c r="T389" s="246"/>
      <c r="U389" s="246"/>
      <c r="V389" s="89"/>
      <c r="W389" s="246"/>
    </row>
    <row r="390" spans="2:23" ht="15.75" customHeight="1">
      <c r="B390" s="216"/>
      <c r="C390" s="89"/>
      <c r="D390" s="89"/>
      <c r="E390" s="89"/>
      <c r="F390" s="89"/>
      <c r="G390" s="89"/>
      <c r="H390" s="246"/>
      <c r="I390" s="246"/>
      <c r="J390" s="246"/>
      <c r="K390" s="216"/>
      <c r="L390" s="246"/>
      <c r="M390" s="89"/>
      <c r="N390" s="89"/>
      <c r="O390" s="89"/>
      <c r="P390" s="89"/>
      <c r="Q390" s="89"/>
      <c r="R390" s="89"/>
      <c r="S390" s="246"/>
      <c r="T390" s="246"/>
      <c r="U390" s="246"/>
      <c r="V390" s="89"/>
      <c r="W390" s="246"/>
    </row>
    <row r="391" spans="2:23" ht="15.75" customHeight="1">
      <c r="B391" s="216"/>
      <c r="C391" s="89"/>
      <c r="D391" s="89"/>
      <c r="E391" s="89"/>
      <c r="F391" s="89"/>
      <c r="G391" s="89"/>
      <c r="H391" s="246"/>
      <c r="I391" s="246"/>
      <c r="J391" s="246"/>
      <c r="K391" s="216"/>
      <c r="L391" s="246"/>
      <c r="M391" s="89"/>
      <c r="N391" s="89"/>
      <c r="O391" s="89"/>
      <c r="P391" s="89"/>
      <c r="Q391" s="89"/>
      <c r="R391" s="89"/>
      <c r="S391" s="246"/>
      <c r="T391" s="246"/>
      <c r="U391" s="246"/>
      <c r="V391" s="89"/>
      <c r="W391" s="246"/>
    </row>
    <row r="392" spans="2:23" ht="15.75" customHeight="1">
      <c r="B392" s="216"/>
      <c r="C392" s="89"/>
      <c r="D392" s="89"/>
      <c r="E392" s="89"/>
      <c r="F392" s="89"/>
      <c r="G392" s="89"/>
      <c r="H392" s="246"/>
      <c r="I392" s="246"/>
      <c r="J392" s="246"/>
      <c r="K392" s="216"/>
      <c r="L392" s="246"/>
      <c r="M392" s="89"/>
      <c r="N392" s="89"/>
      <c r="O392" s="89"/>
      <c r="P392" s="89"/>
      <c r="Q392" s="89"/>
      <c r="R392" s="89"/>
      <c r="S392" s="246"/>
      <c r="T392" s="246"/>
      <c r="U392" s="246"/>
      <c r="V392" s="89"/>
      <c r="W392" s="246"/>
    </row>
    <row r="393" spans="2:23" ht="15.75" customHeight="1">
      <c r="B393" s="216"/>
      <c r="C393" s="89"/>
      <c r="D393" s="89"/>
      <c r="E393" s="89"/>
      <c r="F393" s="89"/>
      <c r="G393" s="89"/>
      <c r="H393" s="246"/>
      <c r="I393" s="246"/>
      <c r="J393" s="246"/>
      <c r="K393" s="216"/>
      <c r="L393" s="246"/>
      <c r="M393" s="89"/>
      <c r="N393" s="89"/>
      <c r="O393" s="89"/>
      <c r="P393" s="89"/>
      <c r="Q393" s="89"/>
      <c r="R393" s="89"/>
      <c r="S393" s="246"/>
      <c r="T393" s="246"/>
      <c r="U393" s="246"/>
      <c r="V393" s="89"/>
      <c r="W393" s="246"/>
    </row>
    <row r="394" spans="2:23" ht="15.75" customHeight="1">
      <c r="B394" s="216"/>
      <c r="C394" s="89"/>
      <c r="D394" s="89"/>
      <c r="E394" s="89"/>
      <c r="F394" s="89"/>
      <c r="G394" s="89"/>
      <c r="H394" s="246"/>
      <c r="I394" s="246"/>
      <c r="J394" s="246"/>
      <c r="K394" s="216"/>
      <c r="L394" s="246"/>
      <c r="M394" s="89"/>
      <c r="N394" s="89"/>
      <c r="O394" s="89"/>
      <c r="P394" s="89"/>
      <c r="Q394" s="89"/>
      <c r="R394" s="89"/>
      <c r="S394" s="246"/>
      <c r="T394" s="246"/>
      <c r="U394" s="246"/>
      <c r="V394" s="89"/>
      <c r="W394" s="246"/>
    </row>
    <row r="395" spans="2:23" ht="15.75" customHeight="1">
      <c r="B395" s="216"/>
      <c r="C395" s="89"/>
      <c r="D395" s="89"/>
      <c r="E395" s="89"/>
      <c r="F395" s="89"/>
      <c r="G395" s="89"/>
      <c r="H395" s="246"/>
      <c r="I395" s="246"/>
      <c r="J395" s="246"/>
      <c r="K395" s="216"/>
      <c r="L395" s="246"/>
      <c r="M395" s="89"/>
      <c r="N395" s="89"/>
      <c r="O395" s="89"/>
      <c r="P395" s="89"/>
      <c r="Q395" s="89"/>
      <c r="R395" s="89"/>
      <c r="S395" s="246"/>
      <c r="T395" s="246"/>
      <c r="U395" s="246"/>
      <c r="V395" s="89"/>
      <c r="W395" s="246"/>
    </row>
    <row r="396" spans="2:23" ht="15.75" customHeight="1">
      <c r="B396" s="216"/>
      <c r="C396" s="89"/>
      <c r="D396" s="89"/>
      <c r="E396" s="89"/>
      <c r="F396" s="89"/>
      <c r="G396" s="89"/>
      <c r="H396" s="246"/>
      <c r="I396" s="246"/>
      <c r="J396" s="246"/>
      <c r="K396" s="216"/>
      <c r="L396" s="246"/>
      <c r="M396" s="89"/>
      <c r="N396" s="89"/>
      <c r="O396" s="89"/>
      <c r="P396" s="89"/>
      <c r="Q396" s="89"/>
      <c r="R396" s="89"/>
      <c r="S396" s="246"/>
      <c r="T396" s="246"/>
      <c r="U396" s="246"/>
      <c r="V396" s="89"/>
      <c r="W396" s="246"/>
    </row>
    <row r="397" spans="2:23" ht="15.75" customHeight="1">
      <c r="B397" s="216"/>
      <c r="C397" s="89"/>
      <c r="D397" s="89"/>
      <c r="E397" s="89"/>
      <c r="F397" s="89"/>
      <c r="G397" s="89"/>
      <c r="H397" s="246"/>
      <c r="I397" s="246"/>
      <c r="J397" s="246"/>
      <c r="K397" s="216"/>
      <c r="L397" s="246"/>
      <c r="M397" s="89"/>
      <c r="N397" s="89"/>
      <c r="O397" s="89"/>
      <c r="P397" s="89"/>
      <c r="Q397" s="89"/>
      <c r="R397" s="89"/>
      <c r="S397" s="246"/>
      <c r="T397" s="246"/>
      <c r="U397" s="246"/>
      <c r="V397" s="89"/>
      <c r="W397" s="246"/>
    </row>
    <row r="398" spans="2:23" ht="15.75" customHeight="1">
      <c r="B398" s="216"/>
      <c r="C398" s="89"/>
      <c r="D398" s="89"/>
      <c r="E398" s="89"/>
      <c r="F398" s="89"/>
      <c r="G398" s="89"/>
      <c r="H398" s="246"/>
      <c r="I398" s="246"/>
      <c r="J398" s="246"/>
      <c r="K398" s="216"/>
      <c r="L398" s="246"/>
      <c r="M398" s="89"/>
      <c r="N398" s="89"/>
      <c r="O398" s="89"/>
      <c r="P398" s="89"/>
      <c r="Q398" s="89"/>
      <c r="R398" s="89"/>
      <c r="S398" s="246"/>
      <c r="T398" s="246"/>
      <c r="U398" s="246"/>
      <c r="V398" s="89"/>
      <c r="W398" s="246"/>
    </row>
    <row r="399" spans="2:23" ht="15.75" customHeight="1">
      <c r="B399" s="216"/>
      <c r="C399" s="89"/>
      <c r="D399" s="89"/>
      <c r="E399" s="89"/>
      <c r="F399" s="89"/>
      <c r="G399" s="89"/>
      <c r="H399" s="246"/>
      <c r="I399" s="246"/>
      <c r="J399" s="246"/>
      <c r="K399" s="216"/>
      <c r="L399" s="246"/>
      <c r="M399" s="89"/>
      <c r="N399" s="89"/>
      <c r="O399" s="89"/>
      <c r="P399" s="89"/>
      <c r="Q399" s="89"/>
      <c r="R399" s="89"/>
      <c r="S399" s="246"/>
      <c r="T399" s="246"/>
      <c r="U399" s="246"/>
      <c r="V399" s="89"/>
      <c r="W399" s="246"/>
    </row>
    <row r="400" spans="2:23" ht="15.75" customHeight="1">
      <c r="B400" s="216"/>
      <c r="C400" s="89"/>
      <c r="D400" s="89"/>
      <c r="E400" s="89"/>
      <c r="F400" s="89"/>
      <c r="G400" s="89"/>
      <c r="H400" s="246"/>
      <c r="I400" s="246"/>
      <c r="J400" s="246"/>
      <c r="K400" s="216"/>
      <c r="L400" s="246"/>
      <c r="M400" s="89"/>
      <c r="N400" s="89"/>
      <c r="O400" s="89"/>
      <c r="P400" s="89"/>
      <c r="Q400" s="89"/>
      <c r="R400" s="89"/>
      <c r="S400" s="246"/>
      <c r="T400" s="246"/>
      <c r="U400" s="246"/>
      <c r="V400" s="89"/>
      <c r="W400" s="246"/>
    </row>
    <row r="401" spans="2:23" ht="15.75" customHeight="1">
      <c r="B401" s="216"/>
      <c r="C401" s="89"/>
      <c r="D401" s="89"/>
      <c r="E401" s="89"/>
      <c r="F401" s="89"/>
      <c r="G401" s="89"/>
      <c r="H401" s="246"/>
      <c r="I401" s="246"/>
      <c r="J401" s="246"/>
      <c r="K401" s="216"/>
      <c r="L401" s="246"/>
      <c r="M401" s="89"/>
      <c r="N401" s="89"/>
      <c r="O401" s="89"/>
      <c r="P401" s="89"/>
      <c r="Q401" s="89"/>
      <c r="R401" s="89"/>
      <c r="S401" s="246"/>
      <c r="T401" s="246"/>
      <c r="U401" s="246"/>
      <c r="V401" s="89"/>
      <c r="W401" s="246"/>
    </row>
    <row r="402" spans="2:23" ht="15.75" customHeight="1">
      <c r="B402" s="216"/>
      <c r="C402" s="89"/>
      <c r="D402" s="89"/>
      <c r="E402" s="89"/>
      <c r="F402" s="89"/>
      <c r="G402" s="89"/>
      <c r="H402" s="246"/>
      <c r="I402" s="246"/>
      <c r="J402" s="246"/>
      <c r="K402" s="216"/>
      <c r="L402" s="246"/>
      <c r="M402" s="89"/>
      <c r="N402" s="89"/>
      <c r="O402" s="89"/>
      <c r="P402" s="89"/>
      <c r="Q402" s="89"/>
      <c r="R402" s="89"/>
      <c r="S402" s="246"/>
      <c r="T402" s="246"/>
      <c r="U402" s="246"/>
      <c r="V402" s="89"/>
      <c r="W402" s="246"/>
    </row>
    <row r="403" spans="2:23" ht="15.75" customHeight="1">
      <c r="B403" s="216"/>
      <c r="C403" s="89"/>
      <c r="D403" s="89"/>
      <c r="E403" s="89"/>
      <c r="F403" s="89"/>
      <c r="G403" s="89"/>
      <c r="H403" s="246"/>
      <c r="I403" s="246"/>
      <c r="J403" s="246"/>
      <c r="K403" s="216"/>
      <c r="L403" s="246"/>
      <c r="M403" s="89"/>
      <c r="N403" s="89"/>
      <c r="O403" s="89"/>
      <c r="P403" s="89"/>
      <c r="Q403" s="89"/>
      <c r="R403" s="89"/>
      <c r="S403" s="246"/>
      <c r="T403" s="246"/>
      <c r="U403" s="246"/>
      <c r="V403" s="89"/>
      <c r="W403" s="246"/>
    </row>
    <row r="404" spans="2:23" ht="15.75" customHeight="1">
      <c r="B404" s="216"/>
      <c r="C404" s="89"/>
      <c r="D404" s="89"/>
      <c r="E404" s="89"/>
      <c r="F404" s="89"/>
      <c r="G404" s="89"/>
      <c r="H404" s="246"/>
      <c r="I404" s="246"/>
      <c r="J404" s="246"/>
      <c r="K404" s="216"/>
      <c r="L404" s="246"/>
      <c r="M404" s="89"/>
      <c r="N404" s="89"/>
      <c r="O404" s="89"/>
      <c r="P404" s="89"/>
      <c r="Q404" s="89"/>
      <c r="R404" s="89"/>
      <c r="S404" s="246"/>
      <c r="T404" s="246"/>
      <c r="U404" s="246"/>
      <c r="V404" s="89"/>
      <c r="W404" s="246"/>
    </row>
    <row r="405" spans="2:23" ht="15.75" customHeight="1">
      <c r="B405" s="216"/>
      <c r="C405" s="89"/>
      <c r="D405" s="89"/>
      <c r="E405" s="89"/>
      <c r="F405" s="89"/>
      <c r="G405" s="89"/>
      <c r="H405" s="246"/>
      <c r="I405" s="246"/>
      <c r="J405" s="246"/>
      <c r="K405" s="216"/>
      <c r="L405" s="246"/>
      <c r="M405" s="89"/>
      <c r="N405" s="89"/>
      <c r="O405" s="89"/>
      <c r="P405" s="89"/>
      <c r="Q405" s="89"/>
      <c r="R405" s="89"/>
      <c r="S405" s="246"/>
      <c r="T405" s="246"/>
      <c r="U405" s="246"/>
      <c r="V405" s="89"/>
      <c r="W405" s="246"/>
    </row>
    <row r="406" spans="2:23" ht="15.75" customHeight="1">
      <c r="B406" s="216"/>
      <c r="C406" s="89"/>
      <c r="D406" s="89"/>
      <c r="E406" s="89"/>
      <c r="F406" s="89"/>
      <c r="G406" s="89"/>
      <c r="H406" s="246"/>
      <c r="I406" s="246"/>
      <c r="J406" s="246"/>
      <c r="K406" s="216"/>
      <c r="L406" s="246"/>
      <c r="M406" s="89"/>
      <c r="N406" s="89"/>
      <c r="O406" s="89"/>
      <c r="P406" s="89"/>
      <c r="Q406" s="89"/>
      <c r="R406" s="89"/>
      <c r="S406" s="246"/>
      <c r="T406" s="246"/>
      <c r="U406" s="246"/>
      <c r="V406" s="89"/>
      <c r="W406" s="246"/>
    </row>
    <row r="407" spans="2:23" ht="15.75" customHeight="1">
      <c r="B407" s="216"/>
      <c r="C407" s="89"/>
      <c r="D407" s="89"/>
      <c r="E407" s="89"/>
      <c r="F407" s="89"/>
      <c r="G407" s="89"/>
      <c r="H407" s="246"/>
      <c r="I407" s="246"/>
      <c r="J407" s="246"/>
      <c r="K407" s="216"/>
      <c r="L407" s="246"/>
      <c r="M407" s="89"/>
      <c r="N407" s="89"/>
      <c r="O407" s="89"/>
      <c r="P407" s="89"/>
      <c r="Q407" s="89"/>
      <c r="R407" s="89"/>
      <c r="S407" s="246"/>
      <c r="T407" s="246"/>
      <c r="U407" s="246"/>
      <c r="V407" s="89"/>
      <c r="W407" s="246"/>
    </row>
    <row r="408" spans="2:23" ht="15.75" customHeight="1">
      <c r="B408" s="216"/>
      <c r="C408" s="89"/>
      <c r="D408" s="89"/>
      <c r="E408" s="89"/>
      <c r="F408" s="89"/>
      <c r="G408" s="89"/>
      <c r="H408" s="246"/>
      <c r="I408" s="246"/>
      <c r="J408" s="246"/>
      <c r="K408" s="216"/>
      <c r="L408" s="246"/>
      <c r="M408" s="89"/>
      <c r="N408" s="89"/>
      <c r="O408" s="89"/>
      <c r="P408" s="89"/>
      <c r="Q408" s="89"/>
      <c r="R408" s="89"/>
      <c r="S408" s="246"/>
      <c r="T408" s="246"/>
      <c r="U408" s="246"/>
      <c r="V408" s="89"/>
      <c r="W408" s="246"/>
    </row>
    <row r="409" spans="2:23" ht="15.75" customHeight="1">
      <c r="B409" s="216"/>
      <c r="C409" s="89"/>
      <c r="D409" s="89"/>
      <c r="E409" s="89"/>
      <c r="F409" s="89"/>
      <c r="G409" s="89"/>
      <c r="H409" s="246"/>
      <c r="I409" s="246"/>
      <c r="J409" s="246"/>
      <c r="K409" s="216"/>
      <c r="L409" s="246"/>
      <c r="M409" s="89"/>
      <c r="N409" s="89"/>
      <c r="O409" s="89"/>
      <c r="P409" s="89"/>
      <c r="Q409" s="89"/>
      <c r="R409" s="89"/>
      <c r="S409" s="246"/>
      <c r="T409" s="246"/>
      <c r="U409" s="246"/>
      <c r="V409" s="89"/>
      <c r="W409" s="246"/>
    </row>
    <row r="410" spans="2:23" ht="15.75" customHeight="1">
      <c r="B410" s="216"/>
      <c r="C410" s="89"/>
      <c r="D410" s="89"/>
      <c r="E410" s="89"/>
      <c r="F410" s="89"/>
      <c r="G410" s="89"/>
      <c r="H410" s="246"/>
      <c r="I410" s="246"/>
      <c r="J410" s="246"/>
      <c r="K410" s="216"/>
      <c r="L410" s="246"/>
      <c r="M410" s="89"/>
      <c r="N410" s="89"/>
      <c r="O410" s="89"/>
      <c r="P410" s="89"/>
      <c r="Q410" s="89"/>
      <c r="R410" s="89"/>
      <c r="S410" s="246"/>
      <c r="T410" s="246"/>
      <c r="U410" s="246"/>
      <c r="V410" s="89"/>
      <c r="W410" s="246"/>
    </row>
    <row r="411" spans="2:23" ht="15.75" customHeight="1">
      <c r="B411" s="216"/>
      <c r="C411" s="89"/>
      <c r="D411" s="89"/>
      <c r="E411" s="89"/>
      <c r="F411" s="89"/>
      <c r="G411" s="89"/>
      <c r="H411" s="246"/>
      <c r="I411" s="246"/>
      <c r="J411" s="246"/>
      <c r="K411" s="216"/>
      <c r="L411" s="246"/>
      <c r="M411" s="89"/>
      <c r="N411" s="89"/>
      <c r="O411" s="89"/>
      <c r="P411" s="89"/>
      <c r="Q411" s="89"/>
      <c r="R411" s="89"/>
      <c r="S411" s="246"/>
      <c r="T411" s="246"/>
      <c r="U411" s="246"/>
      <c r="V411" s="89"/>
      <c r="W411" s="246"/>
    </row>
    <row r="412" spans="2:23" ht="15.75" customHeight="1">
      <c r="B412" s="216"/>
      <c r="C412" s="89"/>
      <c r="D412" s="89"/>
      <c r="E412" s="89"/>
      <c r="F412" s="89"/>
      <c r="G412" s="89"/>
      <c r="H412" s="246"/>
      <c r="I412" s="246"/>
      <c r="J412" s="246"/>
      <c r="K412" s="216"/>
      <c r="L412" s="246"/>
      <c r="M412" s="89"/>
      <c r="N412" s="89"/>
      <c r="O412" s="89"/>
      <c r="P412" s="89"/>
      <c r="Q412" s="89"/>
      <c r="R412" s="89"/>
      <c r="S412" s="246"/>
      <c r="T412" s="246"/>
      <c r="U412" s="246"/>
      <c r="V412" s="89"/>
      <c r="W412" s="246"/>
    </row>
    <row r="413" spans="2:23" ht="15.75" customHeight="1">
      <c r="B413" s="216"/>
      <c r="C413" s="89"/>
      <c r="D413" s="89"/>
      <c r="E413" s="89"/>
      <c r="F413" s="89"/>
      <c r="G413" s="89"/>
      <c r="H413" s="246"/>
      <c r="I413" s="246"/>
      <c r="J413" s="246"/>
      <c r="K413" s="216"/>
      <c r="L413" s="246"/>
      <c r="M413" s="89"/>
      <c r="N413" s="89"/>
      <c r="O413" s="89"/>
      <c r="P413" s="89"/>
      <c r="Q413" s="89"/>
      <c r="R413" s="89"/>
      <c r="S413" s="246"/>
      <c r="T413" s="246"/>
      <c r="U413" s="246"/>
      <c r="V413" s="89"/>
      <c r="W413" s="246"/>
    </row>
    <row r="414" spans="2:23" ht="15.75" customHeight="1">
      <c r="B414" s="216"/>
      <c r="C414" s="89"/>
      <c r="D414" s="89"/>
      <c r="E414" s="89"/>
      <c r="F414" s="89"/>
      <c r="G414" s="89"/>
      <c r="H414" s="246"/>
      <c r="I414" s="246"/>
      <c r="J414" s="246"/>
      <c r="K414" s="216"/>
      <c r="L414" s="246"/>
      <c r="M414" s="89"/>
      <c r="N414" s="89"/>
      <c r="O414" s="89"/>
      <c r="P414" s="89"/>
      <c r="Q414" s="89"/>
      <c r="R414" s="89"/>
      <c r="S414" s="246"/>
      <c r="T414" s="246"/>
      <c r="U414" s="246"/>
      <c r="V414" s="89"/>
      <c r="W414" s="246"/>
    </row>
    <row r="415" spans="2:23" ht="15.75" customHeight="1">
      <c r="B415" s="216"/>
      <c r="C415" s="89"/>
      <c r="D415" s="89"/>
      <c r="E415" s="89"/>
      <c r="F415" s="89"/>
      <c r="G415" s="89"/>
      <c r="H415" s="246"/>
      <c r="I415" s="246"/>
      <c r="J415" s="246"/>
      <c r="K415" s="216"/>
      <c r="L415" s="246"/>
      <c r="M415" s="89"/>
      <c r="N415" s="89"/>
      <c r="O415" s="89"/>
      <c r="P415" s="89"/>
      <c r="Q415" s="89"/>
      <c r="R415" s="89"/>
      <c r="S415" s="246"/>
      <c r="T415" s="246"/>
      <c r="U415" s="246"/>
      <c r="V415" s="89"/>
      <c r="W415" s="246"/>
    </row>
    <row r="416" spans="2:23" ht="15.75" customHeight="1">
      <c r="B416" s="216"/>
      <c r="C416" s="89"/>
      <c r="D416" s="89"/>
      <c r="E416" s="89"/>
      <c r="F416" s="89"/>
      <c r="G416" s="89"/>
      <c r="H416" s="246"/>
      <c r="I416" s="246"/>
      <c r="J416" s="246"/>
      <c r="K416" s="216"/>
      <c r="L416" s="246"/>
      <c r="M416" s="89"/>
      <c r="N416" s="89"/>
      <c r="O416" s="89"/>
      <c r="P416" s="89"/>
      <c r="Q416" s="89"/>
      <c r="R416" s="89"/>
      <c r="S416" s="246"/>
      <c r="T416" s="246"/>
      <c r="U416" s="246"/>
      <c r="V416" s="89"/>
      <c r="W416" s="246"/>
    </row>
    <row r="417" spans="2:23" ht="15.75" customHeight="1">
      <c r="B417" s="216"/>
      <c r="C417" s="89"/>
      <c r="D417" s="89"/>
      <c r="E417" s="89"/>
      <c r="F417" s="89"/>
      <c r="G417" s="89"/>
      <c r="H417" s="246"/>
      <c r="I417" s="246"/>
      <c r="J417" s="246"/>
      <c r="K417" s="216"/>
      <c r="L417" s="246"/>
      <c r="M417" s="89"/>
      <c r="N417" s="89"/>
      <c r="O417" s="89"/>
      <c r="P417" s="89"/>
      <c r="Q417" s="89"/>
      <c r="R417" s="89"/>
      <c r="S417" s="246"/>
      <c r="T417" s="246"/>
      <c r="U417" s="246"/>
      <c r="V417" s="89"/>
      <c r="W417" s="246"/>
    </row>
    <row r="418" spans="2:23" ht="15.75" customHeight="1">
      <c r="B418" s="216"/>
      <c r="C418" s="89"/>
      <c r="D418" s="89"/>
      <c r="E418" s="89"/>
      <c r="F418" s="89"/>
      <c r="G418" s="89"/>
      <c r="H418" s="246"/>
      <c r="I418" s="246"/>
      <c r="J418" s="246"/>
      <c r="K418" s="216"/>
      <c r="L418" s="246"/>
      <c r="M418" s="89"/>
      <c r="N418" s="89"/>
      <c r="O418" s="89"/>
      <c r="P418" s="89"/>
      <c r="Q418" s="89"/>
      <c r="R418" s="89"/>
      <c r="S418" s="246"/>
      <c r="T418" s="246"/>
      <c r="U418" s="246"/>
      <c r="V418" s="89"/>
      <c r="W418" s="246"/>
    </row>
    <row r="419" spans="2:23" ht="15.75" customHeight="1">
      <c r="B419" s="216"/>
      <c r="C419" s="89"/>
      <c r="D419" s="89"/>
      <c r="E419" s="89"/>
      <c r="F419" s="89"/>
      <c r="G419" s="89"/>
      <c r="H419" s="246"/>
      <c r="I419" s="246"/>
      <c r="J419" s="246"/>
      <c r="K419" s="216"/>
      <c r="L419" s="246"/>
      <c r="M419" s="89"/>
      <c r="N419" s="89"/>
      <c r="O419" s="89"/>
      <c r="P419" s="89"/>
      <c r="Q419" s="89"/>
      <c r="R419" s="89"/>
      <c r="S419" s="246"/>
      <c r="T419" s="246"/>
      <c r="U419" s="246"/>
      <c r="V419" s="89"/>
      <c r="W419" s="246"/>
    </row>
    <row r="420" spans="2:23" ht="15.75" customHeight="1">
      <c r="B420" s="216"/>
      <c r="C420" s="89"/>
      <c r="D420" s="89"/>
      <c r="E420" s="89"/>
      <c r="F420" s="89"/>
      <c r="G420" s="89"/>
      <c r="H420" s="246"/>
      <c r="I420" s="246"/>
      <c r="J420" s="246"/>
      <c r="K420" s="216"/>
      <c r="L420" s="246"/>
      <c r="M420" s="89"/>
      <c r="N420" s="89"/>
      <c r="O420" s="89"/>
      <c r="P420" s="89"/>
      <c r="Q420" s="89"/>
      <c r="R420" s="89"/>
      <c r="S420" s="246"/>
      <c r="T420" s="246"/>
      <c r="U420" s="246"/>
      <c r="V420" s="89"/>
      <c r="W420" s="246"/>
    </row>
    <row r="421" spans="2:23" ht="15.75" customHeight="1">
      <c r="B421" s="216"/>
      <c r="C421" s="89"/>
      <c r="D421" s="89"/>
      <c r="E421" s="89"/>
      <c r="F421" s="89"/>
      <c r="G421" s="89"/>
      <c r="H421" s="246"/>
      <c r="I421" s="246"/>
      <c r="J421" s="246"/>
      <c r="K421" s="216"/>
      <c r="L421" s="246"/>
      <c r="M421" s="89"/>
      <c r="N421" s="89"/>
      <c r="O421" s="89"/>
      <c r="P421" s="89"/>
      <c r="Q421" s="89"/>
      <c r="R421" s="89"/>
      <c r="S421" s="246"/>
      <c r="T421" s="246"/>
      <c r="U421" s="246"/>
      <c r="V421" s="89"/>
      <c r="W421" s="246"/>
    </row>
    <row r="422" spans="2:23" ht="15.75" customHeight="1">
      <c r="B422" s="216"/>
      <c r="C422" s="89"/>
      <c r="D422" s="89"/>
      <c r="E422" s="89"/>
      <c r="F422" s="89"/>
      <c r="G422" s="89"/>
      <c r="H422" s="246"/>
      <c r="I422" s="246"/>
      <c r="J422" s="246"/>
      <c r="K422" s="216"/>
      <c r="L422" s="246"/>
      <c r="M422" s="89"/>
      <c r="N422" s="89"/>
      <c r="O422" s="89"/>
      <c r="P422" s="89"/>
      <c r="Q422" s="89"/>
      <c r="R422" s="89"/>
      <c r="S422" s="246"/>
      <c r="T422" s="246"/>
      <c r="U422" s="246"/>
      <c r="V422" s="89"/>
      <c r="W422" s="246"/>
    </row>
    <row r="423" spans="2:23" ht="15.75" customHeight="1">
      <c r="B423" s="216"/>
      <c r="C423" s="89"/>
      <c r="D423" s="89"/>
      <c r="E423" s="89"/>
      <c r="F423" s="89"/>
      <c r="G423" s="89"/>
      <c r="H423" s="246"/>
      <c r="I423" s="246"/>
      <c r="J423" s="246"/>
      <c r="K423" s="216"/>
      <c r="L423" s="246"/>
      <c r="M423" s="89"/>
      <c r="N423" s="89"/>
      <c r="O423" s="89"/>
      <c r="P423" s="89"/>
      <c r="Q423" s="89"/>
      <c r="R423" s="89"/>
      <c r="S423" s="246"/>
      <c r="T423" s="246"/>
      <c r="U423" s="246"/>
      <c r="V423" s="89"/>
      <c r="W423" s="246"/>
    </row>
    <row r="424" spans="2:23" ht="15.75" customHeight="1">
      <c r="B424" s="216"/>
      <c r="C424" s="89"/>
      <c r="D424" s="89"/>
      <c r="E424" s="89"/>
      <c r="F424" s="89"/>
      <c r="G424" s="89"/>
      <c r="H424" s="246"/>
      <c r="I424" s="246"/>
      <c r="J424" s="246"/>
      <c r="K424" s="216"/>
      <c r="L424" s="246"/>
      <c r="M424" s="89"/>
      <c r="N424" s="89"/>
      <c r="O424" s="89"/>
      <c r="P424" s="89"/>
      <c r="Q424" s="89"/>
      <c r="R424" s="89"/>
      <c r="S424" s="246"/>
      <c r="T424" s="246"/>
      <c r="U424" s="246"/>
      <c r="V424" s="89"/>
      <c r="W424" s="246"/>
    </row>
    <row r="425" spans="2:23" ht="15.75" customHeight="1">
      <c r="B425" s="216"/>
      <c r="C425" s="89"/>
      <c r="D425" s="89"/>
      <c r="E425" s="89"/>
      <c r="F425" s="89"/>
      <c r="G425" s="89"/>
      <c r="H425" s="246"/>
      <c r="I425" s="246"/>
      <c r="J425" s="246"/>
      <c r="K425" s="216"/>
      <c r="L425" s="246"/>
      <c r="M425" s="89"/>
      <c r="N425" s="89"/>
      <c r="O425" s="89"/>
      <c r="P425" s="89"/>
      <c r="Q425" s="89"/>
      <c r="R425" s="89"/>
      <c r="S425" s="246"/>
      <c r="T425" s="246"/>
      <c r="U425" s="246"/>
      <c r="V425" s="89"/>
      <c r="W425" s="246"/>
    </row>
    <row r="426" spans="2:23" ht="15.75" customHeight="1">
      <c r="B426" s="216"/>
      <c r="C426" s="89"/>
      <c r="D426" s="89"/>
      <c r="E426" s="89"/>
      <c r="F426" s="89"/>
      <c r="G426" s="89"/>
      <c r="H426" s="246"/>
      <c r="I426" s="246"/>
      <c r="J426" s="246"/>
      <c r="K426" s="216"/>
      <c r="L426" s="246"/>
      <c r="M426" s="89"/>
      <c r="N426" s="89"/>
      <c r="O426" s="89"/>
      <c r="P426" s="89"/>
      <c r="Q426" s="89"/>
      <c r="R426" s="89"/>
      <c r="S426" s="246"/>
      <c r="T426" s="246"/>
      <c r="U426" s="246"/>
      <c r="V426" s="89"/>
      <c r="W426" s="246"/>
    </row>
    <row r="427" spans="2:23" ht="15.75" customHeight="1">
      <c r="B427" s="216"/>
      <c r="C427" s="89"/>
      <c r="D427" s="89"/>
      <c r="E427" s="89"/>
      <c r="F427" s="89"/>
      <c r="G427" s="89"/>
      <c r="H427" s="246"/>
      <c r="I427" s="246"/>
      <c r="J427" s="246"/>
      <c r="K427" s="216"/>
      <c r="L427" s="246"/>
      <c r="M427" s="89"/>
      <c r="N427" s="89"/>
      <c r="O427" s="89"/>
      <c r="P427" s="89"/>
      <c r="Q427" s="89"/>
      <c r="R427" s="89"/>
      <c r="S427" s="246"/>
      <c r="T427" s="246"/>
      <c r="U427" s="246"/>
      <c r="V427" s="89"/>
      <c r="W427" s="246"/>
    </row>
    <row r="428" spans="2:23" ht="15.75" customHeight="1">
      <c r="B428" s="216"/>
      <c r="C428" s="89"/>
      <c r="D428" s="89"/>
      <c r="E428" s="89"/>
      <c r="F428" s="89"/>
      <c r="G428" s="89"/>
      <c r="H428" s="246"/>
      <c r="I428" s="246"/>
      <c r="J428" s="246"/>
      <c r="K428" s="216"/>
      <c r="L428" s="246"/>
      <c r="M428" s="89"/>
      <c r="N428" s="89"/>
      <c r="O428" s="89"/>
      <c r="P428" s="89"/>
      <c r="Q428" s="89"/>
      <c r="R428" s="89"/>
      <c r="S428" s="246"/>
      <c r="T428" s="246"/>
      <c r="U428" s="246"/>
      <c r="V428" s="89"/>
      <c r="W428" s="246"/>
    </row>
    <row r="429" spans="2:23" ht="15.75" customHeight="1">
      <c r="B429" s="216"/>
      <c r="C429" s="89"/>
      <c r="D429" s="89"/>
      <c r="E429" s="89"/>
      <c r="F429" s="89"/>
      <c r="G429" s="89"/>
      <c r="H429" s="246"/>
      <c r="I429" s="246"/>
      <c r="J429" s="246"/>
      <c r="K429" s="216"/>
      <c r="L429" s="246"/>
      <c r="M429" s="89"/>
      <c r="N429" s="89"/>
      <c r="O429" s="89"/>
      <c r="P429" s="89"/>
      <c r="Q429" s="89"/>
      <c r="R429" s="89"/>
      <c r="S429" s="246"/>
      <c r="T429" s="246"/>
      <c r="U429" s="246"/>
      <c r="V429" s="89"/>
      <c r="W429" s="246"/>
    </row>
    <row r="430" spans="2:23" ht="15.75" customHeight="1">
      <c r="B430" s="216"/>
      <c r="C430" s="89"/>
      <c r="D430" s="89"/>
      <c r="E430" s="89"/>
      <c r="F430" s="89"/>
      <c r="G430" s="89"/>
      <c r="H430" s="246"/>
      <c r="I430" s="246"/>
      <c r="J430" s="246"/>
      <c r="K430" s="216"/>
      <c r="L430" s="246"/>
      <c r="M430" s="89"/>
      <c r="N430" s="89"/>
      <c r="O430" s="89"/>
      <c r="P430" s="89"/>
      <c r="Q430" s="89"/>
      <c r="R430" s="89"/>
      <c r="S430" s="246"/>
      <c r="T430" s="246"/>
      <c r="U430" s="246"/>
      <c r="V430" s="89"/>
      <c r="W430" s="246"/>
    </row>
    <row r="431" spans="2:23" ht="15.75" customHeight="1">
      <c r="B431" s="216"/>
      <c r="C431" s="89"/>
      <c r="D431" s="89"/>
      <c r="E431" s="89"/>
      <c r="F431" s="89"/>
      <c r="G431" s="89"/>
      <c r="H431" s="246"/>
      <c r="I431" s="246"/>
      <c r="J431" s="246"/>
      <c r="K431" s="216"/>
      <c r="L431" s="246"/>
      <c r="M431" s="89"/>
      <c r="N431" s="89"/>
      <c r="O431" s="89"/>
      <c r="P431" s="89"/>
      <c r="Q431" s="89"/>
      <c r="R431" s="89"/>
      <c r="S431" s="246"/>
      <c r="T431" s="246"/>
      <c r="U431" s="246"/>
      <c r="V431" s="89"/>
      <c r="W431" s="246"/>
    </row>
    <row r="432" spans="2:23" ht="15.75" customHeight="1">
      <c r="B432" s="216"/>
      <c r="C432" s="89"/>
      <c r="D432" s="89"/>
      <c r="E432" s="89"/>
      <c r="F432" s="89"/>
      <c r="G432" s="89"/>
      <c r="H432" s="246"/>
      <c r="I432" s="246"/>
      <c r="J432" s="246"/>
      <c r="K432" s="216"/>
      <c r="L432" s="246"/>
      <c r="M432" s="89"/>
      <c r="N432" s="89"/>
      <c r="O432" s="89"/>
      <c r="P432" s="89"/>
      <c r="Q432" s="89"/>
      <c r="R432" s="89"/>
      <c r="S432" s="246"/>
      <c r="T432" s="246"/>
      <c r="U432" s="246"/>
      <c r="V432" s="89"/>
      <c r="W432" s="246"/>
    </row>
    <row r="433" spans="2:23" ht="15.75" customHeight="1">
      <c r="B433" s="216"/>
      <c r="C433" s="89"/>
      <c r="D433" s="89"/>
      <c r="E433" s="89"/>
      <c r="F433" s="89"/>
      <c r="G433" s="89"/>
      <c r="H433" s="246"/>
      <c r="I433" s="246"/>
      <c r="J433" s="246"/>
      <c r="K433" s="216"/>
      <c r="L433" s="246"/>
      <c r="M433" s="89"/>
      <c r="N433" s="89"/>
      <c r="O433" s="89"/>
      <c r="P433" s="89"/>
      <c r="Q433" s="89"/>
      <c r="R433" s="89"/>
      <c r="S433" s="246"/>
      <c r="T433" s="246"/>
      <c r="U433" s="246"/>
      <c r="V433" s="89"/>
      <c r="W433" s="246"/>
    </row>
    <row r="434" spans="2:23" ht="15.75" customHeight="1">
      <c r="B434" s="216"/>
      <c r="C434" s="89"/>
      <c r="D434" s="89"/>
      <c r="E434" s="89"/>
      <c r="F434" s="89"/>
      <c r="G434" s="89"/>
      <c r="H434" s="246"/>
      <c r="I434" s="246"/>
      <c r="J434" s="246"/>
      <c r="K434" s="216"/>
      <c r="L434" s="246"/>
      <c r="M434" s="89"/>
      <c r="N434" s="89"/>
      <c r="O434" s="89"/>
      <c r="P434" s="89"/>
      <c r="Q434" s="89"/>
      <c r="R434" s="89"/>
      <c r="S434" s="246"/>
      <c r="T434" s="246"/>
      <c r="U434" s="246"/>
      <c r="V434" s="89"/>
      <c r="W434" s="246"/>
    </row>
    <row r="435" spans="2:23" ht="15.75" customHeight="1">
      <c r="B435" s="216"/>
      <c r="C435" s="89"/>
      <c r="D435" s="89"/>
      <c r="E435" s="89"/>
      <c r="F435" s="89"/>
      <c r="G435" s="89"/>
      <c r="H435" s="246"/>
      <c r="I435" s="246"/>
      <c r="J435" s="246"/>
      <c r="K435" s="216"/>
      <c r="L435" s="246"/>
      <c r="M435" s="89"/>
      <c r="N435" s="89"/>
      <c r="O435" s="89"/>
      <c r="P435" s="89"/>
      <c r="Q435" s="89"/>
      <c r="R435" s="89"/>
      <c r="S435" s="246"/>
      <c r="T435" s="246"/>
      <c r="U435" s="246"/>
      <c r="V435" s="89"/>
      <c r="W435" s="246"/>
    </row>
    <row r="436" spans="2:23" ht="15.75" customHeight="1">
      <c r="B436" s="216"/>
      <c r="C436" s="89"/>
      <c r="D436" s="89"/>
      <c r="E436" s="89"/>
      <c r="F436" s="89"/>
      <c r="G436" s="89"/>
      <c r="H436" s="246"/>
      <c r="I436" s="246"/>
      <c r="J436" s="246"/>
      <c r="K436" s="216"/>
      <c r="L436" s="246"/>
      <c r="M436" s="89"/>
      <c r="N436" s="89"/>
      <c r="O436" s="89"/>
      <c r="P436" s="89"/>
      <c r="Q436" s="89"/>
      <c r="R436" s="89"/>
      <c r="S436" s="246"/>
      <c r="T436" s="246"/>
      <c r="U436" s="246"/>
      <c r="V436" s="89"/>
      <c r="W436" s="246"/>
    </row>
    <row r="437" spans="2:23" ht="15.75" customHeight="1">
      <c r="B437" s="216"/>
      <c r="C437" s="89"/>
      <c r="D437" s="89"/>
      <c r="E437" s="89"/>
      <c r="F437" s="89"/>
      <c r="G437" s="89"/>
      <c r="H437" s="246"/>
      <c r="I437" s="246"/>
      <c r="J437" s="246"/>
      <c r="K437" s="216"/>
      <c r="L437" s="246"/>
      <c r="M437" s="89"/>
      <c r="N437" s="89"/>
      <c r="O437" s="89"/>
      <c r="P437" s="89"/>
      <c r="Q437" s="89"/>
      <c r="R437" s="89"/>
      <c r="S437" s="246"/>
      <c r="T437" s="246"/>
      <c r="U437" s="246"/>
      <c r="V437" s="89"/>
      <c r="W437" s="246"/>
    </row>
    <row r="438" spans="2:23" ht="15.75" customHeight="1">
      <c r="B438" s="216"/>
      <c r="C438" s="89"/>
      <c r="D438" s="89"/>
      <c r="E438" s="89"/>
      <c r="F438" s="89"/>
      <c r="G438" s="89"/>
      <c r="H438" s="246"/>
      <c r="I438" s="246"/>
      <c r="J438" s="246"/>
      <c r="K438" s="216"/>
      <c r="L438" s="246"/>
      <c r="M438" s="89"/>
      <c r="N438" s="89"/>
      <c r="O438" s="89"/>
      <c r="P438" s="89"/>
      <c r="Q438" s="89"/>
      <c r="R438" s="89"/>
      <c r="S438" s="246"/>
      <c r="T438" s="246"/>
      <c r="U438" s="246"/>
      <c r="V438" s="89"/>
      <c r="W438" s="246"/>
    </row>
    <row r="439" spans="2:23" ht="15.75" customHeight="1">
      <c r="B439" s="216"/>
      <c r="C439" s="89"/>
      <c r="D439" s="89"/>
      <c r="E439" s="89"/>
      <c r="F439" s="89"/>
      <c r="G439" s="89"/>
      <c r="H439" s="246"/>
      <c r="I439" s="246"/>
      <c r="J439" s="246"/>
      <c r="K439" s="216"/>
      <c r="L439" s="246"/>
      <c r="M439" s="89"/>
      <c r="N439" s="89"/>
      <c r="O439" s="89"/>
      <c r="P439" s="89"/>
      <c r="Q439" s="89"/>
      <c r="R439" s="89"/>
      <c r="S439" s="246"/>
      <c r="T439" s="246"/>
      <c r="U439" s="246"/>
      <c r="V439" s="89"/>
      <c r="W439" s="246"/>
    </row>
    <row r="440" spans="2:23" ht="15.75" customHeight="1">
      <c r="B440" s="216"/>
      <c r="C440" s="89"/>
      <c r="D440" s="89"/>
      <c r="E440" s="89"/>
      <c r="F440" s="89"/>
      <c r="G440" s="89"/>
      <c r="H440" s="246"/>
      <c r="I440" s="246"/>
      <c r="J440" s="246"/>
      <c r="K440" s="216"/>
      <c r="L440" s="246"/>
      <c r="M440" s="89"/>
      <c r="N440" s="89"/>
      <c r="O440" s="89"/>
      <c r="P440" s="89"/>
      <c r="Q440" s="89"/>
      <c r="R440" s="89"/>
      <c r="S440" s="246"/>
      <c r="T440" s="246"/>
      <c r="U440" s="246"/>
      <c r="V440" s="89"/>
      <c r="W440" s="246"/>
    </row>
    <row r="441" spans="2:23" ht="15.75" customHeight="1">
      <c r="B441" s="216"/>
      <c r="C441" s="89"/>
      <c r="D441" s="89"/>
      <c r="E441" s="89"/>
      <c r="F441" s="89"/>
      <c r="G441" s="89"/>
      <c r="H441" s="246"/>
      <c r="I441" s="246"/>
      <c r="J441" s="246"/>
      <c r="K441" s="216"/>
      <c r="L441" s="246"/>
      <c r="M441" s="89"/>
      <c r="N441" s="89"/>
      <c r="O441" s="89"/>
      <c r="P441" s="89"/>
      <c r="Q441" s="89"/>
      <c r="R441" s="89"/>
      <c r="S441" s="246"/>
      <c r="T441" s="246"/>
      <c r="U441" s="246"/>
      <c r="V441" s="89"/>
      <c r="W441" s="246"/>
    </row>
    <row r="442" spans="2:23" ht="15.75" customHeight="1">
      <c r="B442" s="216"/>
      <c r="C442" s="89"/>
      <c r="D442" s="89"/>
      <c r="E442" s="89"/>
      <c r="F442" s="89"/>
      <c r="G442" s="89"/>
      <c r="H442" s="246"/>
      <c r="I442" s="246"/>
      <c r="J442" s="246"/>
      <c r="K442" s="216"/>
      <c r="L442" s="246"/>
      <c r="M442" s="89"/>
      <c r="N442" s="89"/>
      <c r="O442" s="89"/>
      <c r="P442" s="89"/>
      <c r="Q442" s="89"/>
      <c r="R442" s="89"/>
      <c r="S442" s="246"/>
      <c r="T442" s="246"/>
      <c r="U442" s="246"/>
      <c r="V442" s="89"/>
      <c r="W442" s="246"/>
    </row>
    <row r="443" spans="2:23" ht="15.75" customHeight="1">
      <c r="B443" s="216"/>
      <c r="C443" s="89"/>
      <c r="D443" s="89"/>
      <c r="E443" s="89"/>
      <c r="F443" s="89"/>
      <c r="G443" s="89"/>
      <c r="H443" s="246"/>
      <c r="I443" s="246"/>
      <c r="J443" s="246"/>
      <c r="K443" s="216"/>
      <c r="L443" s="246"/>
      <c r="M443" s="89"/>
      <c r="N443" s="89"/>
      <c r="O443" s="89"/>
      <c r="P443" s="89"/>
      <c r="Q443" s="89"/>
      <c r="R443" s="89"/>
      <c r="S443" s="246"/>
      <c r="T443" s="246"/>
      <c r="U443" s="246"/>
      <c r="V443" s="89"/>
      <c r="W443" s="246"/>
    </row>
    <row r="444" spans="2:23" ht="15.75" customHeight="1">
      <c r="B444" s="216"/>
      <c r="C444" s="89"/>
      <c r="D444" s="89"/>
      <c r="E444" s="89"/>
      <c r="F444" s="89"/>
      <c r="G444" s="89"/>
      <c r="H444" s="246"/>
      <c r="I444" s="246"/>
      <c r="J444" s="246"/>
      <c r="K444" s="216"/>
      <c r="L444" s="246"/>
      <c r="M444" s="89"/>
      <c r="N444" s="89"/>
      <c r="O444" s="89"/>
      <c r="P444" s="89"/>
      <c r="Q444" s="89"/>
      <c r="R444" s="89"/>
      <c r="S444" s="246"/>
      <c r="T444" s="246"/>
      <c r="U444" s="246"/>
      <c r="V444" s="89"/>
      <c r="W444" s="246"/>
    </row>
    <row r="445" spans="2:23" ht="15.75" customHeight="1">
      <c r="B445" s="216"/>
      <c r="C445" s="89"/>
      <c r="D445" s="89"/>
      <c r="E445" s="89"/>
      <c r="F445" s="89"/>
      <c r="G445" s="89"/>
      <c r="H445" s="246"/>
      <c r="I445" s="246"/>
      <c r="J445" s="246"/>
      <c r="K445" s="216"/>
      <c r="L445" s="246"/>
      <c r="M445" s="89"/>
      <c r="N445" s="89"/>
      <c r="O445" s="89"/>
      <c r="P445" s="89"/>
      <c r="Q445" s="89"/>
      <c r="R445" s="89"/>
      <c r="S445" s="246"/>
      <c r="T445" s="246"/>
      <c r="U445" s="246"/>
      <c r="V445" s="89"/>
      <c r="W445" s="246"/>
    </row>
    <row r="446" spans="2:23" ht="15.75" customHeight="1">
      <c r="B446" s="216"/>
      <c r="C446" s="89"/>
      <c r="D446" s="89"/>
      <c r="E446" s="89"/>
      <c r="F446" s="89"/>
      <c r="G446" s="89"/>
      <c r="H446" s="246"/>
      <c r="I446" s="246"/>
      <c r="J446" s="246"/>
      <c r="K446" s="216"/>
      <c r="L446" s="246"/>
      <c r="M446" s="89"/>
      <c r="N446" s="89"/>
      <c r="O446" s="89"/>
      <c r="P446" s="89"/>
      <c r="Q446" s="89"/>
      <c r="R446" s="89"/>
      <c r="S446" s="246"/>
      <c r="T446" s="246"/>
      <c r="U446" s="246"/>
      <c r="V446" s="89"/>
      <c r="W446" s="246"/>
    </row>
    <row r="447" spans="2:23" ht="15.75" customHeight="1">
      <c r="B447" s="216"/>
      <c r="C447" s="89"/>
      <c r="D447" s="89"/>
      <c r="E447" s="89"/>
      <c r="F447" s="89"/>
      <c r="G447" s="89"/>
      <c r="H447" s="246"/>
      <c r="I447" s="246"/>
      <c r="J447" s="246"/>
      <c r="K447" s="216"/>
      <c r="L447" s="246"/>
      <c r="M447" s="89"/>
      <c r="N447" s="89"/>
      <c r="O447" s="89"/>
      <c r="P447" s="89"/>
      <c r="Q447" s="89"/>
      <c r="R447" s="89"/>
      <c r="S447" s="246"/>
      <c r="T447" s="246"/>
      <c r="U447" s="246"/>
      <c r="V447" s="89"/>
      <c r="W447" s="246"/>
    </row>
    <row r="448" spans="2:23" ht="15.75" customHeight="1">
      <c r="B448" s="216"/>
      <c r="C448" s="89"/>
      <c r="D448" s="89"/>
      <c r="E448" s="89"/>
      <c r="F448" s="89"/>
      <c r="G448" s="89"/>
      <c r="H448" s="246"/>
      <c r="I448" s="246"/>
      <c r="J448" s="246"/>
      <c r="K448" s="216"/>
      <c r="L448" s="246"/>
      <c r="M448" s="89"/>
      <c r="N448" s="89"/>
      <c r="O448" s="89"/>
      <c r="P448" s="89"/>
      <c r="Q448" s="89"/>
      <c r="R448" s="89"/>
      <c r="S448" s="246"/>
      <c r="T448" s="246"/>
      <c r="U448" s="246"/>
      <c r="V448" s="89"/>
      <c r="W448" s="246"/>
    </row>
    <row r="449" spans="2:23" ht="15.75" customHeight="1">
      <c r="B449" s="216"/>
      <c r="C449" s="89"/>
      <c r="D449" s="89"/>
      <c r="E449" s="89"/>
      <c r="F449" s="89"/>
      <c r="G449" s="89"/>
      <c r="H449" s="246"/>
      <c r="I449" s="246"/>
      <c r="J449" s="246"/>
      <c r="K449" s="216"/>
      <c r="L449" s="246"/>
      <c r="M449" s="89"/>
      <c r="N449" s="89"/>
      <c r="O449" s="89"/>
      <c r="P449" s="89"/>
      <c r="Q449" s="89"/>
      <c r="R449" s="89"/>
      <c r="S449" s="246"/>
      <c r="T449" s="246"/>
      <c r="U449" s="246"/>
      <c r="V449" s="89"/>
      <c r="W449" s="246"/>
    </row>
    <row r="450" spans="2:23" ht="15.75" customHeight="1">
      <c r="B450" s="216"/>
      <c r="C450" s="89"/>
      <c r="D450" s="89"/>
      <c r="E450" s="89"/>
      <c r="F450" s="89"/>
      <c r="G450" s="89"/>
      <c r="H450" s="246"/>
      <c r="I450" s="246"/>
      <c r="J450" s="246"/>
      <c r="K450" s="216"/>
      <c r="L450" s="246"/>
      <c r="M450" s="89"/>
      <c r="N450" s="89"/>
      <c r="O450" s="89"/>
      <c r="P450" s="89"/>
      <c r="Q450" s="89"/>
      <c r="R450" s="89"/>
      <c r="S450" s="246"/>
      <c r="T450" s="246"/>
      <c r="U450" s="246"/>
      <c r="V450" s="89"/>
      <c r="W450" s="246"/>
    </row>
    <row r="451" spans="2:23" ht="15.75" customHeight="1">
      <c r="B451" s="216"/>
      <c r="C451" s="89"/>
      <c r="D451" s="89"/>
      <c r="E451" s="89"/>
      <c r="F451" s="89"/>
      <c r="G451" s="89"/>
      <c r="H451" s="246"/>
      <c r="I451" s="246"/>
      <c r="J451" s="246"/>
      <c r="K451" s="216"/>
      <c r="L451" s="246"/>
      <c r="M451" s="89"/>
      <c r="N451" s="89"/>
      <c r="O451" s="89"/>
      <c r="P451" s="89"/>
      <c r="Q451" s="89"/>
      <c r="R451" s="89"/>
      <c r="S451" s="246"/>
      <c r="T451" s="246"/>
      <c r="U451" s="246"/>
      <c r="V451" s="89"/>
      <c r="W451" s="246"/>
    </row>
    <row r="452" spans="2:23" ht="15.75" customHeight="1">
      <c r="B452" s="216"/>
      <c r="C452" s="89"/>
      <c r="D452" s="89"/>
      <c r="E452" s="89"/>
      <c r="F452" s="89"/>
      <c r="G452" s="89"/>
      <c r="H452" s="246"/>
      <c r="I452" s="246"/>
      <c r="J452" s="246"/>
      <c r="K452" s="216"/>
      <c r="L452" s="246"/>
      <c r="M452" s="89"/>
      <c r="N452" s="89"/>
      <c r="O452" s="89"/>
      <c r="P452" s="89"/>
      <c r="Q452" s="89"/>
      <c r="R452" s="89"/>
      <c r="S452" s="246"/>
      <c r="T452" s="246"/>
      <c r="U452" s="246"/>
      <c r="V452" s="89"/>
      <c r="W452" s="246"/>
    </row>
    <row r="453" spans="2:23" ht="15.75" customHeight="1">
      <c r="B453" s="216"/>
      <c r="C453" s="89"/>
      <c r="D453" s="89"/>
      <c r="E453" s="89"/>
      <c r="F453" s="89"/>
      <c r="G453" s="89"/>
      <c r="H453" s="246"/>
      <c r="I453" s="246"/>
      <c r="J453" s="246"/>
      <c r="K453" s="216"/>
      <c r="L453" s="246"/>
      <c r="M453" s="89"/>
      <c r="N453" s="89"/>
      <c r="O453" s="89"/>
      <c r="P453" s="89"/>
      <c r="Q453" s="89"/>
      <c r="R453" s="89"/>
      <c r="S453" s="246"/>
      <c r="T453" s="246"/>
      <c r="U453" s="246"/>
      <c r="V453" s="89"/>
      <c r="W453" s="246"/>
    </row>
    <row r="454" spans="2:23" ht="15.75" customHeight="1">
      <c r="B454" s="216"/>
      <c r="C454" s="89"/>
      <c r="D454" s="89"/>
      <c r="E454" s="89"/>
      <c r="F454" s="89"/>
      <c r="G454" s="89"/>
      <c r="H454" s="246"/>
      <c r="I454" s="246"/>
      <c r="J454" s="246"/>
      <c r="K454" s="216"/>
      <c r="L454" s="246"/>
      <c r="M454" s="89"/>
      <c r="N454" s="89"/>
      <c r="O454" s="89"/>
      <c r="P454" s="89"/>
      <c r="Q454" s="89"/>
      <c r="R454" s="89"/>
      <c r="S454" s="246"/>
      <c r="T454" s="246"/>
      <c r="U454" s="246"/>
      <c r="V454" s="89"/>
      <c r="W454" s="246"/>
    </row>
    <row r="455" spans="2:23" ht="15.75" customHeight="1">
      <c r="B455" s="216"/>
      <c r="C455" s="89"/>
      <c r="D455" s="89"/>
      <c r="E455" s="89"/>
      <c r="F455" s="89"/>
      <c r="G455" s="89"/>
      <c r="H455" s="246"/>
      <c r="I455" s="246"/>
      <c r="J455" s="246"/>
      <c r="K455" s="216"/>
      <c r="L455" s="246"/>
      <c r="M455" s="89"/>
      <c r="N455" s="89"/>
      <c r="O455" s="89"/>
      <c r="P455" s="89"/>
      <c r="Q455" s="89"/>
      <c r="R455" s="89"/>
      <c r="S455" s="246"/>
      <c r="T455" s="246"/>
      <c r="U455" s="246"/>
      <c r="V455" s="89"/>
      <c r="W455" s="246"/>
    </row>
    <row r="456" spans="2:23" ht="15.75" customHeight="1">
      <c r="B456" s="216"/>
      <c r="C456" s="89"/>
      <c r="D456" s="89"/>
      <c r="E456" s="89"/>
      <c r="F456" s="89"/>
      <c r="G456" s="89"/>
      <c r="H456" s="246"/>
      <c r="I456" s="246"/>
      <c r="J456" s="246"/>
      <c r="K456" s="216"/>
      <c r="L456" s="246"/>
      <c r="M456" s="89"/>
      <c r="N456" s="89"/>
      <c r="O456" s="89"/>
      <c r="P456" s="89"/>
      <c r="Q456" s="89"/>
      <c r="R456" s="89"/>
      <c r="S456" s="246"/>
      <c r="T456" s="246"/>
      <c r="U456" s="246"/>
      <c r="V456" s="89"/>
      <c r="W456" s="246"/>
    </row>
    <row r="457" spans="2:23" ht="15.75" customHeight="1">
      <c r="B457" s="216"/>
      <c r="C457" s="89"/>
      <c r="D457" s="89"/>
      <c r="E457" s="89"/>
      <c r="F457" s="89"/>
      <c r="G457" s="89"/>
      <c r="H457" s="246"/>
      <c r="I457" s="246"/>
      <c r="J457" s="246"/>
      <c r="K457" s="216"/>
      <c r="L457" s="246"/>
      <c r="M457" s="89"/>
      <c r="N457" s="89"/>
      <c r="O457" s="89"/>
      <c r="P457" s="89"/>
      <c r="Q457" s="89"/>
      <c r="R457" s="89"/>
      <c r="S457" s="246"/>
      <c r="T457" s="246"/>
      <c r="U457" s="246"/>
      <c r="V457" s="89"/>
      <c r="W457" s="246"/>
    </row>
    <row r="458" spans="2:23" ht="15.75" customHeight="1">
      <c r="B458" s="216"/>
      <c r="C458" s="89"/>
      <c r="D458" s="89"/>
      <c r="E458" s="89"/>
      <c r="F458" s="89"/>
      <c r="G458" s="89"/>
      <c r="H458" s="246"/>
      <c r="I458" s="246"/>
      <c r="J458" s="246"/>
      <c r="K458" s="216"/>
      <c r="L458" s="246"/>
      <c r="M458" s="89"/>
      <c r="N458" s="89"/>
      <c r="O458" s="89"/>
      <c r="P458" s="89"/>
      <c r="Q458" s="89"/>
      <c r="R458" s="89"/>
      <c r="S458" s="246"/>
      <c r="T458" s="246"/>
      <c r="U458" s="246"/>
      <c r="V458" s="89"/>
      <c r="W458" s="246"/>
    </row>
    <row r="459" spans="2:23" ht="15.75" customHeight="1">
      <c r="B459" s="216"/>
      <c r="C459" s="89"/>
      <c r="D459" s="89"/>
      <c r="E459" s="89"/>
      <c r="F459" s="89"/>
      <c r="G459" s="89"/>
      <c r="H459" s="246"/>
      <c r="I459" s="246"/>
      <c r="J459" s="246"/>
      <c r="K459" s="216"/>
      <c r="L459" s="246"/>
      <c r="M459" s="89"/>
      <c r="N459" s="89"/>
      <c r="O459" s="89"/>
      <c r="P459" s="89"/>
      <c r="Q459" s="89"/>
      <c r="R459" s="89"/>
      <c r="S459" s="246"/>
      <c r="T459" s="246"/>
      <c r="U459" s="246"/>
      <c r="V459" s="89"/>
      <c r="W459" s="246"/>
    </row>
    <row r="460" spans="2:23" ht="15.75" customHeight="1">
      <c r="B460" s="216"/>
      <c r="C460" s="89"/>
      <c r="D460" s="89"/>
      <c r="E460" s="89"/>
      <c r="F460" s="89"/>
      <c r="G460" s="89"/>
      <c r="H460" s="246"/>
      <c r="I460" s="246"/>
      <c r="J460" s="246"/>
      <c r="K460" s="216"/>
      <c r="L460" s="246"/>
      <c r="M460" s="89"/>
      <c r="N460" s="89"/>
      <c r="O460" s="89"/>
      <c r="P460" s="89"/>
      <c r="Q460" s="89"/>
      <c r="R460" s="89"/>
      <c r="S460" s="246"/>
      <c r="T460" s="246"/>
      <c r="U460" s="246"/>
      <c r="V460" s="89"/>
      <c r="W460" s="246"/>
    </row>
    <row r="461" spans="2:23" ht="15.75" customHeight="1">
      <c r="B461" s="216"/>
      <c r="C461" s="89"/>
      <c r="D461" s="89"/>
      <c r="E461" s="89"/>
      <c r="F461" s="89"/>
      <c r="G461" s="89"/>
      <c r="H461" s="246"/>
      <c r="I461" s="246"/>
      <c r="J461" s="246"/>
      <c r="K461" s="216"/>
      <c r="L461" s="246"/>
      <c r="M461" s="89"/>
      <c r="N461" s="89"/>
      <c r="O461" s="89"/>
      <c r="P461" s="89"/>
      <c r="Q461" s="89"/>
      <c r="R461" s="89"/>
      <c r="S461" s="246"/>
      <c r="T461" s="246"/>
      <c r="U461" s="246"/>
      <c r="V461" s="89"/>
      <c r="W461" s="246"/>
    </row>
    <row r="462" spans="2:23" ht="15.75" customHeight="1">
      <c r="B462" s="216"/>
      <c r="C462" s="89"/>
      <c r="D462" s="89"/>
      <c r="E462" s="89"/>
      <c r="F462" s="89"/>
      <c r="G462" s="89"/>
      <c r="H462" s="246"/>
      <c r="I462" s="246"/>
      <c r="J462" s="246"/>
      <c r="K462" s="216"/>
      <c r="L462" s="246"/>
      <c r="M462" s="89"/>
      <c r="N462" s="89"/>
      <c r="O462" s="89"/>
      <c r="P462" s="89"/>
      <c r="Q462" s="89"/>
      <c r="R462" s="89"/>
      <c r="S462" s="246"/>
      <c r="T462" s="246"/>
      <c r="U462" s="246"/>
      <c r="V462" s="89"/>
      <c r="W462" s="246"/>
    </row>
    <row r="463" spans="2:23" ht="15.75" customHeight="1">
      <c r="B463" s="216"/>
      <c r="C463" s="89"/>
      <c r="D463" s="89"/>
      <c r="E463" s="89"/>
      <c r="F463" s="89"/>
      <c r="G463" s="89"/>
      <c r="H463" s="246"/>
      <c r="I463" s="246"/>
      <c r="J463" s="246"/>
      <c r="K463" s="216"/>
      <c r="L463" s="246"/>
      <c r="M463" s="89"/>
      <c r="N463" s="89"/>
      <c r="O463" s="89"/>
      <c r="P463" s="89"/>
      <c r="Q463" s="89"/>
      <c r="R463" s="89"/>
      <c r="S463" s="246"/>
      <c r="T463" s="246"/>
      <c r="U463" s="246"/>
      <c r="V463" s="89"/>
      <c r="W463" s="246"/>
    </row>
    <row r="464" spans="2:23" ht="15.75" customHeight="1">
      <c r="B464" s="216"/>
      <c r="C464" s="89"/>
      <c r="D464" s="89"/>
      <c r="E464" s="89"/>
      <c r="F464" s="89"/>
      <c r="G464" s="89"/>
      <c r="H464" s="246"/>
      <c r="I464" s="246"/>
      <c r="J464" s="246"/>
      <c r="K464" s="216"/>
      <c r="L464" s="246"/>
      <c r="M464" s="89"/>
      <c r="N464" s="89"/>
      <c r="O464" s="89"/>
      <c r="P464" s="89"/>
      <c r="Q464" s="89"/>
      <c r="R464" s="89"/>
      <c r="S464" s="246"/>
      <c r="T464" s="246"/>
      <c r="U464" s="246"/>
      <c r="V464" s="89"/>
      <c r="W464" s="246"/>
    </row>
    <row r="465" spans="2:23" ht="15.75" customHeight="1">
      <c r="B465" s="216"/>
      <c r="C465" s="89"/>
      <c r="D465" s="89"/>
      <c r="E465" s="89"/>
      <c r="F465" s="89"/>
      <c r="G465" s="89"/>
      <c r="H465" s="246"/>
      <c r="I465" s="246"/>
      <c r="J465" s="246"/>
      <c r="K465" s="216"/>
      <c r="L465" s="246"/>
      <c r="M465" s="89"/>
      <c r="N465" s="89"/>
      <c r="O465" s="89"/>
      <c r="P465" s="89"/>
      <c r="Q465" s="89"/>
      <c r="R465" s="89"/>
      <c r="S465" s="246"/>
      <c r="T465" s="246"/>
      <c r="U465" s="246"/>
      <c r="V465" s="89"/>
      <c r="W465" s="246"/>
    </row>
    <row r="466" spans="2:23" ht="15.75" customHeight="1">
      <c r="B466" s="216"/>
      <c r="C466" s="89"/>
      <c r="D466" s="89"/>
      <c r="E466" s="89"/>
      <c r="F466" s="89"/>
      <c r="G466" s="89"/>
      <c r="H466" s="246"/>
      <c r="I466" s="246"/>
      <c r="J466" s="246"/>
      <c r="K466" s="216"/>
      <c r="L466" s="246"/>
      <c r="M466" s="89"/>
      <c r="N466" s="89"/>
      <c r="O466" s="89"/>
      <c r="P466" s="89"/>
      <c r="Q466" s="89"/>
      <c r="R466" s="89"/>
      <c r="S466" s="246"/>
      <c r="T466" s="246"/>
      <c r="U466" s="246"/>
      <c r="V466" s="89"/>
      <c r="W466" s="246"/>
    </row>
    <row r="467" spans="2:23" ht="15.75" customHeight="1">
      <c r="B467" s="216"/>
      <c r="C467" s="89"/>
      <c r="D467" s="89"/>
      <c r="E467" s="89"/>
      <c r="F467" s="89"/>
      <c r="G467" s="89"/>
      <c r="H467" s="246"/>
      <c r="I467" s="246"/>
      <c r="J467" s="246"/>
      <c r="K467" s="216"/>
      <c r="L467" s="246"/>
      <c r="M467" s="89"/>
      <c r="N467" s="89"/>
      <c r="O467" s="89"/>
      <c r="P467" s="89"/>
      <c r="Q467" s="89"/>
      <c r="R467" s="89"/>
      <c r="S467" s="246"/>
      <c r="T467" s="246"/>
      <c r="U467" s="246"/>
      <c r="V467" s="89"/>
      <c r="W467" s="246"/>
    </row>
    <row r="468" spans="2:23" ht="15.75" customHeight="1">
      <c r="B468" s="216"/>
      <c r="C468" s="89"/>
      <c r="D468" s="89"/>
      <c r="E468" s="89"/>
      <c r="F468" s="89"/>
      <c r="G468" s="89"/>
      <c r="H468" s="246"/>
      <c r="I468" s="246"/>
      <c r="J468" s="246"/>
      <c r="K468" s="216"/>
      <c r="L468" s="246"/>
      <c r="M468" s="89"/>
      <c r="N468" s="89"/>
      <c r="O468" s="89"/>
      <c r="P468" s="89"/>
      <c r="Q468" s="89"/>
      <c r="R468" s="89"/>
      <c r="S468" s="246"/>
      <c r="T468" s="246"/>
      <c r="U468" s="246"/>
      <c r="V468" s="89"/>
      <c r="W468" s="246"/>
    </row>
    <row r="469" spans="2:23" ht="15.75" customHeight="1">
      <c r="B469" s="216"/>
      <c r="C469" s="89"/>
      <c r="D469" s="89"/>
      <c r="E469" s="89"/>
      <c r="F469" s="89"/>
      <c r="G469" s="89"/>
      <c r="H469" s="246"/>
      <c r="I469" s="246"/>
      <c r="J469" s="246"/>
      <c r="K469" s="216"/>
      <c r="L469" s="246"/>
      <c r="M469" s="89"/>
      <c r="N469" s="89"/>
      <c r="O469" s="89"/>
      <c r="P469" s="89"/>
      <c r="Q469" s="89"/>
      <c r="R469" s="89"/>
      <c r="S469" s="246"/>
      <c r="T469" s="246"/>
      <c r="U469" s="246"/>
      <c r="V469" s="89"/>
      <c r="W469" s="246"/>
    </row>
    <row r="470" spans="2:23" ht="15.75" customHeight="1">
      <c r="B470" s="216"/>
      <c r="C470" s="89"/>
      <c r="D470" s="89"/>
      <c r="E470" s="89"/>
      <c r="F470" s="89"/>
      <c r="G470" s="89"/>
      <c r="H470" s="246"/>
      <c r="I470" s="246"/>
      <c r="J470" s="246"/>
      <c r="K470" s="216"/>
      <c r="L470" s="246"/>
      <c r="M470" s="89"/>
      <c r="N470" s="89"/>
      <c r="O470" s="89"/>
      <c r="P470" s="89"/>
      <c r="Q470" s="89"/>
      <c r="R470" s="89"/>
      <c r="S470" s="246"/>
      <c r="T470" s="246"/>
      <c r="U470" s="246"/>
      <c r="V470" s="89"/>
      <c r="W470" s="246"/>
    </row>
    <row r="471" spans="2:23" ht="15.75" customHeight="1">
      <c r="B471" s="216"/>
      <c r="C471" s="89"/>
      <c r="D471" s="89"/>
      <c r="E471" s="89"/>
      <c r="F471" s="89"/>
      <c r="G471" s="89"/>
      <c r="H471" s="246"/>
      <c r="I471" s="246"/>
      <c r="J471" s="246"/>
      <c r="K471" s="216"/>
      <c r="L471" s="246"/>
      <c r="M471" s="89"/>
      <c r="N471" s="89"/>
      <c r="O471" s="89"/>
      <c r="P471" s="89"/>
      <c r="Q471" s="89"/>
      <c r="R471" s="89"/>
      <c r="S471" s="246"/>
      <c r="T471" s="246"/>
      <c r="U471" s="246"/>
      <c r="V471" s="89"/>
      <c r="W471" s="246"/>
    </row>
    <row r="472" spans="2:23" ht="15.75" customHeight="1">
      <c r="B472" s="216"/>
      <c r="C472" s="89"/>
      <c r="D472" s="89"/>
      <c r="E472" s="89"/>
      <c r="F472" s="89"/>
      <c r="G472" s="89"/>
      <c r="H472" s="246"/>
      <c r="I472" s="246"/>
      <c r="J472" s="246"/>
      <c r="K472" s="216"/>
      <c r="L472" s="246"/>
      <c r="M472" s="89"/>
      <c r="N472" s="89"/>
      <c r="O472" s="89"/>
      <c r="P472" s="89"/>
      <c r="Q472" s="89"/>
      <c r="R472" s="89"/>
      <c r="S472" s="246"/>
      <c r="T472" s="246"/>
      <c r="U472" s="246"/>
      <c r="V472" s="89"/>
      <c r="W472" s="246"/>
    </row>
    <row r="473" spans="2:23" ht="15.75" customHeight="1">
      <c r="B473" s="216"/>
      <c r="C473" s="89"/>
      <c r="D473" s="89"/>
      <c r="E473" s="89"/>
      <c r="F473" s="89"/>
      <c r="G473" s="89"/>
      <c r="H473" s="246"/>
      <c r="I473" s="246"/>
      <c r="J473" s="246"/>
      <c r="K473" s="216"/>
      <c r="L473" s="246"/>
      <c r="M473" s="89"/>
      <c r="N473" s="89"/>
      <c r="O473" s="89"/>
      <c r="P473" s="89"/>
      <c r="Q473" s="89"/>
      <c r="R473" s="89"/>
      <c r="S473" s="246"/>
      <c r="T473" s="246"/>
      <c r="U473" s="246"/>
      <c r="V473" s="89"/>
      <c r="W473" s="246"/>
    </row>
    <row r="474" spans="2:23" ht="15.75" customHeight="1">
      <c r="B474" s="216"/>
      <c r="C474" s="89"/>
      <c r="D474" s="89"/>
      <c r="E474" s="89"/>
      <c r="F474" s="89"/>
      <c r="G474" s="89"/>
      <c r="H474" s="246"/>
      <c r="I474" s="246"/>
      <c r="J474" s="246"/>
      <c r="K474" s="216"/>
      <c r="L474" s="246"/>
      <c r="M474" s="89"/>
      <c r="N474" s="89"/>
      <c r="O474" s="89"/>
      <c r="P474" s="89"/>
      <c r="Q474" s="89"/>
      <c r="R474" s="89"/>
      <c r="S474" s="246"/>
      <c r="T474" s="246"/>
      <c r="U474" s="246"/>
      <c r="V474" s="89"/>
      <c r="W474" s="246"/>
    </row>
    <row r="475" spans="2:23" ht="15.75" customHeight="1">
      <c r="B475" s="216"/>
      <c r="C475" s="89"/>
      <c r="D475" s="89"/>
      <c r="E475" s="89"/>
      <c r="F475" s="89"/>
      <c r="G475" s="89"/>
      <c r="H475" s="246"/>
      <c r="I475" s="246"/>
      <c r="J475" s="246"/>
      <c r="K475" s="216"/>
      <c r="L475" s="246"/>
      <c r="M475" s="89"/>
      <c r="N475" s="89"/>
      <c r="O475" s="89"/>
      <c r="P475" s="89"/>
      <c r="Q475" s="89"/>
      <c r="R475" s="89"/>
      <c r="S475" s="246"/>
      <c r="T475" s="246"/>
      <c r="U475" s="246"/>
      <c r="V475" s="89"/>
      <c r="W475" s="246"/>
    </row>
    <row r="476" spans="2:23" ht="15.75" customHeight="1">
      <c r="B476" s="216"/>
      <c r="C476" s="89"/>
      <c r="D476" s="89"/>
      <c r="E476" s="89"/>
      <c r="F476" s="89"/>
      <c r="G476" s="89"/>
      <c r="H476" s="246"/>
      <c r="I476" s="246"/>
      <c r="J476" s="246"/>
      <c r="K476" s="216"/>
      <c r="L476" s="246"/>
      <c r="M476" s="89"/>
      <c r="N476" s="89"/>
      <c r="O476" s="89"/>
      <c r="P476" s="89"/>
      <c r="Q476" s="89"/>
      <c r="R476" s="89"/>
      <c r="S476" s="246"/>
      <c r="T476" s="246"/>
      <c r="U476" s="246"/>
      <c r="V476" s="89"/>
      <c r="W476" s="246"/>
    </row>
    <row r="477" spans="2:23" ht="15.75" customHeight="1">
      <c r="B477" s="216"/>
      <c r="C477" s="89"/>
      <c r="D477" s="89"/>
      <c r="E477" s="89"/>
      <c r="F477" s="89"/>
      <c r="G477" s="89"/>
      <c r="H477" s="246"/>
      <c r="I477" s="246"/>
      <c r="J477" s="246"/>
      <c r="K477" s="216"/>
      <c r="L477" s="246"/>
      <c r="M477" s="89"/>
      <c r="N477" s="89"/>
      <c r="O477" s="89"/>
      <c r="P477" s="89"/>
      <c r="Q477" s="89"/>
      <c r="R477" s="89"/>
      <c r="S477" s="246"/>
      <c r="T477" s="246"/>
      <c r="U477" s="246"/>
      <c r="V477" s="89"/>
      <c r="W477" s="246"/>
    </row>
    <row r="478" spans="2:23" ht="15.75" customHeight="1">
      <c r="B478" s="216"/>
      <c r="C478" s="89"/>
      <c r="D478" s="89"/>
      <c r="E478" s="89"/>
      <c r="F478" s="89"/>
      <c r="G478" s="89"/>
      <c r="H478" s="246"/>
      <c r="I478" s="246"/>
      <c r="J478" s="246"/>
      <c r="K478" s="216"/>
      <c r="L478" s="246"/>
      <c r="M478" s="89"/>
      <c r="N478" s="89"/>
      <c r="O478" s="89"/>
      <c r="P478" s="89"/>
      <c r="Q478" s="89"/>
      <c r="R478" s="89"/>
      <c r="S478" s="246"/>
      <c r="T478" s="246"/>
      <c r="U478" s="246"/>
      <c r="V478" s="89"/>
      <c r="W478" s="246"/>
    </row>
    <row r="479" spans="2:23" ht="15.75" customHeight="1">
      <c r="B479" s="216"/>
      <c r="C479" s="89"/>
      <c r="D479" s="89"/>
      <c r="E479" s="89"/>
      <c r="F479" s="89"/>
      <c r="G479" s="89"/>
      <c r="H479" s="246"/>
      <c r="I479" s="246"/>
      <c r="J479" s="246"/>
      <c r="K479" s="216"/>
      <c r="L479" s="246"/>
      <c r="M479" s="89"/>
      <c r="N479" s="89"/>
      <c r="O479" s="89"/>
      <c r="P479" s="89"/>
      <c r="Q479" s="89"/>
      <c r="R479" s="89"/>
      <c r="S479" s="246"/>
      <c r="T479" s="246"/>
      <c r="U479" s="246"/>
      <c r="V479" s="89"/>
      <c r="W479" s="246"/>
    </row>
    <row r="480" spans="2:23" ht="15.75" customHeight="1">
      <c r="B480" s="216"/>
      <c r="C480" s="89"/>
      <c r="D480" s="89"/>
      <c r="E480" s="89"/>
      <c r="F480" s="89"/>
      <c r="G480" s="89"/>
      <c r="H480" s="246"/>
      <c r="I480" s="246"/>
      <c r="J480" s="246"/>
      <c r="K480" s="216"/>
      <c r="L480" s="246"/>
      <c r="M480" s="89"/>
      <c r="N480" s="89"/>
      <c r="O480" s="89"/>
      <c r="P480" s="89"/>
      <c r="Q480" s="89"/>
      <c r="R480" s="89"/>
      <c r="S480" s="246"/>
      <c r="T480" s="246"/>
      <c r="U480" s="246"/>
      <c r="V480" s="89"/>
      <c r="W480" s="246"/>
    </row>
    <row r="481" spans="2:23" ht="15.75" customHeight="1">
      <c r="B481" s="216"/>
      <c r="C481" s="89"/>
      <c r="D481" s="89"/>
      <c r="E481" s="89"/>
      <c r="F481" s="89"/>
      <c r="G481" s="89"/>
      <c r="H481" s="246"/>
      <c r="I481" s="246"/>
      <c r="J481" s="246"/>
      <c r="K481" s="216"/>
      <c r="L481" s="246"/>
      <c r="M481" s="89"/>
      <c r="N481" s="89"/>
      <c r="O481" s="89"/>
      <c r="P481" s="89"/>
      <c r="Q481" s="89"/>
      <c r="R481" s="89"/>
      <c r="S481" s="246"/>
      <c r="T481" s="246"/>
      <c r="U481" s="246"/>
      <c r="V481" s="89"/>
      <c r="W481" s="246"/>
    </row>
    <row r="482" spans="2:23" ht="15.75" customHeight="1">
      <c r="B482" s="216"/>
      <c r="C482" s="89"/>
      <c r="D482" s="89"/>
      <c r="E482" s="89"/>
      <c r="F482" s="89"/>
      <c r="G482" s="89"/>
      <c r="H482" s="246"/>
      <c r="I482" s="246"/>
      <c r="J482" s="246"/>
      <c r="K482" s="216"/>
      <c r="L482" s="246"/>
      <c r="M482" s="89"/>
      <c r="N482" s="89"/>
      <c r="O482" s="89"/>
      <c r="P482" s="89"/>
      <c r="Q482" s="89"/>
      <c r="R482" s="89"/>
      <c r="S482" s="246"/>
      <c r="T482" s="246"/>
      <c r="U482" s="246"/>
      <c r="V482" s="89"/>
      <c r="W482" s="246"/>
    </row>
    <row r="483" spans="2:23" ht="15.75" customHeight="1">
      <c r="B483" s="216"/>
      <c r="C483" s="89"/>
      <c r="D483" s="89"/>
      <c r="E483" s="89"/>
      <c r="F483" s="89"/>
      <c r="G483" s="89"/>
      <c r="H483" s="246"/>
      <c r="I483" s="246"/>
      <c r="J483" s="246"/>
      <c r="K483" s="216"/>
      <c r="L483" s="246"/>
      <c r="M483" s="89"/>
      <c r="N483" s="89"/>
      <c r="O483" s="89"/>
      <c r="P483" s="89"/>
      <c r="Q483" s="89"/>
      <c r="R483" s="89"/>
      <c r="S483" s="246"/>
      <c r="T483" s="246"/>
      <c r="U483" s="246"/>
      <c r="V483" s="89"/>
      <c r="W483" s="246"/>
    </row>
    <row r="484" spans="2:23" ht="15.75" customHeight="1">
      <c r="B484" s="216"/>
      <c r="C484" s="89"/>
      <c r="D484" s="89"/>
      <c r="E484" s="89"/>
      <c r="F484" s="89"/>
      <c r="G484" s="89"/>
      <c r="H484" s="246"/>
      <c r="I484" s="246"/>
      <c r="J484" s="246"/>
      <c r="K484" s="216"/>
      <c r="L484" s="246"/>
      <c r="M484" s="89"/>
      <c r="N484" s="89"/>
      <c r="O484" s="89"/>
      <c r="P484" s="89"/>
      <c r="Q484" s="89"/>
      <c r="R484" s="89"/>
      <c r="S484" s="246"/>
      <c r="T484" s="246"/>
      <c r="U484" s="246"/>
      <c r="V484" s="89"/>
      <c r="W484" s="246"/>
    </row>
    <row r="485" spans="2:23" ht="15.75" customHeight="1">
      <c r="B485" s="216"/>
      <c r="C485" s="89"/>
      <c r="D485" s="89"/>
      <c r="E485" s="89"/>
      <c r="F485" s="89"/>
      <c r="G485" s="89"/>
      <c r="H485" s="246"/>
      <c r="I485" s="246"/>
      <c r="J485" s="246"/>
      <c r="K485" s="216"/>
      <c r="L485" s="246"/>
      <c r="M485" s="89"/>
      <c r="N485" s="89"/>
      <c r="O485" s="89"/>
      <c r="P485" s="89"/>
      <c r="Q485" s="89"/>
      <c r="R485" s="89"/>
      <c r="S485" s="246"/>
      <c r="T485" s="246"/>
      <c r="U485" s="246"/>
      <c r="V485" s="89"/>
      <c r="W485" s="246"/>
    </row>
    <row r="486" spans="2:23" ht="15.75" customHeight="1">
      <c r="B486" s="216"/>
      <c r="C486" s="89"/>
      <c r="D486" s="89"/>
      <c r="E486" s="89"/>
      <c r="F486" s="89"/>
      <c r="G486" s="89"/>
      <c r="H486" s="246"/>
      <c r="I486" s="246"/>
      <c r="J486" s="246"/>
      <c r="K486" s="216"/>
      <c r="L486" s="246"/>
      <c r="M486" s="89"/>
      <c r="N486" s="89"/>
      <c r="O486" s="89"/>
      <c r="P486" s="89"/>
      <c r="Q486" s="89"/>
      <c r="R486" s="89"/>
      <c r="S486" s="246"/>
      <c r="T486" s="246"/>
      <c r="U486" s="246"/>
      <c r="V486" s="89"/>
      <c r="W486" s="246"/>
    </row>
    <row r="487" spans="2:23" ht="15.75" customHeight="1">
      <c r="B487" s="216"/>
      <c r="C487" s="89"/>
      <c r="D487" s="89"/>
      <c r="E487" s="89"/>
      <c r="F487" s="89"/>
      <c r="G487" s="89"/>
      <c r="H487" s="246"/>
      <c r="I487" s="246"/>
      <c r="J487" s="246"/>
      <c r="K487" s="216"/>
      <c r="L487" s="246"/>
      <c r="M487" s="89"/>
      <c r="N487" s="89"/>
      <c r="O487" s="89"/>
      <c r="P487" s="89"/>
      <c r="Q487" s="89"/>
      <c r="R487" s="89"/>
      <c r="S487" s="246"/>
      <c r="T487" s="246"/>
      <c r="U487" s="246"/>
      <c r="V487" s="89"/>
      <c r="W487" s="246"/>
    </row>
    <row r="488" spans="2:23" ht="15.75" customHeight="1">
      <c r="B488" s="216"/>
      <c r="C488" s="89"/>
      <c r="D488" s="89"/>
      <c r="E488" s="89"/>
      <c r="F488" s="89"/>
      <c r="G488" s="89"/>
      <c r="H488" s="246"/>
      <c r="I488" s="246"/>
      <c r="J488" s="246"/>
      <c r="K488" s="216"/>
      <c r="L488" s="246"/>
      <c r="M488" s="89"/>
      <c r="N488" s="89"/>
      <c r="O488" s="89"/>
      <c r="P488" s="89"/>
      <c r="Q488" s="89"/>
      <c r="R488" s="89"/>
      <c r="S488" s="246"/>
      <c r="T488" s="246"/>
      <c r="U488" s="246"/>
      <c r="V488" s="89"/>
      <c r="W488" s="246"/>
    </row>
    <row r="489" spans="2:23" ht="15.75" customHeight="1">
      <c r="B489" s="216"/>
      <c r="C489" s="89"/>
      <c r="D489" s="89"/>
      <c r="E489" s="89"/>
      <c r="F489" s="89"/>
      <c r="G489" s="89"/>
      <c r="H489" s="246"/>
      <c r="I489" s="246"/>
      <c r="J489" s="246"/>
      <c r="K489" s="216"/>
      <c r="L489" s="246"/>
      <c r="M489" s="89"/>
      <c r="N489" s="89"/>
      <c r="O489" s="89"/>
      <c r="P489" s="89"/>
      <c r="Q489" s="89"/>
      <c r="R489" s="89"/>
      <c r="S489" s="246"/>
      <c r="T489" s="246"/>
      <c r="U489" s="246"/>
      <c r="V489" s="89"/>
      <c r="W489" s="246"/>
    </row>
    <row r="490" spans="2:23" ht="15.75" customHeight="1">
      <c r="B490" s="216"/>
      <c r="C490" s="89"/>
      <c r="D490" s="89"/>
      <c r="E490" s="89"/>
      <c r="F490" s="89"/>
      <c r="G490" s="89"/>
      <c r="H490" s="246"/>
      <c r="I490" s="246"/>
      <c r="J490" s="246"/>
      <c r="K490" s="216"/>
      <c r="L490" s="246"/>
      <c r="M490" s="89"/>
      <c r="N490" s="89"/>
      <c r="O490" s="89"/>
      <c r="P490" s="89"/>
      <c r="Q490" s="89"/>
      <c r="R490" s="89"/>
      <c r="S490" s="246"/>
      <c r="T490" s="246"/>
      <c r="U490" s="246"/>
      <c r="V490" s="89"/>
      <c r="W490" s="246"/>
    </row>
    <row r="491" spans="2:23" ht="15.75" customHeight="1">
      <c r="B491" s="216"/>
      <c r="C491" s="89"/>
      <c r="D491" s="89"/>
      <c r="E491" s="89"/>
      <c r="F491" s="89"/>
      <c r="G491" s="89"/>
      <c r="H491" s="246"/>
      <c r="I491" s="246"/>
      <c r="J491" s="246"/>
      <c r="K491" s="216"/>
      <c r="L491" s="246"/>
      <c r="M491" s="89"/>
      <c r="N491" s="89"/>
      <c r="O491" s="89"/>
      <c r="P491" s="89"/>
      <c r="Q491" s="89"/>
      <c r="R491" s="89"/>
      <c r="S491" s="246"/>
      <c r="T491" s="246"/>
      <c r="U491" s="246"/>
      <c r="V491" s="89"/>
      <c r="W491" s="246"/>
    </row>
    <row r="492" spans="2:23" ht="15.75" customHeight="1">
      <c r="B492" s="216"/>
      <c r="C492" s="89"/>
      <c r="D492" s="89"/>
      <c r="E492" s="89"/>
      <c r="F492" s="89"/>
      <c r="G492" s="89"/>
      <c r="H492" s="246"/>
      <c r="I492" s="246"/>
      <c r="J492" s="246"/>
      <c r="K492" s="216"/>
      <c r="L492" s="246"/>
      <c r="M492" s="89"/>
      <c r="N492" s="89"/>
      <c r="O492" s="89"/>
      <c r="P492" s="89"/>
      <c r="Q492" s="89"/>
      <c r="R492" s="89"/>
      <c r="S492" s="246"/>
      <c r="T492" s="246"/>
      <c r="U492" s="246"/>
      <c r="V492" s="89"/>
      <c r="W492" s="246"/>
    </row>
    <row r="493" spans="2:23" ht="15.75" customHeight="1">
      <c r="B493" s="216"/>
      <c r="C493" s="89"/>
      <c r="D493" s="89"/>
      <c r="E493" s="89"/>
      <c r="F493" s="89"/>
      <c r="G493" s="89"/>
      <c r="H493" s="246"/>
      <c r="I493" s="246"/>
      <c r="J493" s="246"/>
      <c r="K493" s="216"/>
      <c r="L493" s="246"/>
      <c r="M493" s="89"/>
      <c r="N493" s="89"/>
      <c r="O493" s="89"/>
      <c r="P493" s="89"/>
      <c r="Q493" s="89"/>
      <c r="R493" s="89"/>
      <c r="S493" s="246"/>
      <c r="T493" s="246"/>
      <c r="U493" s="246"/>
      <c r="V493" s="89"/>
      <c r="W493" s="246"/>
    </row>
    <row r="494" spans="2:23" ht="15.75" customHeight="1">
      <c r="B494" s="216"/>
      <c r="C494" s="89"/>
      <c r="D494" s="89"/>
      <c r="E494" s="89"/>
      <c r="F494" s="89"/>
      <c r="G494" s="89"/>
      <c r="H494" s="246"/>
      <c r="I494" s="246"/>
      <c r="J494" s="246"/>
      <c r="K494" s="216"/>
      <c r="L494" s="246"/>
      <c r="M494" s="89"/>
      <c r="N494" s="89"/>
      <c r="O494" s="89"/>
      <c r="P494" s="89"/>
      <c r="Q494" s="89"/>
      <c r="R494" s="89"/>
      <c r="S494" s="246"/>
      <c r="T494" s="246"/>
      <c r="U494" s="246"/>
      <c r="V494" s="89"/>
      <c r="W494" s="246"/>
    </row>
    <row r="495" spans="2:23" ht="15.75" customHeight="1">
      <c r="B495" s="216"/>
      <c r="C495" s="89"/>
      <c r="D495" s="89"/>
      <c r="E495" s="89"/>
      <c r="F495" s="89"/>
      <c r="G495" s="89"/>
      <c r="H495" s="246"/>
      <c r="I495" s="246"/>
      <c r="J495" s="246"/>
      <c r="K495" s="216"/>
      <c r="L495" s="246"/>
      <c r="M495" s="89"/>
      <c r="N495" s="89"/>
      <c r="O495" s="89"/>
      <c r="P495" s="89"/>
      <c r="Q495" s="89"/>
      <c r="R495" s="89"/>
      <c r="S495" s="246"/>
      <c r="T495" s="246"/>
      <c r="U495" s="246"/>
      <c r="V495" s="89"/>
      <c r="W495" s="246"/>
    </row>
    <row r="496" spans="2:23" ht="15.75" customHeight="1">
      <c r="B496" s="216"/>
      <c r="C496" s="89"/>
      <c r="D496" s="89"/>
      <c r="E496" s="89"/>
      <c r="F496" s="89"/>
      <c r="G496" s="89"/>
      <c r="H496" s="246"/>
      <c r="I496" s="246"/>
      <c r="J496" s="246"/>
      <c r="K496" s="216"/>
      <c r="L496" s="246"/>
      <c r="M496" s="89"/>
      <c r="N496" s="89"/>
      <c r="O496" s="89"/>
      <c r="P496" s="89"/>
      <c r="Q496" s="89"/>
      <c r="R496" s="89"/>
      <c r="S496" s="246"/>
      <c r="T496" s="246"/>
      <c r="U496" s="246"/>
      <c r="V496" s="89"/>
      <c r="W496" s="246"/>
    </row>
    <row r="497" spans="2:23" ht="15.75" customHeight="1">
      <c r="B497" s="216"/>
      <c r="C497" s="89"/>
      <c r="D497" s="89"/>
      <c r="E497" s="89"/>
      <c r="F497" s="89"/>
      <c r="G497" s="89"/>
      <c r="H497" s="246"/>
      <c r="I497" s="246"/>
      <c r="J497" s="246"/>
      <c r="K497" s="216"/>
      <c r="L497" s="246"/>
      <c r="M497" s="89"/>
      <c r="N497" s="89"/>
      <c r="O497" s="89"/>
      <c r="P497" s="89"/>
      <c r="Q497" s="89"/>
      <c r="R497" s="89"/>
      <c r="S497" s="246"/>
      <c r="T497" s="246"/>
      <c r="U497" s="246"/>
      <c r="V497" s="89"/>
      <c r="W497" s="246"/>
    </row>
    <row r="498" spans="2:23" ht="15.75" customHeight="1">
      <c r="B498" s="216"/>
      <c r="C498" s="89"/>
      <c r="D498" s="89"/>
      <c r="E498" s="89"/>
      <c r="F498" s="89"/>
      <c r="G498" s="89"/>
      <c r="H498" s="246"/>
      <c r="I498" s="246"/>
      <c r="J498" s="246"/>
      <c r="K498" s="216"/>
      <c r="L498" s="246"/>
      <c r="M498" s="89"/>
      <c r="N498" s="89"/>
      <c r="O498" s="89"/>
      <c r="P498" s="89"/>
      <c r="Q498" s="89"/>
      <c r="R498" s="89"/>
      <c r="S498" s="246"/>
      <c r="T498" s="246"/>
      <c r="U498" s="246"/>
      <c r="V498" s="89"/>
      <c r="W498" s="246"/>
    </row>
    <row r="499" spans="2:23" ht="15.75" customHeight="1">
      <c r="B499" s="216"/>
      <c r="C499" s="89"/>
      <c r="D499" s="89"/>
      <c r="E499" s="89"/>
      <c r="F499" s="89"/>
      <c r="G499" s="89"/>
      <c r="H499" s="246"/>
      <c r="I499" s="246"/>
      <c r="J499" s="246"/>
      <c r="K499" s="216"/>
      <c r="L499" s="246"/>
      <c r="M499" s="89"/>
      <c r="N499" s="89"/>
      <c r="O499" s="89"/>
      <c r="P499" s="89"/>
      <c r="Q499" s="89"/>
      <c r="R499" s="89"/>
      <c r="S499" s="246"/>
      <c r="T499" s="246"/>
      <c r="U499" s="246"/>
      <c r="V499" s="89"/>
      <c r="W499" s="246"/>
    </row>
    <row r="500" spans="2:23" ht="15.75" customHeight="1">
      <c r="B500" s="216"/>
      <c r="C500" s="89"/>
      <c r="D500" s="89"/>
      <c r="E500" s="89"/>
      <c r="F500" s="89"/>
      <c r="G500" s="89"/>
      <c r="H500" s="246"/>
      <c r="I500" s="246"/>
      <c r="J500" s="246"/>
      <c r="K500" s="216"/>
      <c r="L500" s="246"/>
      <c r="M500" s="89"/>
      <c r="N500" s="89"/>
      <c r="O500" s="89"/>
      <c r="P500" s="89"/>
      <c r="Q500" s="89"/>
      <c r="R500" s="89"/>
      <c r="S500" s="246"/>
      <c r="T500" s="246"/>
      <c r="U500" s="246"/>
      <c r="V500" s="89"/>
      <c r="W500" s="246"/>
    </row>
    <row r="501" spans="2:23" ht="15.75" customHeight="1">
      <c r="B501" s="216"/>
      <c r="C501" s="89"/>
      <c r="D501" s="89"/>
      <c r="E501" s="89"/>
      <c r="F501" s="89"/>
      <c r="G501" s="89"/>
      <c r="H501" s="246"/>
      <c r="I501" s="246"/>
      <c r="J501" s="246"/>
      <c r="K501" s="216"/>
      <c r="L501" s="246"/>
      <c r="M501" s="89"/>
      <c r="N501" s="89"/>
      <c r="O501" s="89"/>
      <c r="P501" s="89"/>
      <c r="Q501" s="89"/>
      <c r="R501" s="89"/>
      <c r="S501" s="246"/>
      <c r="T501" s="246"/>
      <c r="U501" s="246"/>
      <c r="V501" s="89"/>
      <c r="W501" s="246"/>
    </row>
    <row r="502" spans="2:23" ht="15.75" customHeight="1">
      <c r="B502" s="216"/>
      <c r="C502" s="89"/>
      <c r="D502" s="89"/>
      <c r="E502" s="89"/>
      <c r="F502" s="89"/>
      <c r="G502" s="89"/>
      <c r="H502" s="246"/>
      <c r="I502" s="246"/>
      <c r="J502" s="246"/>
      <c r="K502" s="216"/>
      <c r="L502" s="246"/>
      <c r="M502" s="89"/>
      <c r="N502" s="89"/>
      <c r="O502" s="89"/>
      <c r="P502" s="89"/>
      <c r="Q502" s="89"/>
      <c r="R502" s="89"/>
      <c r="S502" s="246"/>
      <c r="T502" s="246"/>
      <c r="U502" s="246"/>
      <c r="V502" s="89"/>
      <c r="W502" s="246"/>
    </row>
    <row r="503" spans="2:23" ht="15.75" customHeight="1">
      <c r="B503" s="216"/>
      <c r="C503" s="89"/>
      <c r="D503" s="89"/>
      <c r="E503" s="89"/>
      <c r="F503" s="89"/>
      <c r="G503" s="89"/>
      <c r="H503" s="246"/>
      <c r="I503" s="246"/>
      <c r="J503" s="246"/>
      <c r="K503" s="216"/>
      <c r="L503" s="246"/>
      <c r="M503" s="89"/>
      <c r="N503" s="89"/>
      <c r="O503" s="89"/>
      <c r="P503" s="89"/>
      <c r="Q503" s="89"/>
      <c r="R503" s="89"/>
      <c r="S503" s="246"/>
      <c r="T503" s="246"/>
      <c r="U503" s="246"/>
      <c r="V503" s="89"/>
      <c r="W503" s="246"/>
    </row>
    <row r="504" spans="2:23" ht="15.75" customHeight="1">
      <c r="B504" s="216"/>
      <c r="C504" s="89"/>
      <c r="D504" s="89"/>
      <c r="E504" s="89"/>
      <c r="F504" s="89"/>
      <c r="G504" s="89"/>
      <c r="H504" s="246"/>
      <c r="I504" s="246"/>
      <c r="J504" s="246"/>
      <c r="K504" s="216"/>
      <c r="L504" s="246"/>
      <c r="M504" s="89"/>
      <c r="N504" s="89"/>
      <c r="O504" s="89"/>
      <c r="P504" s="89"/>
      <c r="Q504" s="89"/>
      <c r="R504" s="89"/>
      <c r="S504" s="246"/>
      <c r="T504" s="246"/>
      <c r="U504" s="246"/>
      <c r="V504" s="89"/>
      <c r="W504" s="246"/>
    </row>
    <row r="505" spans="2:23" ht="15.75" customHeight="1">
      <c r="B505" s="216"/>
      <c r="C505" s="89"/>
      <c r="D505" s="89"/>
      <c r="E505" s="89"/>
      <c r="F505" s="89"/>
      <c r="G505" s="89"/>
      <c r="H505" s="246"/>
      <c r="I505" s="246"/>
      <c r="J505" s="246"/>
      <c r="K505" s="216"/>
      <c r="L505" s="246"/>
      <c r="M505" s="89"/>
      <c r="N505" s="89"/>
      <c r="O505" s="89"/>
      <c r="P505" s="89"/>
      <c r="Q505" s="89"/>
      <c r="R505" s="89"/>
      <c r="S505" s="246"/>
      <c r="T505" s="246"/>
      <c r="U505" s="246"/>
      <c r="V505" s="89"/>
      <c r="W505" s="246"/>
    </row>
    <row r="506" spans="2:23" ht="15.75" customHeight="1">
      <c r="B506" s="216"/>
      <c r="C506" s="89"/>
      <c r="D506" s="89"/>
      <c r="E506" s="89"/>
      <c r="F506" s="89"/>
      <c r="G506" s="89"/>
      <c r="H506" s="246"/>
      <c r="I506" s="246"/>
      <c r="J506" s="246"/>
      <c r="K506" s="216"/>
      <c r="L506" s="246"/>
      <c r="M506" s="89"/>
      <c r="N506" s="89"/>
      <c r="O506" s="89"/>
      <c r="P506" s="89"/>
      <c r="Q506" s="89"/>
      <c r="R506" s="89"/>
      <c r="S506" s="246"/>
      <c r="T506" s="246"/>
      <c r="U506" s="246"/>
      <c r="V506" s="89"/>
      <c r="W506" s="246"/>
    </row>
    <row r="507" spans="2:23" ht="15.75" customHeight="1">
      <c r="B507" s="216"/>
      <c r="C507" s="89"/>
      <c r="D507" s="89"/>
      <c r="E507" s="89"/>
      <c r="F507" s="89"/>
      <c r="G507" s="89"/>
      <c r="H507" s="246"/>
      <c r="I507" s="246"/>
      <c r="J507" s="246"/>
      <c r="K507" s="216"/>
      <c r="L507" s="246"/>
      <c r="M507" s="89"/>
      <c r="N507" s="89"/>
      <c r="O507" s="89"/>
      <c r="P507" s="89"/>
      <c r="Q507" s="89"/>
      <c r="R507" s="89"/>
      <c r="S507" s="246"/>
      <c r="T507" s="246"/>
      <c r="U507" s="246"/>
      <c r="V507" s="89"/>
      <c r="W507" s="246"/>
    </row>
    <row r="508" spans="2:23" ht="15.75" customHeight="1">
      <c r="B508" s="216"/>
      <c r="C508" s="89"/>
      <c r="D508" s="89"/>
      <c r="E508" s="89"/>
      <c r="F508" s="89"/>
      <c r="G508" s="89"/>
      <c r="H508" s="246"/>
      <c r="I508" s="246"/>
      <c r="J508" s="246"/>
      <c r="K508" s="216"/>
      <c r="L508" s="246"/>
      <c r="M508" s="89"/>
      <c r="N508" s="89"/>
      <c r="O508" s="89"/>
      <c r="P508" s="89"/>
      <c r="Q508" s="89"/>
      <c r="R508" s="89"/>
      <c r="S508" s="246"/>
      <c r="T508" s="246"/>
      <c r="U508" s="246"/>
      <c r="V508" s="89"/>
      <c r="W508" s="246"/>
    </row>
    <row r="509" spans="2:23" ht="15.75" customHeight="1">
      <c r="B509" s="216"/>
      <c r="C509" s="89"/>
      <c r="D509" s="89"/>
      <c r="E509" s="89"/>
      <c r="F509" s="89"/>
      <c r="G509" s="89"/>
      <c r="H509" s="246"/>
      <c r="I509" s="246"/>
      <c r="J509" s="246"/>
      <c r="K509" s="216"/>
      <c r="L509" s="246"/>
      <c r="M509" s="89"/>
      <c r="N509" s="89"/>
      <c r="O509" s="89"/>
      <c r="P509" s="89"/>
      <c r="Q509" s="89"/>
      <c r="R509" s="89"/>
      <c r="S509" s="246"/>
      <c r="T509" s="246"/>
      <c r="U509" s="246"/>
      <c r="V509" s="89"/>
      <c r="W509" s="246"/>
    </row>
    <row r="510" spans="2:23" ht="15.75" customHeight="1">
      <c r="B510" s="216"/>
      <c r="C510" s="89"/>
      <c r="D510" s="89"/>
      <c r="E510" s="89"/>
      <c r="F510" s="89"/>
      <c r="G510" s="89"/>
      <c r="H510" s="246"/>
      <c r="I510" s="246"/>
      <c r="J510" s="246"/>
      <c r="K510" s="216"/>
      <c r="L510" s="246"/>
      <c r="M510" s="89"/>
      <c r="N510" s="89"/>
      <c r="O510" s="89"/>
      <c r="P510" s="89"/>
      <c r="Q510" s="89"/>
      <c r="R510" s="89"/>
      <c r="S510" s="246"/>
      <c r="T510" s="246"/>
      <c r="U510" s="246"/>
      <c r="V510" s="89"/>
      <c r="W510" s="246"/>
    </row>
    <row r="511" spans="2:23" ht="15.75" customHeight="1">
      <c r="B511" s="216"/>
      <c r="C511" s="89"/>
      <c r="D511" s="89"/>
      <c r="E511" s="89"/>
      <c r="F511" s="89"/>
      <c r="G511" s="89"/>
      <c r="H511" s="246"/>
      <c r="I511" s="246"/>
      <c r="J511" s="246"/>
      <c r="K511" s="216"/>
      <c r="L511" s="246"/>
      <c r="M511" s="89"/>
      <c r="N511" s="89"/>
      <c r="O511" s="89"/>
      <c r="P511" s="89"/>
      <c r="Q511" s="89"/>
      <c r="R511" s="89"/>
      <c r="S511" s="246"/>
      <c r="T511" s="246"/>
      <c r="U511" s="246"/>
      <c r="V511" s="89"/>
      <c r="W511" s="246"/>
    </row>
    <row r="512" spans="2:23" ht="15.75" customHeight="1">
      <c r="B512" s="216"/>
      <c r="C512" s="89"/>
      <c r="D512" s="89"/>
      <c r="E512" s="89"/>
      <c r="F512" s="89"/>
      <c r="G512" s="89"/>
      <c r="H512" s="246"/>
      <c r="I512" s="246"/>
      <c r="J512" s="246"/>
      <c r="K512" s="216"/>
      <c r="L512" s="246"/>
      <c r="M512" s="89"/>
      <c r="N512" s="89"/>
      <c r="O512" s="89"/>
      <c r="P512" s="89"/>
      <c r="Q512" s="89"/>
      <c r="R512" s="89"/>
      <c r="S512" s="246"/>
      <c r="T512" s="246"/>
      <c r="U512" s="246"/>
      <c r="V512" s="89"/>
      <c r="W512" s="246"/>
    </row>
    <row r="513" spans="2:23" ht="15.75" customHeight="1">
      <c r="B513" s="216"/>
      <c r="C513" s="89"/>
      <c r="D513" s="89"/>
      <c r="E513" s="89"/>
      <c r="F513" s="89"/>
      <c r="G513" s="89"/>
      <c r="H513" s="246"/>
      <c r="I513" s="246"/>
      <c r="J513" s="246"/>
      <c r="K513" s="216"/>
      <c r="L513" s="246"/>
      <c r="M513" s="89"/>
      <c r="N513" s="89"/>
      <c r="O513" s="89"/>
      <c r="P513" s="89"/>
      <c r="Q513" s="89"/>
      <c r="R513" s="89"/>
      <c r="S513" s="246"/>
      <c r="T513" s="246"/>
      <c r="U513" s="246"/>
      <c r="V513" s="89"/>
      <c r="W513" s="246"/>
    </row>
    <row r="514" spans="2:23" ht="15.75" customHeight="1">
      <c r="B514" s="216"/>
      <c r="C514" s="89"/>
      <c r="D514" s="89"/>
      <c r="E514" s="89"/>
      <c r="F514" s="89"/>
      <c r="G514" s="89"/>
      <c r="H514" s="246"/>
      <c r="I514" s="246"/>
      <c r="J514" s="246"/>
      <c r="K514" s="216"/>
      <c r="L514" s="246"/>
      <c r="M514" s="89"/>
      <c r="N514" s="89"/>
      <c r="O514" s="89"/>
      <c r="P514" s="89"/>
      <c r="Q514" s="89"/>
      <c r="R514" s="89"/>
      <c r="S514" s="246"/>
      <c r="T514" s="246"/>
      <c r="U514" s="246"/>
      <c r="V514" s="89"/>
      <c r="W514" s="246"/>
    </row>
    <row r="515" spans="2:23" ht="15.75" customHeight="1">
      <c r="B515" s="216"/>
      <c r="C515" s="89"/>
      <c r="D515" s="89"/>
      <c r="E515" s="89"/>
      <c r="F515" s="89"/>
      <c r="G515" s="89"/>
      <c r="H515" s="246"/>
      <c r="I515" s="246"/>
      <c r="J515" s="246"/>
      <c r="K515" s="216"/>
      <c r="L515" s="246"/>
      <c r="M515" s="89"/>
      <c r="N515" s="89"/>
      <c r="O515" s="89"/>
      <c r="P515" s="89"/>
      <c r="Q515" s="89"/>
      <c r="R515" s="89"/>
      <c r="S515" s="246"/>
      <c r="T515" s="246"/>
      <c r="U515" s="246"/>
      <c r="V515" s="89"/>
      <c r="W515" s="246"/>
    </row>
    <row r="516" spans="2:23" ht="15.75" customHeight="1">
      <c r="B516" s="216"/>
      <c r="C516" s="89"/>
      <c r="D516" s="89"/>
      <c r="E516" s="89"/>
      <c r="F516" s="89"/>
      <c r="G516" s="89"/>
      <c r="H516" s="246"/>
      <c r="I516" s="246"/>
      <c r="J516" s="246"/>
      <c r="K516" s="216"/>
      <c r="L516" s="246"/>
      <c r="M516" s="89"/>
      <c r="N516" s="89"/>
      <c r="O516" s="89"/>
      <c r="P516" s="89"/>
      <c r="Q516" s="89"/>
      <c r="R516" s="89"/>
      <c r="S516" s="246"/>
      <c r="T516" s="246"/>
      <c r="U516" s="246"/>
      <c r="V516" s="89"/>
      <c r="W516" s="246"/>
    </row>
    <row r="517" spans="2:23" ht="15.75" customHeight="1">
      <c r="B517" s="216"/>
      <c r="C517" s="89"/>
      <c r="D517" s="89"/>
      <c r="E517" s="89"/>
      <c r="F517" s="89"/>
      <c r="G517" s="89"/>
      <c r="H517" s="246"/>
      <c r="I517" s="246"/>
      <c r="J517" s="246"/>
      <c r="K517" s="216"/>
      <c r="L517" s="246"/>
      <c r="M517" s="89"/>
      <c r="N517" s="89"/>
      <c r="O517" s="89"/>
      <c r="P517" s="89"/>
      <c r="Q517" s="89"/>
      <c r="R517" s="89"/>
      <c r="S517" s="246"/>
      <c r="T517" s="246"/>
      <c r="U517" s="246"/>
      <c r="V517" s="89"/>
      <c r="W517" s="246"/>
    </row>
    <row r="518" spans="2:23" ht="15.75" customHeight="1">
      <c r="B518" s="216"/>
      <c r="C518" s="89"/>
      <c r="D518" s="89"/>
      <c r="E518" s="89"/>
      <c r="F518" s="89"/>
      <c r="G518" s="89"/>
      <c r="H518" s="246"/>
      <c r="I518" s="246"/>
      <c r="J518" s="246"/>
      <c r="K518" s="216"/>
      <c r="L518" s="246"/>
      <c r="M518" s="89"/>
      <c r="N518" s="89"/>
      <c r="O518" s="89"/>
      <c r="P518" s="89"/>
      <c r="Q518" s="89"/>
      <c r="R518" s="89"/>
      <c r="S518" s="246"/>
      <c r="T518" s="246"/>
      <c r="U518" s="246"/>
      <c r="V518" s="89"/>
      <c r="W518" s="246"/>
    </row>
    <row r="519" spans="2:23" ht="15.75" customHeight="1">
      <c r="B519" s="216"/>
      <c r="C519" s="89"/>
      <c r="D519" s="89"/>
      <c r="E519" s="89"/>
      <c r="F519" s="89"/>
      <c r="G519" s="89"/>
      <c r="H519" s="246"/>
      <c r="I519" s="246"/>
      <c r="J519" s="246"/>
      <c r="K519" s="216"/>
      <c r="L519" s="246"/>
      <c r="M519" s="89"/>
      <c r="N519" s="89"/>
      <c r="O519" s="89"/>
      <c r="P519" s="89"/>
      <c r="Q519" s="89"/>
      <c r="R519" s="89"/>
      <c r="S519" s="246"/>
      <c r="T519" s="246"/>
      <c r="U519" s="246"/>
      <c r="V519" s="89"/>
      <c r="W519" s="246"/>
    </row>
    <row r="520" spans="2:23" ht="15.75" customHeight="1">
      <c r="B520" s="216"/>
      <c r="C520" s="89"/>
      <c r="D520" s="89"/>
      <c r="E520" s="89"/>
      <c r="F520" s="89"/>
      <c r="G520" s="89"/>
      <c r="H520" s="246"/>
      <c r="I520" s="246"/>
      <c r="J520" s="246"/>
      <c r="K520" s="216"/>
      <c r="L520" s="246"/>
      <c r="M520" s="89"/>
      <c r="N520" s="89"/>
      <c r="O520" s="89"/>
      <c r="P520" s="89"/>
      <c r="Q520" s="89"/>
      <c r="R520" s="89"/>
      <c r="S520" s="246"/>
      <c r="T520" s="246"/>
      <c r="U520" s="246"/>
      <c r="V520" s="89"/>
      <c r="W520" s="246"/>
    </row>
    <row r="521" spans="2:23" ht="15.75" customHeight="1">
      <c r="B521" s="216"/>
      <c r="C521" s="89"/>
      <c r="D521" s="89"/>
      <c r="E521" s="89"/>
      <c r="F521" s="89"/>
      <c r="G521" s="89"/>
      <c r="H521" s="246"/>
      <c r="I521" s="246"/>
      <c r="J521" s="246"/>
      <c r="K521" s="216"/>
      <c r="L521" s="246"/>
      <c r="M521" s="89"/>
      <c r="N521" s="89"/>
      <c r="O521" s="89"/>
      <c r="P521" s="89"/>
      <c r="Q521" s="89"/>
      <c r="R521" s="89"/>
      <c r="S521" s="246"/>
      <c r="T521" s="246"/>
      <c r="U521" s="246"/>
      <c r="V521" s="89"/>
      <c r="W521" s="246"/>
    </row>
    <row r="522" spans="2:23" ht="15.75" customHeight="1">
      <c r="B522" s="216"/>
      <c r="C522" s="89"/>
      <c r="D522" s="89"/>
      <c r="E522" s="89"/>
      <c r="F522" s="89"/>
      <c r="G522" s="89"/>
      <c r="H522" s="246"/>
      <c r="I522" s="246"/>
      <c r="J522" s="246"/>
      <c r="K522" s="216"/>
      <c r="L522" s="246"/>
      <c r="M522" s="89"/>
      <c r="N522" s="89"/>
      <c r="O522" s="89"/>
      <c r="P522" s="89"/>
      <c r="Q522" s="89"/>
      <c r="R522" s="89"/>
      <c r="S522" s="246"/>
      <c r="T522" s="246"/>
      <c r="U522" s="246"/>
      <c r="V522" s="89"/>
      <c r="W522" s="246"/>
    </row>
    <row r="523" spans="2:23" ht="15.75" customHeight="1">
      <c r="B523" s="216"/>
      <c r="C523" s="89"/>
      <c r="D523" s="89"/>
      <c r="E523" s="89"/>
      <c r="F523" s="89"/>
      <c r="G523" s="89"/>
      <c r="H523" s="246"/>
      <c r="I523" s="246"/>
      <c r="J523" s="246"/>
      <c r="K523" s="216"/>
      <c r="L523" s="246"/>
      <c r="M523" s="89"/>
      <c r="N523" s="89"/>
      <c r="O523" s="89"/>
      <c r="P523" s="89"/>
      <c r="Q523" s="89"/>
      <c r="R523" s="89"/>
      <c r="S523" s="246"/>
      <c r="T523" s="246"/>
      <c r="U523" s="246"/>
      <c r="V523" s="89"/>
      <c r="W523" s="246"/>
    </row>
    <row r="524" spans="2:23" ht="15.75" customHeight="1">
      <c r="B524" s="216"/>
      <c r="C524" s="89"/>
      <c r="D524" s="89"/>
      <c r="E524" s="89"/>
      <c r="F524" s="89"/>
      <c r="G524" s="89"/>
      <c r="H524" s="246"/>
      <c r="I524" s="246"/>
      <c r="J524" s="246"/>
      <c r="K524" s="216"/>
      <c r="L524" s="246"/>
      <c r="M524" s="89"/>
      <c r="N524" s="89"/>
      <c r="O524" s="89"/>
      <c r="P524" s="89"/>
      <c r="Q524" s="89"/>
      <c r="R524" s="89"/>
      <c r="S524" s="246"/>
      <c r="T524" s="246"/>
      <c r="U524" s="246"/>
      <c r="V524" s="89"/>
      <c r="W524" s="246"/>
    </row>
    <row r="525" spans="2:23" ht="15.75" customHeight="1">
      <c r="B525" s="216"/>
      <c r="C525" s="89"/>
      <c r="D525" s="89"/>
      <c r="E525" s="89"/>
      <c r="F525" s="89"/>
      <c r="G525" s="89"/>
      <c r="H525" s="246"/>
      <c r="I525" s="246"/>
      <c r="J525" s="246"/>
      <c r="K525" s="216"/>
      <c r="L525" s="246"/>
      <c r="M525" s="89"/>
      <c r="N525" s="89"/>
      <c r="O525" s="89"/>
      <c r="P525" s="89"/>
      <c r="Q525" s="89"/>
      <c r="R525" s="89"/>
      <c r="S525" s="246"/>
      <c r="T525" s="246"/>
      <c r="U525" s="246"/>
      <c r="V525" s="89"/>
      <c r="W525" s="246"/>
    </row>
    <row r="526" spans="2:23" ht="15.75" customHeight="1">
      <c r="B526" s="216"/>
      <c r="C526" s="89"/>
      <c r="D526" s="89"/>
      <c r="E526" s="89"/>
      <c r="F526" s="89"/>
      <c r="G526" s="89"/>
      <c r="H526" s="246"/>
      <c r="I526" s="246"/>
      <c r="J526" s="246"/>
      <c r="K526" s="216"/>
      <c r="L526" s="246"/>
      <c r="M526" s="89"/>
      <c r="N526" s="89"/>
      <c r="O526" s="89"/>
      <c r="P526" s="89"/>
      <c r="Q526" s="89"/>
      <c r="R526" s="89"/>
      <c r="S526" s="246"/>
      <c r="T526" s="246"/>
      <c r="U526" s="246"/>
      <c r="V526" s="89"/>
      <c r="W526" s="246"/>
    </row>
    <row r="527" spans="2:23" ht="15.75" customHeight="1">
      <c r="B527" s="216"/>
      <c r="C527" s="89"/>
      <c r="D527" s="89"/>
      <c r="E527" s="89"/>
      <c r="F527" s="89"/>
      <c r="G527" s="89"/>
      <c r="H527" s="246"/>
      <c r="I527" s="246"/>
      <c r="J527" s="246"/>
      <c r="K527" s="216"/>
      <c r="L527" s="246"/>
      <c r="M527" s="89"/>
      <c r="N527" s="89"/>
      <c r="O527" s="89"/>
      <c r="P527" s="89"/>
      <c r="Q527" s="89"/>
      <c r="R527" s="89"/>
      <c r="S527" s="246"/>
      <c r="T527" s="246"/>
      <c r="U527" s="246"/>
      <c r="V527" s="89"/>
      <c r="W527" s="246"/>
    </row>
    <row r="528" spans="2:23" ht="15.75" customHeight="1">
      <c r="B528" s="216"/>
      <c r="C528" s="89"/>
      <c r="D528" s="89"/>
      <c r="E528" s="89"/>
      <c r="F528" s="89"/>
      <c r="G528" s="89"/>
      <c r="H528" s="246"/>
      <c r="I528" s="246"/>
      <c r="J528" s="246"/>
      <c r="K528" s="216"/>
      <c r="L528" s="246"/>
      <c r="M528" s="89"/>
      <c r="N528" s="89"/>
      <c r="O528" s="89"/>
      <c r="P528" s="89"/>
      <c r="Q528" s="89"/>
      <c r="R528" s="89"/>
      <c r="S528" s="246"/>
      <c r="T528" s="246"/>
      <c r="U528" s="246"/>
      <c r="V528" s="89"/>
      <c r="W528" s="246"/>
    </row>
    <row r="529" spans="2:23" ht="15.75" customHeight="1">
      <c r="B529" s="216"/>
      <c r="C529" s="89"/>
      <c r="D529" s="89"/>
      <c r="E529" s="89"/>
      <c r="F529" s="89"/>
      <c r="G529" s="89"/>
      <c r="H529" s="246"/>
      <c r="I529" s="246"/>
      <c r="J529" s="246"/>
      <c r="K529" s="216"/>
      <c r="L529" s="246"/>
      <c r="M529" s="89"/>
      <c r="N529" s="89"/>
      <c r="O529" s="89"/>
      <c r="P529" s="89"/>
      <c r="Q529" s="89"/>
      <c r="R529" s="89"/>
      <c r="S529" s="246"/>
      <c r="T529" s="246"/>
      <c r="U529" s="246"/>
      <c r="V529" s="89"/>
      <c r="W529" s="246"/>
    </row>
    <row r="530" spans="2:23" ht="15.75" customHeight="1">
      <c r="B530" s="216"/>
      <c r="C530" s="89"/>
      <c r="D530" s="89"/>
      <c r="E530" s="89"/>
      <c r="F530" s="89"/>
      <c r="G530" s="89"/>
      <c r="H530" s="246"/>
      <c r="I530" s="246"/>
      <c r="J530" s="246"/>
      <c r="K530" s="216"/>
      <c r="L530" s="246"/>
      <c r="M530" s="89"/>
      <c r="N530" s="89"/>
      <c r="O530" s="89"/>
      <c r="P530" s="89"/>
      <c r="Q530" s="89"/>
      <c r="R530" s="89"/>
      <c r="S530" s="246"/>
      <c r="T530" s="246"/>
      <c r="U530" s="246"/>
      <c r="V530" s="89"/>
      <c r="W530" s="246"/>
    </row>
    <row r="531" spans="2:23" ht="15.75" customHeight="1">
      <c r="B531" s="216"/>
      <c r="C531" s="89"/>
      <c r="D531" s="89"/>
      <c r="E531" s="89"/>
      <c r="F531" s="89"/>
      <c r="G531" s="89"/>
      <c r="H531" s="246"/>
      <c r="I531" s="246"/>
      <c r="J531" s="246"/>
      <c r="K531" s="216"/>
      <c r="L531" s="246"/>
      <c r="M531" s="89"/>
      <c r="N531" s="89"/>
      <c r="O531" s="89"/>
      <c r="P531" s="89"/>
      <c r="Q531" s="89"/>
      <c r="R531" s="89"/>
      <c r="S531" s="246"/>
      <c r="T531" s="246"/>
      <c r="U531" s="246"/>
      <c r="V531" s="89"/>
      <c r="W531" s="246"/>
    </row>
    <row r="532" spans="2:23" ht="15.75" customHeight="1">
      <c r="B532" s="216"/>
      <c r="C532" s="89"/>
      <c r="D532" s="89"/>
      <c r="E532" s="89"/>
      <c r="F532" s="89"/>
      <c r="G532" s="89"/>
      <c r="H532" s="246"/>
      <c r="I532" s="246"/>
      <c r="J532" s="246"/>
      <c r="K532" s="216"/>
      <c r="L532" s="246"/>
      <c r="M532" s="89"/>
      <c r="N532" s="89"/>
      <c r="O532" s="89"/>
      <c r="P532" s="89"/>
      <c r="Q532" s="89"/>
      <c r="R532" s="89"/>
      <c r="S532" s="246"/>
      <c r="T532" s="246"/>
      <c r="U532" s="246"/>
      <c r="V532" s="89"/>
      <c r="W532" s="246"/>
    </row>
    <row r="533" spans="2:23" ht="15.75" customHeight="1">
      <c r="B533" s="216"/>
      <c r="C533" s="89"/>
      <c r="D533" s="89"/>
      <c r="E533" s="89"/>
      <c r="F533" s="89"/>
      <c r="G533" s="89"/>
      <c r="H533" s="246"/>
      <c r="I533" s="246"/>
      <c r="J533" s="246"/>
      <c r="K533" s="216"/>
      <c r="L533" s="246"/>
      <c r="M533" s="89"/>
      <c r="N533" s="89"/>
      <c r="O533" s="89"/>
      <c r="P533" s="89"/>
      <c r="Q533" s="89"/>
      <c r="R533" s="89"/>
      <c r="S533" s="246"/>
      <c r="T533" s="246"/>
      <c r="U533" s="246"/>
      <c r="V533" s="89"/>
      <c r="W533" s="246"/>
    </row>
    <row r="534" spans="2:23" ht="15.75" customHeight="1">
      <c r="B534" s="216"/>
      <c r="C534" s="89"/>
      <c r="D534" s="89"/>
      <c r="E534" s="89"/>
      <c r="F534" s="89"/>
      <c r="G534" s="89"/>
      <c r="H534" s="246"/>
      <c r="I534" s="246"/>
      <c r="J534" s="246"/>
      <c r="K534" s="216"/>
      <c r="L534" s="246"/>
      <c r="M534" s="89"/>
      <c r="N534" s="89"/>
      <c r="O534" s="89"/>
      <c r="P534" s="89"/>
      <c r="Q534" s="89"/>
      <c r="R534" s="89"/>
      <c r="S534" s="246"/>
      <c r="T534" s="246"/>
      <c r="U534" s="246"/>
      <c r="V534" s="89"/>
      <c r="W534" s="246"/>
    </row>
    <row r="535" spans="2:23" ht="15.75" customHeight="1">
      <c r="B535" s="216"/>
      <c r="C535" s="89"/>
      <c r="D535" s="89"/>
      <c r="E535" s="89"/>
      <c r="F535" s="89"/>
      <c r="G535" s="89"/>
      <c r="H535" s="246"/>
      <c r="I535" s="246"/>
      <c r="J535" s="246"/>
      <c r="K535" s="216"/>
      <c r="L535" s="246"/>
      <c r="M535" s="89"/>
      <c r="N535" s="89"/>
      <c r="O535" s="89"/>
      <c r="P535" s="89"/>
      <c r="Q535" s="89"/>
      <c r="R535" s="89"/>
      <c r="S535" s="246"/>
      <c r="T535" s="246"/>
      <c r="U535" s="246"/>
      <c r="V535" s="89"/>
      <c r="W535" s="246"/>
    </row>
    <row r="536" spans="2:23" ht="15.75" customHeight="1">
      <c r="B536" s="216"/>
      <c r="C536" s="89"/>
      <c r="D536" s="89"/>
      <c r="E536" s="89"/>
      <c r="F536" s="89"/>
      <c r="G536" s="89"/>
      <c r="H536" s="246"/>
      <c r="I536" s="246"/>
      <c r="J536" s="246"/>
      <c r="K536" s="216"/>
      <c r="L536" s="246"/>
      <c r="M536" s="89"/>
      <c r="N536" s="89"/>
      <c r="O536" s="89"/>
      <c r="P536" s="89"/>
      <c r="Q536" s="89"/>
      <c r="R536" s="89"/>
      <c r="S536" s="246"/>
      <c r="T536" s="246"/>
      <c r="U536" s="246"/>
      <c r="V536" s="89"/>
      <c r="W536" s="246"/>
    </row>
    <row r="537" spans="2:23" ht="15.75" customHeight="1">
      <c r="B537" s="216"/>
      <c r="C537" s="89"/>
      <c r="D537" s="89"/>
      <c r="E537" s="89"/>
      <c r="F537" s="89"/>
      <c r="G537" s="89"/>
      <c r="H537" s="246"/>
      <c r="I537" s="246"/>
      <c r="J537" s="246"/>
      <c r="K537" s="216"/>
      <c r="L537" s="246"/>
      <c r="M537" s="89"/>
      <c r="N537" s="89"/>
      <c r="O537" s="89"/>
      <c r="P537" s="89"/>
      <c r="Q537" s="89"/>
      <c r="R537" s="89"/>
      <c r="S537" s="246"/>
      <c r="T537" s="246"/>
      <c r="U537" s="246"/>
      <c r="V537" s="89"/>
      <c r="W537" s="246"/>
    </row>
    <row r="538" spans="2:23" ht="15.75" customHeight="1">
      <c r="B538" s="216"/>
      <c r="C538" s="89"/>
      <c r="D538" s="89"/>
      <c r="E538" s="89"/>
      <c r="F538" s="89"/>
      <c r="G538" s="89"/>
      <c r="H538" s="246"/>
      <c r="I538" s="246"/>
      <c r="J538" s="246"/>
      <c r="K538" s="216"/>
      <c r="L538" s="246"/>
      <c r="M538" s="89"/>
      <c r="N538" s="89"/>
      <c r="O538" s="89"/>
      <c r="P538" s="89"/>
      <c r="Q538" s="89"/>
      <c r="R538" s="89"/>
      <c r="S538" s="246"/>
      <c r="T538" s="246"/>
      <c r="U538" s="246"/>
      <c r="V538" s="89"/>
      <c r="W538" s="246"/>
    </row>
    <row r="539" spans="2:23" ht="15.75" customHeight="1">
      <c r="B539" s="216"/>
      <c r="C539" s="89"/>
      <c r="D539" s="89"/>
      <c r="E539" s="89"/>
      <c r="F539" s="89"/>
      <c r="G539" s="89"/>
      <c r="H539" s="246"/>
      <c r="I539" s="246"/>
      <c r="J539" s="246"/>
      <c r="K539" s="216"/>
      <c r="L539" s="246"/>
      <c r="M539" s="89"/>
      <c r="N539" s="89"/>
      <c r="O539" s="89"/>
      <c r="P539" s="89"/>
      <c r="Q539" s="89"/>
      <c r="R539" s="89"/>
      <c r="S539" s="246"/>
      <c r="T539" s="246"/>
      <c r="U539" s="246"/>
      <c r="V539" s="89"/>
      <c r="W539" s="246"/>
    </row>
    <row r="540" spans="2:23" ht="15.75" customHeight="1">
      <c r="B540" s="216"/>
      <c r="C540" s="89"/>
      <c r="D540" s="89"/>
      <c r="E540" s="89"/>
      <c r="F540" s="89"/>
      <c r="G540" s="89"/>
      <c r="H540" s="246"/>
      <c r="I540" s="246"/>
      <c r="J540" s="246"/>
      <c r="K540" s="216"/>
      <c r="L540" s="246"/>
      <c r="M540" s="89"/>
      <c r="N540" s="89"/>
      <c r="O540" s="89"/>
      <c r="P540" s="89"/>
      <c r="Q540" s="89"/>
      <c r="R540" s="89"/>
      <c r="S540" s="246"/>
      <c r="T540" s="246"/>
      <c r="U540" s="246"/>
      <c r="V540" s="89"/>
      <c r="W540" s="246"/>
    </row>
    <row r="541" spans="2:23" ht="15.75" customHeight="1">
      <c r="B541" s="216"/>
      <c r="C541" s="89"/>
      <c r="D541" s="89"/>
      <c r="E541" s="89"/>
      <c r="F541" s="89"/>
      <c r="G541" s="89"/>
      <c r="H541" s="246"/>
      <c r="I541" s="246"/>
      <c r="J541" s="246"/>
      <c r="K541" s="216"/>
      <c r="L541" s="246"/>
      <c r="M541" s="89"/>
      <c r="N541" s="89"/>
      <c r="O541" s="89"/>
      <c r="P541" s="89"/>
      <c r="Q541" s="89"/>
      <c r="R541" s="89"/>
      <c r="S541" s="246"/>
      <c r="T541" s="246"/>
      <c r="U541" s="246"/>
      <c r="V541" s="89"/>
      <c r="W541" s="246"/>
    </row>
    <row r="542" spans="2:23" ht="15.75" customHeight="1">
      <c r="B542" s="216"/>
      <c r="C542" s="89"/>
      <c r="D542" s="89"/>
      <c r="E542" s="89"/>
      <c r="F542" s="89"/>
      <c r="G542" s="89"/>
      <c r="H542" s="246"/>
      <c r="I542" s="246"/>
      <c r="J542" s="246"/>
      <c r="K542" s="216"/>
      <c r="L542" s="246"/>
      <c r="M542" s="89"/>
      <c r="N542" s="89"/>
      <c r="O542" s="89"/>
      <c r="P542" s="89"/>
      <c r="Q542" s="89"/>
      <c r="R542" s="89"/>
      <c r="S542" s="246"/>
      <c r="T542" s="246"/>
      <c r="U542" s="246"/>
      <c r="V542" s="89"/>
      <c r="W542" s="246"/>
    </row>
    <row r="543" spans="2:23" ht="15.75" customHeight="1">
      <c r="B543" s="216"/>
      <c r="C543" s="89"/>
      <c r="D543" s="89"/>
      <c r="E543" s="89"/>
      <c r="F543" s="89"/>
      <c r="G543" s="89"/>
      <c r="H543" s="246"/>
      <c r="I543" s="246"/>
      <c r="J543" s="246"/>
      <c r="K543" s="216"/>
      <c r="L543" s="246"/>
      <c r="M543" s="89"/>
      <c r="N543" s="89"/>
      <c r="O543" s="89"/>
      <c r="P543" s="89"/>
      <c r="Q543" s="89"/>
      <c r="R543" s="89"/>
      <c r="S543" s="246"/>
      <c r="T543" s="246"/>
      <c r="U543" s="246"/>
      <c r="V543" s="89"/>
      <c r="W543" s="246"/>
    </row>
    <row r="544" spans="2:23" ht="15.75" customHeight="1">
      <c r="B544" s="216"/>
      <c r="C544" s="89"/>
      <c r="D544" s="89"/>
      <c r="E544" s="89"/>
      <c r="F544" s="89"/>
      <c r="G544" s="89"/>
      <c r="H544" s="246"/>
      <c r="I544" s="246"/>
      <c r="J544" s="246"/>
      <c r="K544" s="216"/>
      <c r="L544" s="246"/>
      <c r="M544" s="89"/>
      <c r="N544" s="89"/>
      <c r="O544" s="89"/>
      <c r="P544" s="89"/>
      <c r="Q544" s="89"/>
      <c r="R544" s="89"/>
      <c r="S544" s="246"/>
      <c r="T544" s="246"/>
      <c r="U544" s="246"/>
      <c r="V544" s="89"/>
      <c r="W544" s="246"/>
    </row>
    <row r="545" spans="2:23" ht="15.75" customHeight="1">
      <c r="B545" s="216"/>
      <c r="C545" s="89"/>
      <c r="D545" s="89"/>
      <c r="E545" s="89"/>
      <c r="F545" s="89"/>
      <c r="G545" s="89"/>
      <c r="H545" s="246"/>
      <c r="I545" s="246"/>
      <c r="J545" s="246"/>
      <c r="K545" s="216"/>
      <c r="L545" s="246"/>
      <c r="M545" s="89"/>
      <c r="N545" s="89"/>
      <c r="O545" s="89"/>
      <c r="P545" s="89"/>
      <c r="Q545" s="89"/>
      <c r="R545" s="89"/>
      <c r="S545" s="246"/>
      <c r="T545" s="246"/>
      <c r="U545" s="246"/>
      <c r="V545" s="89"/>
      <c r="W545" s="246"/>
    </row>
    <row r="546" spans="2:23" ht="15.75" customHeight="1">
      <c r="B546" s="216"/>
      <c r="C546" s="89"/>
      <c r="D546" s="89"/>
      <c r="E546" s="89"/>
      <c r="F546" s="89"/>
      <c r="G546" s="89"/>
      <c r="H546" s="246"/>
      <c r="I546" s="246"/>
      <c r="J546" s="246"/>
      <c r="K546" s="216"/>
      <c r="L546" s="246"/>
      <c r="M546" s="89"/>
      <c r="N546" s="89"/>
      <c r="O546" s="89"/>
      <c r="P546" s="89"/>
      <c r="Q546" s="89"/>
      <c r="R546" s="89"/>
      <c r="S546" s="246"/>
      <c r="T546" s="246"/>
      <c r="U546" s="246"/>
      <c r="V546" s="89"/>
      <c r="W546" s="246"/>
    </row>
    <row r="547" spans="2:23" ht="15.75" customHeight="1">
      <c r="B547" s="216"/>
      <c r="C547" s="89"/>
      <c r="D547" s="89"/>
      <c r="E547" s="89"/>
      <c r="F547" s="89"/>
      <c r="G547" s="89"/>
      <c r="H547" s="246"/>
      <c r="I547" s="246"/>
      <c r="J547" s="246"/>
      <c r="K547" s="216"/>
      <c r="L547" s="246"/>
      <c r="M547" s="89"/>
      <c r="N547" s="89"/>
      <c r="O547" s="89"/>
      <c r="P547" s="89"/>
      <c r="Q547" s="89"/>
      <c r="R547" s="89"/>
      <c r="S547" s="246"/>
      <c r="T547" s="246"/>
      <c r="U547" s="246"/>
      <c r="V547" s="89"/>
      <c r="W547" s="246"/>
    </row>
    <row r="548" spans="2:23" ht="15.75" customHeight="1">
      <c r="B548" s="216"/>
      <c r="C548" s="89"/>
      <c r="D548" s="89"/>
      <c r="E548" s="89"/>
      <c r="F548" s="89"/>
      <c r="G548" s="89"/>
      <c r="H548" s="246"/>
      <c r="I548" s="246"/>
      <c r="J548" s="246"/>
      <c r="K548" s="216"/>
      <c r="L548" s="246"/>
      <c r="M548" s="89"/>
      <c r="N548" s="89"/>
      <c r="O548" s="89"/>
      <c r="P548" s="89"/>
      <c r="Q548" s="89"/>
      <c r="R548" s="89"/>
      <c r="S548" s="246"/>
      <c r="T548" s="246"/>
      <c r="U548" s="246"/>
      <c r="V548" s="89"/>
      <c r="W548" s="246"/>
    </row>
    <row r="549" spans="2:23" ht="15.75" customHeight="1">
      <c r="B549" s="216"/>
      <c r="C549" s="89"/>
      <c r="D549" s="89"/>
      <c r="E549" s="89"/>
      <c r="F549" s="89"/>
      <c r="G549" s="89"/>
      <c r="H549" s="246"/>
      <c r="I549" s="246"/>
      <c r="J549" s="246"/>
      <c r="K549" s="216"/>
      <c r="L549" s="246"/>
      <c r="M549" s="89"/>
      <c r="N549" s="89"/>
      <c r="O549" s="89"/>
      <c r="P549" s="89"/>
      <c r="Q549" s="89"/>
      <c r="R549" s="89"/>
      <c r="S549" s="246"/>
      <c r="T549" s="246"/>
      <c r="U549" s="246"/>
      <c r="V549" s="89"/>
      <c r="W549" s="246"/>
    </row>
    <row r="550" spans="2:23" ht="15.75" customHeight="1">
      <c r="B550" s="216"/>
      <c r="C550" s="89"/>
      <c r="D550" s="89"/>
      <c r="E550" s="89"/>
      <c r="F550" s="89"/>
      <c r="G550" s="89"/>
      <c r="H550" s="246"/>
      <c r="I550" s="246"/>
      <c r="J550" s="246"/>
      <c r="K550" s="216"/>
      <c r="L550" s="246"/>
      <c r="M550" s="89"/>
      <c r="N550" s="89"/>
      <c r="O550" s="89"/>
      <c r="P550" s="89"/>
      <c r="Q550" s="89"/>
      <c r="R550" s="89"/>
      <c r="S550" s="246"/>
      <c r="T550" s="246"/>
      <c r="U550" s="246"/>
      <c r="V550" s="89"/>
      <c r="W550" s="246"/>
    </row>
    <row r="551" spans="2:23" ht="15.75" customHeight="1">
      <c r="B551" s="216"/>
      <c r="C551" s="89"/>
      <c r="D551" s="89"/>
      <c r="E551" s="89"/>
      <c r="F551" s="89"/>
      <c r="G551" s="89"/>
      <c r="H551" s="246"/>
      <c r="I551" s="246"/>
      <c r="J551" s="246"/>
      <c r="K551" s="216"/>
      <c r="L551" s="246"/>
      <c r="M551" s="89"/>
      <c r="N551" s="89"/>
      <c r="O551" s="89"/>
      <c r="P551" s="89"/>
      <c r="Q551" s="89"/>
      <c r="R551" s="89"/>
      <c r="S551" s="246"/>
      <c r="T551" s="246"/>
      <c r="U551" s="246"/>
      <c r="V551" s="89"/>
      <c r="W551" s="246"/>
    </row>
    <row r="552" spans="2:23" ht="15.75" customHeight="1">
      <c r="B552" s="216"/>
      <c r="C552" s="89"/>
      <c r="D552" s="89"/>
      <c r="E552" s="89"/>
      <c r="F552" s="89"/>
      <c r="G552" s="89"/>
      <c r="H552" s="246"/>
      <c r="I552" s="246"/>
      <c r="J552" s="246"/>
      <c r="K552" s="216"/>
      <c r="L552" s="246"/>
      <c r="M552" s="89"/>
      <c r="N552" s="89"/>
      <c r="O552" s="89"/>
      <c r="P552" s="89"/>
      <c r="Q552" s="89"/>
      <c r="R552" s="89"/>
      <c r="S552" s="246"/>
      <c r="T552" s="246"/>
      <c r="U552" s="246"/>
      <c r="V552" s="89"/>
      <c r="W552" s="246"/>
    </row>
    <row r="553" spans="2:23" ht="15.75" customHeight="1">
      <c r="B553" s="216"/>
      <c r="C553" s="89"/>
      <c r="D553" s="89"/>
      <c r="E553" s="89"/>
      <c r="F553" s="89"/>
      <c r="G553" s="89"/>
      <c r="H553" s="246"/>
      <c r="I553" s="246"/>
      <c r="J553" s="246"/>
      <c r="K553" s="216"/>
      <c r="L553" s="246"/>
      <c r="M553" s="89"/>
      <c r="N553" s="89"/>
      <c r="O553" s="89"/>
      <c r="P553" s="89"/>
      <c r="Q553" s="89"/>
      <c r="R553" s="89"/>
      <c r="S553" s="246"/>
      <c r="T553" s="246"/>
      <c r="U553" s="246"/>
      <c r="V553" s="89"/>
      <c r="W553" s="246"/>
    </row>
    <row r="554" spans="2:23" ht="15.75" customHeight="1">
      <c r="B554" s="216"/>
      <c r="C554" s="89"/>
      <c r="D554" s="89"/>
      <c r="E554" s="89"/>
      <c r="F554" s="89"/>
      <c r="G554" s="89"/>
      <c r="H554" s="246"/>
      <c r="I554" s="246"/>
      <c r="J554" s="246"/>
      <c r="K554" s="216"/>
      <c r="L554" s="246"/>
      <c r="M554" s="89"/>
      <c r="N554" s="89"/>
      <c r="O554" s="89"/>
      <c r="P554" s="89"/>
      <c r="Q554" s="89"/>
      <c r="R554" s="89"/>
      <c r="S554" s="246"/>
      <c r="T554" s="246"/>
      <c r="U554" s="246"/>
      <c r="V554" s="89"/>
      <c r="W554" s="246"/>
    </row>
    <row r="555" spans="2:23" ht="15.75" customHeight="1">
      <c r="B555" s="216"/>
      <c r="C555" s="89"/>
      <c r="D555" s="89"/>
      <c r="E555" s="89"/>
      <c r="F555" s="89"/>
      <c r="G555" s="89"/>
      <c r="H555" s="246"/>
      <c r="I555" s="246"/>
      <c r="J555" s="246"/>
      <c r="K555" s="216"/>
      <c r="L555" s="246"/>
      <c r="M555" s="89"/>
      <c r="N555" s="89"/>
      <c r="O555" s="89"/>
      <c r="P555" s="89"/>
      <c r="Q555" s="89"/>
      <c r="R555" s="89"/>
      <c r="S555" s="246"/>
      <c r="T555" s="246"/>
      <c r="U555" s="246"/>
      <c r="V555" s="89"/>
      <c r="W555" s="246"/>
    </row>
    <row r="556" spans="2:23" ht="15.75" customHeight="1">
      <c r="B556" s="216"/>
      <c r="C556" s="89"/>
      <c r="D556" s="89"/>
      <c r="E556" s="89"/>
      <c r="F556" s="89"/>
      <c r="G556" s="89"/>
      <c r="H556" s="246"/>
      <c r="I556" s="246"/>
      <c r="J556" s="246"/>
      <c r="K556" s="216"/>
      <c r="L556" s="246"/>
      <c r="M556" s="89"/>
      <c r="N556" s="89"/>
      <c r="O556" s="89"/>
      <c r="P556" s="89"/>
      <c r="Q556" s="89"/>
      <c r="R556" s="89"/>
      <c r="S556" s="246"/>
      <c r="T556" s="246"/>
      <c r="U556" s="246"/>
      <c r="V556" s="89"/>
      <c r="W556" s="246"/>
    </row>
    <row r="557" spans="2:23" ht="15.75" customHeight="1">
      <c r="B557" s="216"/>
      <c r="C557" s="89"/>
      <c r="D557" s="89"/>
      <c r="E557" s="89"/>
      <c r="F557" s="89"/>
      <c r="G557" s="89"/>
      <c r="H557" s="246"/>
      <c r="I557" s="246"/>
      <c r="J557" s="246"/>
      <c r="K557" s="216"/>
      <c r="L557" s="246"/>
      <c r="M557" s="89"/>
      <c r="N557" s="89"/>
      <c r="O557" s="89"/>
      <c r="P557" s="89"/>
      <c r="Q557" s="89"/>
      <c r="R557" s="89"/>
      <c r="S557" s="246"/>
      <c r="T557" s="246"/>
      <c r="U557" s="246"/>
      <c r="V557" s="89"/>
      <c r="W557" s="246"/>
    </row>
    <row r="558" spans="2:23" ht="15.75" customHeight="1">
      <c r="B558" s="216"/>
      <c r="C558" s="89"/>
      <c r="D558" s="89"/>
      <c r="E558" s="89"/>
      <c r="F558" s="89"/>
      <c r="G558" s="89"/>
      <c r="H558" s="246"/>
      <c r="I558" s="246"/>
      <c r="J558" s="246"/>
      <c r="K558" s="216"/>
      <c r="L558" s="246"/>
      <c r="M558" s="89"/>
      <c r="N558" s="89"/>
      <c r="O558" s="89"/>
      <c r="P558" s="89"/>
      <c r="Q558" s="89"/>
      <c r="R558" s="89"/>
      <c r="S558" s="246"/>
      <c r="T558" s="246"/>
      <c r="U558" s="246"/>
      <c r="V558" s="89"/>
      <c r="W558" s="246"/>
    </row>
    <row r="559" spans="2:23" ht="15.75" customHeight="1">
      <c r="B559" s="216"/>
      <c r="C559" s="89"/>
      <c r="D559" s="89"/>
      <c r="E559" s="89"/>
      <c r="F559" s="89"/>
      <c r="G559" s="89"/>
      <c r="H559" s="246"/>
      <c r="I559" s="246"/>
      <c r="J559" s="246"/>
      <c r="K559" s="216"/>
      <c r="L559" s="246"/>
      <c r="M559" s="89"/>
      <c r="N559" s="89"/>
      <c r="O559" s="89"/>
      <c r="P559" s="89"/>
      <c r="Q559" s="89"/>
      <c r="R559" s="89"/>
      <c r="S559" s="246"/>
      <c r="T559" s="246"/>
      <c r="U559" s="246"/>
      <c r="V559" s="89"/>
      <c r="W559" s="246"/>
    </row>
    <row r="560" spans="2:23" ht="15.75" customHeight="1">
      <c r="B560" s="216"/>
      <c r="C560" s="89"/>
      <c r="D560" s="89"/>
      <c r="E560" s="89"/>
      <c r="F560" s="89"/>
      <c r="G560" s="89"/>
      <c r="H560" s="246"/>
      <c r="I560" s="246"/>
      <c r="J560" s="246"/>
      <c r="K560" s="216"/>
      <c r="L560" s="246"/>
      <c r="M560" s="89"/>
      <c r="N560" s="89"/>
      <c r="O560" s="89"/>
      <c r="P560" s="89"/>
      <c r="Q560" s="89"/>
      <c r="R560" s="89"/>
      <c r="S560" s="246"/>
      <c r="T560" s="246"/>
      <c r="U560" s="246"/>
      <c r="V560" s="89"/>
      <c r="W560" s="246"/>
    </row>
    <row r="561" spans="2:23" ht="15.75" customHeight="1">
      <c r="B561" s="216"/>
      <c r="C561" s="89"/>
      <c r="D561" s="89"/>
      <c r="E561" s="89"/>
      <c r="F561" s="89"/>
      <c r="G561" s="89"/>
      <c r="H561" s="246"/>
      <c r="I561" s="246"/>
      <c r="J561" s="246"/>
      <c r="K561" s="216"/>
      <c r="L561" s="246"/>
      <c r="M561" s="89"/>
      <c r="N561" s="89"/>
      <c r="O561" s="89"/>
      <c r="P561" s="89"/>
      <c r="Q561" s="89"/>
      <c r="R561" s="89"/>
      <c r="S561" s="246"/>
      <c r="T561" s="246"/>
      <c r="U561" s="246"/>
      <c r="V561" s="89"/>
      <c r="W561" s="246"/>
    </row>
    <row r="562" spans="2:23" ht="15.75" customHeight="1">
      <c r="B562" s="216"/>
      <c r="C562" s="89"/>
      <c r="D562" s="89"/>
      <c r="E562" s="89"/>
      <c r="F562" s="89"/>
      <c r="G562" s="89"/>
      <c r="H562" s="246"/>
      <c r="I562" s="246"/>
      <c r="J562" s="246"/>
      <c r="K562" s="216"/>
      <c r="L562" s="246"/>
      <c r="M562" s="89"/>
      <c r="N562" s="89"/>
      <c r="O562" s="89"/>
      <c r="P562" s="89"/>
      <c r="Q562" s="89"/>
      <c r="R562" s="89"/>
      <c r="S562" s="246"/>
      <c r="T562" s="246"/>
      <c r="U562" s="246"/>
      <c r="V562" s="89"/>
      <c r="W562" s="246"/>
    </row>
    <row r="563" spans="2:23" ht="15.75" customHeight="1">
      <c r="B563" s="216"/>
      <c r="C563" s="89"/>
      <c r="D563" s="89"/>
      <c r="E563" s="89"/>
      <c r="F563" s="89"/>
      <c r="G563" s="89"/>
      <c r="H563" s="246"/>
      <c r="I563" s="246"/>
      <c r="J563" s="246"/>
      <c r="K563" s="216"/>
      <c r="L563" s="246"/>
      <c r="M563" s="89"/>
      <c r="N563" s="89"/>
      <c r="O563" s="89"/>
      <c r="P563" s="89"/>
      <c r="Q563" s="89"/>
      <c r="R563" s="89"/>
      <c r="S563" s="246"/>
      <c r="T563" s="246"/>
      <c r="U563" s="246"/>
      <c r="V563" s="89"/>
      <c r="W563" s="246"/>
    </row>
    <row r="564" spans="2:23" ht="15.75" customHeight="1">
      <c r="B564" s="216"/>
      <c r="C564" s="89"/>
      <c r="D564" s="89"/>
      <c r="E564" s="89"/>
      <c r="F564" s="89"/>
      <c r="G564" s="89"/>
      <c r="H564" s="246"/>
      <c r="I564" s="246"/>
      <c r="J564" s="246"/>
      <c r="K564" s="216"/>
      <c r="L564" s="246"/>
      <c r="M564" s="89"/>
      <c r="N564" s="89"/>
      <c r="O564" s="89"/>
      <c r="P564" s="89"/>
      <c r="Q564" s="89"/>
      <c r="R564" s="89"/>
      <c r="S564" s="246"/>
      <c r="T564" s="246"/>
      <c r="U564" s="246"/>
      <c r="V564" s="89"/>
      <c r="W564" s="246"/>
    </row>
    <row r="565" spans="2:23" ht="15.75" customHeight="1">
      <c r="B565" s="216"/>
      <c r="C565" s="89"/>
      <c r="D565" s="89"/>
      <c r="E565" s="89"/>
      <c r="F565" s="89"/>
      <c r="G565" s="89"/>
      <c r="H565" s="246"/>
      <c r="I565" s="246"/>
      <c r="J565" s="246"/>
      <c r="K565" s="216"/>
      <c r="L565" s="246"/>
      <c r="M565" s="89"/>
      <c r="N565" s="89"/>
      <c r="O565" s="89"/>
      <c r="P565" s="89"/>
      <c r="Q565" s="89"/>
      <c r="R565" s="89"/>
      <c r="S565" s="246"/>
      <c r="T565" s="246"/>
      <c r="U565" s="246"/>
      <c r="V565" s="89"/>
      <c r="W565" s="246"/>
    </row>
    <row r="566" spans="2:23" ht="15.75" customHeight="1">
      <c r="B566" s="216"/>
      <c r="C566" s="89"/>
      <c r="D566" s="89"/>
      <c r="E566" s="89"/>
      <c r="F566" s="89"/>
      <c r="G566" s="89"/>
      <c r="H566" s="246"/>
      <c r="I566" s="246"/>
      <c r="J566" s="246"/>
      <c r="K566" s="216"/>
      <c r="L566" s="246"/>
      <c r="M566" s="89"/>
      <c r="N566" s="89"/>
      <c r="O566" s="89"/>
      <c r="P566" s="89"/>
      <c r="Q566" s="89"/>
      <c r="R566" s="89"/>
      <c r="S566" s="246"/>
      <c r="T566" s="246"/>
      <c r="U566" s="246"/>
      <c r="V566" s="89"/>
      <c r="W566" s="246"/>
    </row>
    <row r="567" spans="2:23" ht="15.75" customHeight="1">
      <c r="B567" s="216"/>
      <c r="C567" s="89"/>
      <c r="D567" s="89"/>
      <c r="E567" s="89"/>
      <c r="F567" s="89"/>
      <c r="G567" s="89"/>
      <c r="H567" s="246"/>
      <c r="I567" s="246"/>
      <c r="J567" s="246"/>
      <c r="K567" s="216"/>
      <c r="L567" s="246"/>
      <c r="M567" s="89"/>
      <c r="N567" s="89"/>
      <c r="O567" s="89"/>
      <c r="P567" s="89"/>
      <c r="Q567" s="89"/>
      <c r="R567" s="89"/>
      <c r="S567" s="246"/>
      <c r="T567" s="246"/>
      <c r="U567" s="246"/>
      <c r="V567" s="89"/>
      <c r="W567" s="246"/>
    </row>
    <row r="568" spans="2:23" ht="15.75" customHeight="1">
      <c r="B568" s="216"/>
      <c r="C568" s="89"/>
      <c r="D568" s="89"/>
      <c r="E568" s="89"/>
      <c r="F568" s="89"/>
      <c r="G568" s="89"/>
      <c r="H568" s="246"/>
      <c r="I568" s="246"/>
      <c r="J568" s="246"/>
      <c r="K568" s="216"/>
      <c r="L568" s="246"/>
      <c r="M568" s="89"/>
      <c r="N568" s="89"/>
      <c r="O568" s="89"/>
      <c r="P568" s="89"/>
      <c r="Q568" s="89"/>
      <c r="R568" s="89"/>
      <c r="S568" s="246"/>
      <c r="T568" s="246"/>
      <c r="U568" s="246"/>
      <c r="V568" s="89"/>
      <c r="W568" s="246"/>
    </row>
    <row r="569" spans="2:23" ht="15.75" customHeight="1">
      <c r="B569" s="216"/>
      <c r="C569" s="89"/>
      <c r="D569" s="89"/>
      <c r="E569" s="89"/>
      <c r="F569" s="89"/>
      <c r="G569" s="89"/>
      <c r="H569" s="246"/>
      <c r="I569" s="246"/>
      <c r="J569" s="246"/>
      <c r="K569" s="216"/>
      <c r="L569" s="246"/>
      <c r="M569" s="89"/>
      <c r="N569" s="89"/>
      <c r="O569" s="89"/>
      <c r="P569" s="89"/>
      <c r="Q569" s="89"/>
      <c r="R569" s="89"/>
      <c r="S569" s="246"/>
      <c r="T569" s="246"/>
      <c r="U569" s="246"/>
      <c r="V569" s="89"/>
      <c r="W569" s="246"/>
    </row>
    <row r="570" spans="2:23" ht="15.75" customHeight="1">
      <c r="B570" s="216"/>
      <c r="C570" s="89"/>
      <c r="D570" s="89"/>
      <c r="E570" s="89"/>
      <c r="F570" s="89"/>
      <c r="G570" s="89"/>
      <c r="H570" s="246"/>
      <c r="I570" s="246"/>
      <c r="J570" s="246"/>
      <c r="K570" s="216"/>
      <c r="L570" s="246"/>
      <c r="M570" s="89"/>
      <c r="N570" s="89"/>
      <c r="O570" s="89"/>
      <c r="P570" s="89"/>
      <c r="Q570" s="89"/>
      <c r="R570" s="89"/>
      <c r="S570" s="246"/>
      <c r="T570" s="246"/>
      <c r="U570" s="246"/>
      <c r="V570" s="89"/>
      <c r="W570" s="246"/>
    </row>
    <row r="571" spans="2:23" ht="15.75" customHeight="1">
      <c r="B571" s="216"/>
      <c r="C571" s="89"/>
      <c r="D571" s="89"/>
      <c r="E571" s="89"/>
      <c r="F571" s="89"/>
      <c r="G571" s="89"/>
      <c r="H571" s="246"/>
      <c r="I571" s="246"/>
      <c r="J571" s="246"/>
      <c r="K571" s="216"/>
      <c r="L571" s="246"/>
      <c r="M571" s="89"/>
      <c r="N571" s="89"/>
      <c r="O571" s="89"/>
      <c r="P571" s="89"/>
      <c r="Q571" s="89"/>
      <c r="R571" s="89"/>
      <c r="S571" s="246"/>
      <c r="T571" s="246"/>
      <c r="U571" s="246"/>
      <c r="V571" s="89"/>
      <c r="W571" s="246"/>
    </row>
    <row r="572" spans="2:23" ht="15.75" customHeight="1">
      <c r="B572" s="216"/>
      <c r="C572" s="89"/>
      <c r="D572" s="89"/>
      <c r="E572" s="89"/>
      <c r="F572" s="89"/>
      <c r="G572" s="89"/>
      <c r="H572" s="246"/>
      <c r="I572" s="246"/>
      <c r="J572" s="246"/>
      <c r="K572" s="216"/>
      <c r="L572" s="246"/>
      <c r="M572" s="89"/>
      <c r="N572" s="89"/>
      <c r="O572" s="89"/>
      <c r="P572" s="89"/>
      <c r="Q572" s="89"/>
      <c r="R572" s="89"/>
      <c r="S572" s="246"/>
      <c r="T572" s="246"/>
      <c r="U572" s="246"/>
      <c r="V572" s="89"/>
      <c r="W572" s="246"/>
    </row>
    <row r="573" spans="2:23" ht="15.75" customHeight="1">
      <c r="B573" s="216"/>
      <c r="C573" s="89"/>
      <c r="D573" s="89"/>
      <c r="E573" s="89"/>
      <c r="F573" s="89"/>
      <c r="G573" s="89"/>
      <c r="H573" s="246"/>
      <c r="I573" s="246"/>
      <c r="J573" s="246"/>
      <c r="K573" s="216"/>
      <c r="L573" s="246"/>
      <c r="M573" s="89"/>
      <c r="N573" s="89"/>
      <c r="O573" s="89"/>
      <c r="P573" s="89"/>
      <c r="Q573" s="89"/>
      <c r="R573" s="89"/>
      <c r="S573" s="246"/>
      <c r="T573" s="246"/>
      <c r="U573" s="246"/>
      <c r="V573" s="89"/>
      <c r="W573" s="246"/>
    </row>
    <row r="574" spans="2:23" ht="15.75" customHeight="1">
      <c r="B574" s="216"/>
      <c r="C574" s="89"/>
      <c r="D574" s="89"/>
      <c r="E574" s="89"/>
      <c r="F574" s="89"/>
      <c r="G574" s="89"/>
      <c r="H574" s="246"/>
      <c r="I574" s="246"/>
      <c r="J574" s="246"/>
      <c r="K574" s="216"/>
      <c r="L574" s="246"/>
      <c r="M574" s="89"/>
      <c r="N574" s="89"/>
      <c r="O574" s="89"/>
      <c r="P574" s="89"/>
      <c r="Q574" s="89"/>
      <c r="R574" s="89"/>
      <c r="S574" s="246"/>
      <c r="T574" s="246"/>
      <c r="U574" s="246"/>
      <c r="V574" s="89"/>
      <c r="W574" s="246"/>
    </row>
    <row r="575" spans="2:23" ht="15.75" customHeight="1">
      <c r="B575" s="216"/>
      <c r="C575" s="89"/>
      <c r="D575" s="89"/>
      <c r="E575" s="89"/>
      <c r="F575" s="89"/>
      <c r="G575" s="89"/>
      <c r="H575" s="246"/>
      <c r="I575" s="246"/>
      <c r="J575" s="246"/>
      <c r="K575" s="216"/>
      <c r="L575" s="246"/>
      <c r="M575" s="89"/>
      <c r="N575" s="89"/>
      <c r="O575" s="89"/>
      <c r="P575" s="89"/>
      <c r="Q575" s="89"/>
      <c r="R575" s="89"/>
      <c r="S575" s="246"/>
      <c r="T575" s="246"/>
      <c r="U575" s="246"/>
      <c r="V575" s="89"/>
      <c r="W575" s="246"/>
    </row>
    <row r="576" spans="2:23" ht="15.75" customHeight="1">
      <c r="B576" s="216"/>
      <c r="C576" s="89"/>
      <c r="D576" s="89"/>
      <c r="E576" s="89"/>
      <c r="F576" s="89"/>
      <c r="G576" s="89"/>
      <c r="H576" s="246"/>
      <c r="I576" s="246"/>
      <c r="J576" s="246"/>
      <c r="K576" s="216"/>
      <c r="L576" s="246"/>
      <c r="M576" s="89"/>
      <c r="N576" s="89"/>
      <c r="O576" s="89"/>
      <c r="P576" s="89"/>
      <c r="Q576" s="89"/>
      <c r="R576" s="89"/>
      <c r="S576" s="246"/>
      <c r="T576" s="246"/>
      <c r="U576" s="246"/>
      <c r="V576" s="89"/>
      <c r="W576" s="246"/>
    </row>
    <row r="577" spans="2:23" ht="15.75" customHeight="1">
      <c r="B577" s="216"/>
      <c r="C577" s="89"/>
      <c r="D577" s="89"/>
      <c r="E577" s="89"/>
      <c r="F577" s="89"/>
      <c r="G577" s="89"/>
      <c r="H577" s="246"/>
      <c r="I577" s="246"/>
      <c r="J577" s="246"/>
      <c r="K577" s="216"/>
      <c r="L577" s="246"/>
      <c r="M577" s="89"/>
      <c r="N577" s="89"/>
      <c r="O577" s="89"/>
      <c r="P577" s="89"/>
      <c r="Q577" s="89"/>
      <c r="R577" s="89"/>
      <c r="S577" s="246"/>
      <c r="T577" s="246"/>
      <c r="U577" s="246"/>
      <c r="V577" s="89"/>
      <c r="W577" s="246"/>
    </row>
    <row r="578" spans="2:23" ht="15.75" customHeight="1">
      <c r="B578" s="216"/>
      <c r="C578" s="89"/>
      <c r="D578" s="89"/>
      <c r="E578" s="89"/>
      <c r="F578" s="89"/>
      <c r="G578" s="89"/>
      <c r="H578" s="246"/>
      <c r="I578" s="246"/>
      <c r="J578" s="246"/>
      <c r="K578" s="216"/>
      <c r="L578" s="246"/>
      <c r="M578" s="89"/>
      <c r="N578" s="89"/>
      <c r="O578" s="89"/>
      <c r="P578" s="89"/>
      <c r="Q578" s="89"/>
      <c r="R578" s="89"/>
      <c r="S578" s="246"/>
      <c r="T578" s="246"/>
      <c r="U578" s="246"/>
      <c r="V578" s="89"/>
      <c r="W578" s="246"/>
    </row>
    <row r="579" spans="2:23" ht="15.75" customHeight="1">
      <c r="B579" s="216"/>
      <c r="C579" s="89"/>
      <c r="D579" s="89"/>
      <c r="E579" s="89"/>
      <c r="F579" s="89"/>
      <c r="G579" s="89"/>
      <c r="H579" s="246"/>
      <c r="I579" s="246"/>
      <c r="J579" s="246"/>
      <c r="K579" s="216"/>
      <c r="L579" s="246"/>
      <c r="M579" s="89"/>
      <c r="N579" s="89"/>
      <c r="O579" s="89"/>
      <c r="P579" s="89"/>
      <c r="Q579" s="89"/>
      <c r="R579" s="89"/>
      <c r="S579" s="246"/>
      <c r="T579" s="246"/>
      <c r="U579" s="246"/>
      <c r="V579" s="89"/>
      <c r="W579" s="246"/>
    </row>
    <row r="580" spans="2:23" ht="15.75" customHeight="1">
      <c r="B580" s="216"/>
      <c r="C580" s="89"/>
      <c r="D580" s="89"/>
      <c r="E580" s="89"/>
      <c r="F580" s="89"/>
      <c r="G580" s="89"/>
      <c r="H580" s="246"/>
      <c r="I580" s="246"/>
      <c r="J580" s="246"/>
      <c r="K580" s="216"/>
      <c r="L580" s="246"/>
      <c r="M580" s="89"/>
      <c r="N580" s="89"/>
      <c r="O580" s="89"/>
      <c r="P580" s="89"/>
      <c r="Q580" s="89"/>
      <c r="R580" s="89"/>
      <c r="S580" s="246"/>
      <c r="T580" s="246"/>
      <c r="U580" s="246"/>
      <c r="V580" s="89"/>
      <c r="W580" s="246"/>
    </row>
    <row r="581" spans="2:23" ht="15.75" customHeight="1">
      <c r="B581" s="216"/>
      <c r="C581" s="89"/>
      <c r="D581" s="89"/>
      <c r="E581" s="89"/>
      <c r="F581" s="89"/>
      <c r="G581" s="89"/>
      <c r="H581" s="246"/>
      <c r="I581" s="246"/>
      <c r="J581" s="246"/>
      <c r="K581" s="216"/>
      <c r="L581" s="246"/>
      <c r="M581" s="89"/>
      <c r="N581" s="89"/>
      <c r="O581" s="89"/>
      <c r="P581" s="89"/>
      <c r="Q581" s="89"/>
      <c r="R581" s="89"/>
      <c r="S581" s="246"/>
      <c r="T581" s="246"/>
      <c r="U581" s="246"/>
      <c r="V581" s="89"/>
      <c r="W581" s="246"/>
    </row>
    <row r="582" spans="2:23" ht="15.75" customHeight="1">
      <c r="B582" s="216"/>
      <c r="C582" s="89"/>
      <c r="D582" s="89"/>
      <c r="E582" s="89"/>
      <c r="F582" s="89"/>
      <c r="G582" s="89"/>
      <c r="H582" s="246"/>
      <c r="I582" s="246"/>
      <c r="J582" s="246"/>
      <c r="K582" s="216"/>
      <c r="L582" s="246"/>
      <c r="M582" s="89"/>
      <c r="N582" s="89"/>
      <c r="O582" s="89"/>
      <c r="P582" s="89"/>
      <c r="Q582" s="89"/>
      <c r="R582" s="89"/>
      <c r="S582" s="246"/>
      <c r="T582" s="246"/>
      <c r="U582" s="246"/>
      <c r="V582" s="89"/>
      <c r="W582" s="246"/>
    </row>
    <row r="583" spans="2:23" ht="15.75" customHeight="1">
      <c r="B583" s="216"/>
      <c r="C583" s="89"/>
      <c r="D583" s="89"/>
      <c r="E583" s="89"/>
      <c r="F583" s="89"/>
      <c r="G583" s="89"/>
      <c r="H583" s="246"/>
      <c r="I583" s="246"/>
      <c r="J583" s="246"/>
      <c r="K583" s="216"/>
      <c r="L583" s="246"/>
      <c r="M583" s="89"/>
      <c r="N583" s="89"/>
      <c r="O583" s="89"/>
      <c r="P583" s="89"/>
      <c r="Q583" s="89"/>
      <c r="R583" s="89"/>
      <c r="S583" s="246"/>
      <c r="T583" s="246"/>
      <c r="U583" s="246"/>
      <c r="V583" s="89"/>
      <c r="W583" s="246"/>
    </row>
    <row r="584" spans="2:23" ht="15.75" customHeight="1">
      <c r="B584" s="216"/>
      <c r="C584" s="89"/>
      <c r="D584" s="89"/>
      <c r="E584" s="89"/>
      <c r="F584" s="89"/>
      <c r="G584" s="89"/>
      <c r="H584" s="246"/>
      <c r="I584" s="246"/>
      <c r="J584" s="246"/>
      <c r="K584" s="216"/>
      <c r="L584" s="246"/>
      <c r="M584" s="89"/>
      <c r="N584" s="89"/>
      <c r="O584" s="89"/>
      <c r="P584" s="89"/>
      <c r="Q584" s="89"/>
      <c r="R584" s="89"/>
      <c r="S584" s="246"/>
      <c r="T584" s="246"/>
      <c r="U584" s="246"/>
      <c r="V584" s="89"/>
      <c r="W584" s="246"/>
    </row>
    <row r="585" spans="2:23" ht="15.75" customHeight="1">
      <c r="B585" s="216"/>
      <c r="C585" s="89"/>
      <c r="D585" s="89"/>
      <c r="E585" s="89"/>
      <c r="F585" s="89"/>
      <c r="G585" s="89"/>
      <c r="H585" s="246"/>
      <c r="I585" s="246"/>
      <c r="J585" s="246"/>
      <c r="K585" s="216"/>
      <c r="L585" s="246"/>
      <c r="M585" s="89"/>
      <c r="N585" s="89"/>
      <c r="O585" s="89"/>
      <c r="P585" s="89"/>
      <c r="Q585" s="89"/>
      <c r="R585" s="89"/>
      <c r="S585" s="246"/>
      <c r="T585" s="246"/>
      <c r="U585" s="246"/>
      <c r="V585" s="89"/>
      <c r="W585" s="246"/>
    </row>
    <row r="586" spans="2:23" ht="15.75" customHeight="1">
      <c r="B586" s="216"/>
      <c r="C586" s="89"/>
      <c r="D586" s="89"/>
      <c r="E586" s="89"/>
      <c r="F586" s="89"/>
      <c r="G586" s="89"/>
      <c r="H586" s="246"/>
      <c r="I586" s="246"/>
      <c r="J586" s="246"/>
      <c r="K586" s="216"/>
      <c r="L586" s="246"/>
      <c r="M586" s="89"/>
      <c r="N586" s="89"/>
      <c r="O586" s="89"/>
      <c r="P586" s="89"/>
      <c r="Q586" s="89"/>
      <c r="R586" s="89"/>
      <c r="S586" s="246"/>
      <c r="T586" s="246"/>
      <c r="U586" s="246"/>
      <c r="V586" s="89"/>
      <c r="W586" s="246"/>
    </row>
    <row r="587" spans="2:23" ht="15.75" customHeight="1">
      <c r="B587" s="216"/>
      <c r="C587" s="89"/>
      <c r="D587" s="89"/>
      <c r="E587" s="89"/>
      <c r="F587" s="89"/>
      <c r="G587" s="89"/>
      <c r="H587" s="246"/>
      <c r="I587" s="246"/>
      <c r="J587" s="246"/>
      <c r="K587" s="216"/>
      <c r="L587" s="246"/>
      <c r="M587" s="89"/>
      <c r="N587" s="89"/>
      <c r="O587" s="89"/>
      <c r="P587" s="89"/>
      <c r="Q587" s="89"/>
      <c r="R587" s="89"/>
      <c r="S587" s="246"/>
      <c r="T587" s="246"/>
      <c r="U587" s="246"/>
      <c r="V587" s="89"/>
      <c r="W587" s="246"/>
    </row>
    <row r="588" spans="2:23" ht="15.75" customHeight="1">
      <c r="B588" s="216"/>
      <c r="C588" s="89"/>
      <c r="D588" s="89"/>
      <c r="E588" s="89"/>
      <c r="F588" s="89"/>
      <c r="G588" s="89"/>
      <c r="H588" s="246"/>
      <c r="I588" s="246"/>
      <c r="J588" s="246"/>
      <c r="K588" s="216"/>
      <c r="L588" s="246"/>
      <c r="M588" s="89"/>
      <c r="N588" s="89"/>
      <c r="O588" s="89"/>
      <c r="P588" s="89"/>
      <c r="Q588" s="89"/>
      <c r="R588" s="89"/>
      <c r="S588" s="246"/>
      <c r="T588" s="246"/>
      <c r="U588" s="246"/>
      <c r="V588" s="89"/>
      <c r="W588" s="246"/>
    </row>
    <row r="589" spans="2:23" ht="15.75" customHeight="1">
      <c r="B589" s="216"/>
      <c r="C589" s="89"/>
      <c r="D589" s="89"/>
      <c r="E589" s="89"/>
      <c r="F589" s="89"/>
      <c r="G589" s="89"/>
      <c r="H589" s="246"/>
      <c r="I589" s="246"/>
      <c r="J589" s="246"/>
      <c r="K589" s="216"/>
      <c r="L589" s="246"/>
      <c r="M589" s="89"/>
      <c r="N589" s="89"/>
      <c r="O589" s="89"/>
      <c r="P589" s="89"/>
      <c r="Q589" s="89"/>
      <c r="R589" s="89"/>
      <c r="S589" s="246"/>
      <c r="T589" s="246"/>
      <c r="U589" s="246"/>
      <c r="V589" s="89"/>
      <c r="W589" s="246"/>
    </row>
    <row r="590" spans="2:23" ht="15.75" customHeight="1">
      <c r="B590" s="216"/>
      <c r="C590" s="89"/>
      <c r="D590" s="89"/>
      <c r="E590" s="89"/>
      <c r="F590" s="89"/>
      <c r="G590" s="89"/>
      <c r="H590" s="246"/>
      <c r="I590" s="246"/>
      <c r="J590" s="246"/>
      <c r="K590" s="216"/>
      <c r="L590" s="246"/>
      <c r="M590" s="89"/>
      <c r="N590" s="89"/>
      <c r="O590" s="89"/>
      <c r="P590" s="89"/>
      <c r="Q590" s="89"/>
      <c r="R590" s="89"/>
      <c r="S590" s="246"/>
      <c r="T590" s="246"/>
      <c r="U590" s="246"/>
      <c r="V590" s="89"/>
      <c r="W590" s="246"/>
    </row>
    <row r="591" spans="2:23" ht="15.75" customHeight="1">
      <c r="B591" s="216"/>
      <c r="C591" s="89"/>
      <c r="D591" s="89"/>
      <c r="E591" s="89"/>
      <c r="F591" s="89"/>
      <c r="G591" s="89"/>
      <c r="H591" s="246"/>
      <c r="I591" s="246"/>
      <c r="J591" s="246"/>
      <c r="K591" s="216"/>
      <c r="L591" s="246"/>
      <c r="M591" s="89"/>
      <c r="N591" s="89"/>
      <c r="O591" s="89"/>
      <c r="P591" s="89"/>
      <c r="Q591" s="89"/>
      <c r="R591" s="89"/>
      <c r="S591" s="246"/>
      <c r="T591" s="246"/>
      <c r="U591" s="246"/>
      <c r="V591" s="89"/>
      <c r="W591" s="246"/>
    </row>
    <row r="592" spans="2:23" ht="15.75" customHeight="1">
      <c r="B592" s="216"/>
      <c r="C592" s="89"/>
      <c r="D592" s="89"/>
      <c r="E592" s="89"/>
      <c r="F592" s="89"/>
      <c r="G592" s="89"/>
      <c r="H592" s="246"/>
      <c r="I592" s="246"/>
      <c r="J592" s="246"/>
      <c r="K592" s="216"/>
      <c r="L592" s="246"/>
      <c r="M592" s="89"/>
      <c r="N592" s="89"/>
      <c r="O592" s="89"/>
      <c r="P592" s="89"/>
      <c r="Q592" s="89"/>
      <c r="R592" s="89"/>
      <c r="S592" s="246"/>
      <c r="T592" s="246"/>
      <c r="U592" s="246"/>
      <c r="V592" s="89"/>
      <c r="W592" s="246"/>
    </row>
    <row r="593" spans="2:23" ht="15.75" customHeight="1">
      <c r="B593" s="216"/>
      <c r="C593" s="89"/>
      <c r="D593" s="89"/>
      <c r="E593" s="89"/>
      <c r="F593" s="89"/>
      <c r="G593" s="89"/>
      <c r="H593" s="246"/>
      <c r="I593" s="246"/>
      <c r="J593" s="246"/>
      <c r="K593" s="216"/>
      <c r="L593" s="246"/>
      <c r="M593" s="89"/>
      <c r="N593" s="89"/>
      <c r="O593" s="89"/>
      <c r="P593" s="89"/>
      <c r="Q593" s="89"/>
      <c r="R593" s="89"/>
      <c r="S593" s="246"/>
      <c r="T593" s="246"/>
      <c r="U593" s="246"/>
      <c r="V593" s="89"/>
      <c r="W593" s="246"/>
    </row>
    <row r="594" spans="2:23" ht="15.75" customHeight="1">
      <c r="B594" s="216"/>
      <c r="C594" s="89"/>
      <c r="D594" s="89"/>
      <c r="E594" s="89"/>
      <c r="F594" s="89"/>
      <c r="G594" s="89"/>
      <c r="H594" s="246"/>
      <c r="I594" s="246"/>
      <c r="J594" s="246"/>
      <c r="K594" s="216"/>
      <c r="L594" s="246"/>
      <c r="M594" s="89"/>
      <c r="N594" s="89"/>
      <c r="O594" s="89"/>
      <c r="P594" s="89"/>
      <c r="Q594" s="89"/>
      <c r="R594" s="89"/>
      <c r="S594" s="246"/>
      <c r="T594" s="246"/>
      <c r="U594" s="246"/>
      <c r="V594" s="89"/>
      <c r="W594" s="246"/>
    </row>
    <row r="595" spans="2:23" ht="15.75" customHeight="1">
      <c r="B595" s="216"/>
      <c r="C595" s="89"/>
      <c r="D595" s="89"/>
      <c r="E595" s="89"/>
      <c r="F595" s="89"/>
      <c r="G595" s="89"/>
      <c r="H595" s="246"/>
      <c r="I595" s="246"/>
      <c r="J595" s="246"/>
      <c r="K595" s="216"/>
      <c r="L595" s="246"/>
      <c r="M595" s="89"/>
      <c r="N595" s="89"/>
      <c r="O595" s="89"/>
      <c r="P595" s="89"/>
      <c r="Q595" s="89"/>
      <c r="R595" s="89"/>
      <c r="S595" s="246"/>
      <c r="T595" s="246"/>
      <c r="U595" s="246"/>
      <c r="V595" s="89"/>
      <c r="W595" s="246"/>
    </row>
    <row r="596" spans="2:23" ht="15.75" customHeight="1">
      <c r="B596" s="216"/>
      <c r="C596" s="89"/>
      <c r="D596" s="89"/>
      <c r="E596" s="89"/>
      <c r="F596" s="89"/>
      <c r="G596" s="89"/>
      <c r="H596" s="246"/>
      <c r="I596" s="246"/>
      <c r="J596" s="246"/>
      <c r="K596" s="216"/>
      <c r="L596" s="246"/>
      <c r="M596" s="89"/>
      <c r="N596" s="89"/>
      <c r="O596" s="89"/>
      <c r="P596" s="89"/>
      <c r="Q596" s="89"/>
      <c r="R596" s="89"/>
      <c r="S596" s="246"/>
      <c r="T596" s="246"/>
      <c r="U596" s="246"/>
      <c r="V596" s="89"/>
      <c r="W596" s="246"/>
    </row>
    <row r="597" spans="2:23" ht="15.75" customHeight="1">
      <c r="B597" s="216"/>
      <c r="C597" s="89"/>
      <c r="D597" s="89"/>
      <c r="E597" s="89"/>
      <c r="F597" s="89"/>
      <c r="G597" s="89"/>
      <c r="H597" s="246"/>
      <c r="I597" s="246"/>
      <c r="J597" s="246"/>
      <c r="K597" s="216"/>
      <c r="L597" s="246"/>
      <c r="M597" s="89"/>
      <c r="N597" s="89"/>
      <c r="O597" s="89"/>
      <c r="P597" s="89"/>
      <c r="Q597" s="89"/>
      <c r="R597" s="89"/>
      <c r="S597" s="246"/>
      <c r="T597" s="246"/>
      <c r="U597" s="246"/>
      <c r="V597" s="89"/>
      <c r="W597" s="246"/>
    </row>
    <row r="598" spans="2:23" ht="15.75" customHeight="1">
      <c r="B598" s="216"/>
      <c r="C598" s="89"/>
      <c r="D598" s="89"/>
      <c r="E598" s="89"/>
      <c r="F598" s="89"/>
      <c r="G598" s="89"/>
      <c r="H598" s="246"/>
      <c r="I598" s="246"/>
      <c r="J598" s="246"/>
      <c r="K598" s="216"/>
      <c r="L598" s="246"/>
      <c r="M598" s="89"/>
      <c r="N598" s="89"/>
      <c r="O598" s="89"/>
      <c r="P598" s="89"/>
      <c r="Q598" s="89"/>
      <c r="R598" s="89"/>
      <c r="S598" s="246"/>
      <c r="T598" s="246"/>
      <c r="U598" s="246"/>
      <c r="V598" s="89"/>
      <c r="W598" s="246"/>
    </row>
    <row r="599" spans="2:23" ht="15.75" customHeight="1">
      <c r="B599" s="216"/>
      <c r="C599" s="89"/>
      <c r="D599" s="89"/>
      <c r="E599" s="89"/>
      <c r="F599" s="89"/>
      <c r="G599" s="89"/>
      <c r="H599" s="246"/>
      <c r="I599" s="246"/>
      <c r="J599" s="246"/>
      <c r="K599" s="216"/>
      <c r="L599" s="246"/>
      <c r="M599" s="89"/>
      <c r="N599" s="89"/>
      <c r="O599" s="89"/>
      <c r="P599" s="89"/>
      <c r="Q599" s="89"/>
      <c r="R599" s="89"/>
      <c r="S599" s="246"/>
      <c r="T599" s="246"/>
      <c r="U599" s="246"/>
      <c r="V599" s="89"/>
      <c r="W599" s="246"/>
    </row>
    <row r="600" spans="2:23" ht="15.75" customHeight="1">
      <c r="B600" s="216"/>
      <c r="C600" s="89"/>
      <c r="D600" s="89"/>
      <c r="E600" s="89"/>
      <c r="F600" s="89"/>
      <c r="G600" s="89"/>
      <c r="H600" s="246"/>
      <c r="I600" s="246"/>
      <c r="J600" s="246"/>
      <c r="K600" s="216"/>
      <c r="L600" s="246"/>
      <c r="M600" s="89"/>
      <c r="N600" s="89"/>
      <c r="O600" s="89"/>
      <c r="P600" s="89"/>
      <c r="Q600" s="89"/>
      <c r="R600" s="89"/>
      <c r="S600" s="246"/>
      <c r="T600" s="246"/>
      <c r="U600" s="246"/>
      <c r="V600" s="89"/>
      <c r="W600" s="246"/>
    </row>
    <row r="601" spans="2:23" ht="15.75" customHeight="1">
      <c r="B601" s="216"/>
      <c r="C601" s="89"/>
      <c r="D601" s="89"/>
      <c r="E601" s="89"/>
      <c r="F601" s="89"/>
      <c r="G601" s="89"/>
      <c r="H601" s="246"/>
      <c r="I601" s="246"/>
      <c r="J601" s="246"/>
      <c r="K601" s="216"/>
      <c r="L601" s="246"/>
      <c r="M601" s="89"/>
      <c r="N601" s="89"/>
      <c r="O601" s="89"/>
      <c r="P601" s="89"/>
      <c r="Q601" s="89"/>
      <c r="R601" s="89"/>
      <c r="S601" s="246"/>
      <c r="T601" s="246"/>
      <c r="U601" s="246"/>
      <c r="V601" s="89"/>
      <c r="W601" s="246"/>
    </row>
    <row r="602" spans="2:23" ht="15.75" customHeight="1">
      <c r="B602" s="216"/>
      <c r="C602" s="89"/>
      <c r="D602" s="89"/>
      <c r="E602" s="89"/>
      <c r="F602" s="89"/>
      <c r="G602" s="89"/>
      <c r="H602" s="246"/>
      <c r="I602" s="246"/>
      <c r="J602" s="246"/>
      <c r="K602" s="216"/>
      <c r="L602" s="246"/>
      <c r="M602" s="89"/>
      <c r="N602" s="89"/>
      <c r="O602" s="89"/>
      <c r="P602" s="89"/>
      <c r="Q602" s="89"/>
      <c r="R602" s="89"/>
      <c r="S602" s="246"/>
      <c r="T602" s="246"/>
      <c r="U602" s="246"/>
      <c r="V602" s="89"/>
      <c r="W602" s="246"/>
    </row>
    <row r="603" spans="2:23" ht="15.75" customHeight="1">
      <c r="B603" s="216"/>
      <c r="C603" s="89"/>
      <c r="D603" s="89"/>
      <c r="E603" s="89"/>
      <c r="F603" s="89"/>
      <c r="G603" s="89"/>
      <c r="H603" s="246"/>
      <c r="I603" s="246"/>
      <c r="J603" s="246"/>
      <c r="K603" s="216"/>
      <c r="L603" s="246"/>
      <c r="M603" s="89"/>
      <c r="N603" s="89"/>
      <c r="O603" s="89"/>
      <c r="P603" s="89"/>
      <c r="Q603" s="89"/>
      <c r="R603" s="89"/>
      <c r="S603" s="246"/>
      <c r="T603" s="246"/>
      <c r="U603" s="246"/>
      <c r="V603" s="89"/>
      <c r="W603" s="246"/>
    </row>
    <row r="604" spans="2:23" ht="15.75" customHeight="1">
      <c r="B604" s="216"/>
      <c r="C604" s="89"/>
      <c r="D604" s="89"/>
      <c r="E604" s="89"/>
      <c r="F604" s="89"/>
      <c r="G604" s="89"/>
      <c r="H604" s="246"/>
      <c r="I604" s="246"/>
      <c r="J604" s="246"/>
      <c r="K604" s="216"/>
      <c r="L604" s="246"/>
      <c r="M604" s="89"/>
      <c r="N604" s="89"/>
      <c r="O604" s="89"/>
      <c r="P604" s="89"/>
      <c r="Q604" s="89"/>
      <c r="R604" s="89"/>
      <c r="S604" s="246"/>
      <c r="T604" s="246"/>
      <c r="U604" s="246"/>
      <c r="V604" s="89"/>
      <c r="W604" s="246"/>
    </row>
    <row r="605" spans="2:23" ht="15.75" customHeight="1">
      <c r="B605" s="216"/>
      <c r="C605" s="89"/>
      <c r="D605" s="89"/>
      <c r="E605" s="89"/>
      <c r="F605" s="89"/>
      <c r="G605" s="89"/>
      <c r="H605" s="246"/>
      <c r="I605" s="246"/>
      <c r="J605" s="246"/>
      <c r="K605" s="216"/>
      <c r="L605" s="246"/>
      <c r="M605" s="89"/>
      <c r="N605" s="89"/>
      <c r="O605" s="89"/>
      <c r="P605" s="89"/>
      <c r="Q605" s="89"/>
      <c r="R605" s="89"/>
      <c r="S605" s="246"/>
      <c r="T605" s="246"/>
      <c r="U605" s="246"/>
      <c r="V605" s="89"/>
      <c r="W605" s="246"/>
    </row>
    <row r="606" spans="2:23" ht="15.75" customHeight="1">
      <c r="B606" s="216"/>
      <c r="C606" s="89"/>
      <c r="D606" s="89"/>
      <c r="E606" s="89"/>
      <c r="F606" s="89"/>
      <c r="G606" s="89"/>
      <c r="H606" s="246"/>
      <c r="I606" s="246"/>
      <c r="J606" s="246"/>
      <c r="K606" s="216"/>
      <c r="L606" s="246"/>
      <c r="M606" s="89"/>
      <c r="N606" s="89"/>
      <c r="O606" s="89"/>
      <c r="P606" s="89"/>
      <c r="Q606" s="89"/>
      <c r="R606" s="89"/>
      <c r="S606" s="246"/>
      <c r="T606" s="246"/>
      <c r="U606" s="246"/>
      <c r="V606" s="89"/>
      <c r="W606" s="246"/>
    </row>
    <row r="607" spans="2:23" ht="15.75" customHeight="1">
      <c r="B607" s="216"/>
      <c r="C607" s="89"/>
      <c r="D607" s="89"/>
      <c r="E607" s="89"/>
      <c r="F607" s="89"/>
      <c r="G607" s="89"/>
      <c r="H607" s="246"/>
      <c r="I607" s="246"/>
      <c r="J607" s="246"/>
      <c r="K607" s="216"/>
      <c r="L607" s="246"/>
      <c r="M607" s="89"/>
      <c r="N607" s="89"/>
      <c r="O607" s="89"/>
      <c r="P607" s="89"/>
      <c r="Q607" s="89"/>
      <c r="R607" s="89"/>
      <c r="S607" s="246"/>
      <c r="T607" s="246"/>
      <c r="U607" s="246"/>
      <c r="V607" s="89"/>
      <c r="W607" s="246"/>
    </row>
    <row r="608" spans="2:23" ht="15.75" customHeight="1">
      <c r="B608" s="216"/>
      <c r="C608" s="89"/>
      <c r="D608" s="89"/>
      <c r="E608" s="89"/>
      <c r="F608" s="89"/>
      <c r="G608" s="89"/>
      <c r="H608" s="246"/>
      <c r="I608" s="246"/>
      <c r="J608" s="246"/>
      <c r="K608" s="216"/>
      <c r="L608" s="246"/>
      <c r="M608" s="89"/>
      <c r="N608" s="89"/>
      <c r="O608" s="89"/>
      <c r="P608" s="89"/>
      <c r="Q608" s="89"/>
      <c r="R608" s="89"/>
      <c r="S608" s="246"/>
      <c r="T608" s="246"/>
      <c r="U608" s="246"/>
      <c r="V608" s="89"/>
      <c r="W608" s="246"/>
    </row>
    <row r="609" spans="2:23" ht="15.75" customHeight="1">
      <c r="B609" s="216"/>
      <c r="C609" s="89"/>
      <c r="D609" s="89"/>
      <c r="E609" s="89"/>
      <c r="F609" s="89"/>
      <c r="G609" s="89"/>
      <c r="H609" s="246"/>
      <c r="I609" s="246"/>
      <c r="J609" s="246"/>
      <c r="K609" s="216"/>
      <c r="L609" s="246"/>
      <c r="M609" s="89"/>
      <c r="N609" s="89"/>
      <c r="O609" s="89"/>
      <c r="P609" s="89"/>
      <c r="Q609" s="89"/>
      <c r="R609" s="89"/>
      <c r="S609" s="246"/>
      <c r="T609" s="246"/>
      <c r="U609" s="246"/>
      <c r="V609" s="89"/>
      <c r="W609" s="246"/>
    </row>
    <row r="610" spans="2:23" ht="15.75" customHeight="1">
      <c r="B610" s="216"/>
      <c r="C610" s="89"/>
      <c r="D610" s="89"/>
      <c r="E610" s="89"/>
      <c r="F610" s="89"/>
      <c r="G610" s="89"/>
      <c r="H610" s="246"/>
      <c r="I610" s="246"/>
      <c r="J610" s="246"/>
      <c r="K610" s="216"/>
      <c r="L610" s="246"/>
      <c r="M610" s="89"/>
      <c r="N610" s="89"/>
      <c r="O610" s="89"/>
      <c r="P610" s="89"/>
      <c r="Q610" s="89"/>
      <c r="R610" s="89"/>
      <c r="S610" s="246"/>
      <c r="T610" s="246"/>
      <c r="U610" s="246"/>
      <c r="V610" s="89"/>
      <c r="W610" s="246"/>
    </row>
    <row r="611" spans="2:23" ht="15.75" customHeight="1">
      <c r="B611" s="216"/>
      <c r="C611" s="89"/>
      <c r="D611" s="89"/>
      <c r="E611" s="89"/>
      <c r="F611" s="89"/>
      <c r="G611" s="89"/>
      <c r="H611" s="246"/>
      <c r="I611" s="246"/>
      <c r="J611" s="246"/>
      <c r="K611" s="216"/>
      <c r="L611" s="246"/>
      <c r="M611" s="89"/>
      <c r="N611" s="89"/>
      <c r="O611" s="89"/>
      <c r="P611" s="89"/>
      <c r="Q611" s="89"/>
      <c r="R611" s="89"/>
      <c r="S611" s="246"/>
      <c r="T611" s="246"/>
      <c r="U611" s="246"/>
      <c r="V611" s="89"/>
      <c r="W611" s="246"/>
    </row>
    <row r="612" spans="2:23" ht="15.75" customHeight="1">
      <c r="B612" s="216"/>
      <c r="C612" s="89"/>
      <c r="D612" s="89"/>
      <c r="E612" s="89"/>
      <c r="F612" s="89"/>
      <c r="G612" s="89"/>
      <c r="H612" s="246"/>
      <c r="I612" s="246"/>
      <c r="J612" s="246"/>
      <c r="K612" s="216"/>
      <c r="L612" s="246"/>
      <c r="M612" s="89"/>
      <c r="N612" s="89"/>
      <c r="O612" s="89"/>
      <c r="P612" s="89"/>
      <c r="Q612" s="89"/>
      <c r="R612" s="89"/>
      <c r="S612" s="246"/>
      <c r="T612" s="246"/>
      <c r="U612" s="246"/>
      <c r="V612" s="89"/>
      <c r="W612" s="246"/>
    </row>
    <row r="613" spans="2:23" ht="15.75" customHeight="1">
      <c r="B613" s="216"/>
      <c r="C613" s="89"/>
      <c r="D613" s="89"/>
      <c r="E613" s="89"/>
      <c r="F613" s="89"/>
      <c r="G613" s="89"/>
      <c r="H613" s="246"/>
      <c r="I613" s="246"/>
      <c r="J613" s="246"/>
      <c r="K613" s="216"/>
      <c r="L613" s="246"/>
      <c r="M613" s="89"/>
      <c r="N613" s="89"/>
      <c r="O613" s="89"/>
      <c r="P613" s="89"/>
      <c r="Q613" s="89"/>
      <c r="R613" s="89"/>
      <c r="S613" s="246"/>
      <c r="T613" s="246"/>
      <c r="U613" s="246"/>
      <c r="V613" s="89"/>
      <c r="W613" s="246"/>
    </row>
    <row r="614" spans="2:23" ht="15.75" customHeight="1">
      <c r="B614" s="216"/>
      <c r="C614" s="89"/>
      <c r="D614" s="89"/>
      <c r="E614" s="89"/>
      <c r="F614" s="89"/>
      <c r="G614" s="89"/>
      <c r="H614" s="246"/>
      <c r="I614" s="246"/>
      <c r="J614" s="246"/>
      <c r="K614" s="216"/>
      <c r="L614" s="246"/>
      <c r="M614" s="89"/>
      <c r="N614" s="89"/>
      <c r="O614" s="89"/>
      <c r="P614" s="89"/>
      <c r="Q614" s="89"/>
      <c r="R614" s="89"/>
      <c r="S614" s="246"/>
      <c r="T614" s="246"/>
      <c r="U614" s="246"/>
      <c r="V614" s="89"/>
      <c r="W614" s="246"/>
    </row>
    <row r="615" spans="2:23" ht="15.75" customHeight="1">
      <c r="B615" s="216"/>
      <c r="C615" s="89"/>
      <c r="D615" s="89"/>
      <c r="E615" s="89"/>
      <c r="F615" s="89"/>
      <c r="G615" s="89"/>
      <c r="H615" s="246"/>
      <c r="I615" s="246"/>
      <c r="J615" s="246"/>
      <c r="K615" s="216"/>
      <c r="L615" s="246"/>
      <c r="M615" s="89"/>
      <c r="N615" s="89"/>
      <c r="O615" s="89"/>
      <c r="P615" s="89"/>
      <c r="Q615" s="89"/>
      <c r="R615" s="89"/>
      <c r="S615" s="246"/>
      <c r="T615" s="246"/>
      <c r="U615" s="246"/>
      <c r="V615" s="89"/>
      <c r="W615" s="246"/>
    </row>
    <row r="616" spans="2:23" ht="15.75" customHeight="1">
      <c r="B616" s="216"/>
      <c r="C616" s="89"/>
      <c r="D616" s="89"/>
      <c r="E616" s="89"/>
      <c r="F616" s="89"/>
      <c r="G616" s="89"/>
      <c r="H616" s="246"/>
      <c r="I616" s="246"/>
      <c r="J616" s="246"/>
      <c r="K616" s="216"/>
      <c r="L616" s="246"/>
      <c r="M616" s="89"/>
      <c r="N616" s="89"/>
      <c r="O616" s="89"/>
      <c r="P616" s="89"/>
      <c r="Q616" s="89"/>
      <c r="R616" s="89"/>
      <c r="S616" s="246"/>
      <c r="T616" s="246"/>
      <c r="U616" s="246"/>
      <c r="V616" s="89"/>
      <c r="W616" s="246"/>
    </row>
    <row r="617" spans="2:23" ht="15.75" customHeight="1">
      <c r="B617" s="216"/>
      <c r="C617" s="89"/>
      <c r="D617" s="89"/>
      <c r="E617" s="89"/>
      <c r="F617" s="89"/>
      <c r="G617" s="89"/>
      <c r="H617" s="246"/>
      <c r="I617" s="246"/>
      <c r="J617" s="246"/>
      <c r="K617" s="216"/>
      <c r="L617" s="246"/>
      <c r="M617" s="89"/>
      <c r="N617" s="89"/>
      <c r="O617" s="89"/>
      <c r="P617" s="89"/>
      <c r="Q617" s="89"/>
      <c r="R617" s="89"/>
      <c r="S617" s="246"/>
      <c r="T617" s="246"/>
      <c r="U617" s="246"/>
      <c r="V617" s="89"/>
      <c r="W617" s="246"/>
    </row>
    <row r="618" spans="2:23" ht="15.75" customHeight="1">
      <c r="B618" s="216"/>
      <c r="C618" s="89"/>
      <c r="D618" s="89"/>
      <c r="E618" s="89"/>
      <c r="F618" s="89"/>
      <c r="G618" s="89"/>
      <c r="H618" s="246"/>
      <c r="I618" s="246"/>
      <c r="J618" s="246"/>
      <c r="K618" s="216"/>
      <c r="L618" s="246"/>
      <c r="M618" s="89"/>
      <c r="N618" s="89"/>
      <c r="O618" s="89"/>
      <c r="P618" s="89"/>
      <c r="Q618" s="89"/>
      <c r="R618" s="89"/>
      <c r="S618" s="246"/>
      <c r="T618" s="246"/>
      <c r="U618" s="246"/>
      <c r="V618" s="89"/>
      <c r="W618" s="246"/>
    </row>
    <row r="619" spans="2:23" ht="15.75" customHeight="1">
      <c r="B619" s="216"/>
      <c r="C619" s="89"/>
      <c r="D619" s="89"/>
      <c r="E619" s="89"/>
      <c r="F619" s="89"/>
      <c r="G619" s="89"/>
      <c r="H619" s="246"/>
      <c r="I619" s="246"/>
      <c r="J619" s="246"/>
      <c r="K619" s="216"/>
      <c r="L619" s="246"/>
      <c r="M619" s="89"/>
      <c r="N619" s="89"/>
      <c r="O619" s="89"/>
      <c r="P619" s="89"/>
      <c r="Q619" s="89"/>
      <c r="R619" s="89"/>
      <c r="S619" s="246"/>
      <c r="T619" s="246"/>
      <c r="U619" s="246"/>
      <c r="V619" s="89"/>
      <c r="W619" s="246"/>
    </row>
    <row r="620" spans="2:23" ht="15.75" customHeight="1">
      <c r="B620" s="216"/>
      <c r="C620" s="89"/>
      <c r="D620" s="89"/>
      <c r="E620" s="89"/>
      <c r="F620" s="89"/>
      <c r="G620" s="89"/>
      <c r="H620" s="246"/>
      <c r="I620" s="246"/>
      <c r="J620" s="246"/>
      <c r="K620" s="216"/>
      <c r="L620" s="246"/>
      <c r="M620" s="89"/>
      <c r="N620" s="89"/>
      <c r="O620" s="89"/>
      <c r="P620" s="89"/>
      <c r="Q620" s="89"/>
      <c r="R620" s="89"/>
      <c r="S620" s="246"/>
      <c r="T620" s="246"/>
      <c r="U620" s="246"/>
      <c r="V620" s="89"/>
      <c r="W620" s="246"/>
    </row>
    <row r="621" spans="2:23" ht="15.75" customHeight="1">
      <c r="B621" s="216"/>
      <c r="C621" s="89"/>
      <c r="D621" s="89"/>
      <c r="E621" s="89"/>
      <c r="F621" s="89"/>
      <c r="G621" s="89"/>
      <c r="H621" s="246"/>
      <c r="I621" s="246"/>
      <c r="J621" s="246"/>
      <c r="K621" s="216"/>
      <c r="L621" s="246"/>
      <c r="M621" s="89"/>
      <c r="N621" s="89"/>
      <c r="O621" s="89"/>
      <c r="P621" s="89"/>
      <c r="Q621" s="89"/>
      <c r="R621" s="89"/>
      <c r="S621" s="246"/>
      <c r="T621" s="246"/>
      <c r="U621" s="246"/>
      <c r="V621" s="89"/>
      <c r="W621" s="246"/>
    </row>
    <row r="622" spans="2:23" ht="15.75" customHeight="1">
      <c r="B622" s="216"/>
      <c r="C622" s="89"/>
      <c r="D622" s="89"/>
      <c r="E622" s="89"/>
      <c r="F622" s="89"/>
      <c r="G622" s="89"/>
      <c r="H622" s="246"/>
      <c r="I622" s="246"/>
      <c r="J622" s="246"/>
      <c r="K622" s="216"/>
      <c r="L622" s="246"/>
      <c r="M622" s="89"/>
      <c r="N622" s="89"/>
      <c r="O622" s="89"/>
      <c r="P622" s="89"/>
      <c r="Q622" s="89"/>
      <c r="R622" s="89"/>
      <c r="S622" s="246"/>
      <c r="T622" s="246"/>
      <c r="U622" s="246"/>
      <c r="V622" s="89"/>
      <c r="W622" s="246"/>
    </row>
    <row r="623" spans="2:23" ht="15.75" customHeight="1">
      <c r="B623" s="216"/>
      <c r="C623" s="89"/>
      <c r="D623" s="89"/>
      <c r="E623" s="89"/>
      <c r="F623" s="89"/>
      <c r="G623" s="89"/>
      <c r="H623" s="246"/>
      <c r="I623" s="246"/>
      <c r="J623" s="246"/>
      <c r="K623" s="216"/>
      <c r="L623" s="246"/>
      <c r="M623" s="89"/>
      <c r="N623" s="89"/>
      <c r="O623" s="89"/>
      <c r="P623" s="89"/>
      <c r="Q623" s="89"/>
      <c r="R623" s="89"/>
      <c r="S623" s="246"/>
      <c r="T623" s="246"/>
      <c r="U623" s="246"/>
      <c r="V623" s="89"/>
      <c r="W623" s="246"/>
    </row>
    <row r="624" spans="2:23" ht="15.75" customHeight="1">
      <c r="B624" s="216"/>
      <c r="C624" s="89"/>
      <c r="D624" s="89"/>
      <c r="E624" s="89"/>
      <c r="F624" s="89"/>
      <c r="G624" s="89"/>
      <c r="H624" s="246"/>
      <c r="I624" s="246"/>
      <c r="J624" s="246"/>
      <c r="K624" s="216"/>
      <c r="L624" s="246"/>
      <c r="M624" s="89"/>
      <c r="N624" s="89"/>
      <c r="O624" s="89"/>
      <c r="P624" s="89"/>
      <c r="Q624" s="89"/>
      <c r="R624" s="89"/>
      <c r="S624" s="246"/>
      <c r="T624" s="246"/>
      <c r="U624" s="246"/>
      <c r="V624" s="89"/>
      <c r="W624" s="246"/>
    </row>
    <row r="625" spans="2:23" ht="15.75" customHeight="1">
      <c r="B625" s="216"/>
      <c r="C625" s="89"/>
      <c r="D625" s="89"/>
      <c r="E625" s="89"/>
      <c r="F625" s="89"/>
      <c r="G625" s="89"/>
      <c r="H625" s="246"/>
      <c r="I625" s="246"/>
      <c r="J625" s="246"/>
      <c r="K625" s="216"/>
      <c r="L625" s="246"/>
      <c r="M625" s="89"/>
      <c r="N625" s="89"/>
      <c r="O625" s="89"/>
      <c r="P625" s="89"/>
      <c r="Q625" s="89"/>
      <c r="R625" s="89"/>
      <c r="S625" s="246"/>
      <c r="T625" s="246"/>
      <c r="U625" s="246"/>
      <c r="V625" s="89"/>
      <c r="W625" s="246"/>
    </row>
    <row r="626" spans="2:23" ht="15.75" customHeight="1">
      <c r="B626" s="216"/>
      <c r="C626" s="89"/>
      <c r="D626" s="89"/>
      <c r="E626" s="89"/>
      <c r="F626" s="89"/>
      <c r="G626" s="89"/>
      <c r="H626" s="246"/>
      <c r="I626" s="246"/>
      <c r="J626" s="246"/>
      <c r="K626" s="216"/>
      <c r="L626" s="246"/>
      <c r="M626" s="89"/>
      <c r="N626" s="89"/>
      <c r="O626" s="89"/>
      <c r="P626" s="89"/>
      <c r="Q626" s="89"/>
      <c r="R626" s="89"/>
      <c r="S626" s="246"/>
      <c r="T626" s="246"/>
      <c r="U626" s="246"/>
      <c r="V626" s="89"/>
      <c r="W626" s="246"/>
    </row>
    <row r="627" spans="2:23" ht="15.75" customHeight="1">
      <c r="B627" s="216"/>
      <c r="C627" s="89"/>
      <c r="D627" s="89"/>
      <c r="E627" s="89"/>
      <c r="F627" s="89"/>
      <c r="G627" s="89"/>
      <c r="H627" s="246"/>
      <c r="I627" s="246"/>
      <c r="J627" s="246"/>
      <c r="K627" s="216"/>
      <c r="L627" s="246"/>
      <c r="M627" s="89"/>
      <c r="N627" s="89"/>
      <c r="O627" s="89"/>
      <c r="P627" s="89"/>
      <c r="Q627" s="89"/>
      <c r="R627" s="89"/>
      <c r="S627" s="246"/>
      <c r="T627" s="246"/>
      <c r="U627" s="246"/>
      <c r="V627" s="89"/>
      <c r="W627" s="246"/>
    </row>
    <row r="628" spans="2:23" ht="15.75" customHeight="1">
      <c r="B628" s="216"/>
      <c r="C628" s="89"/>
      <c r="D628" s="89"/>
      <c r="E628" s="89"/>
      <c r="F628" s="89"/>
      <c r="G628" s="89"/>
      <c r="H628" s="246"/>
      <c r="I628" s="246"/>
      <c r="J628" s="246"/>
      <c r="K628" s="216"/>
      <c r="L628" s="246"/>
      <c r="M628" s="89"/>
      <c r="N628" s="89"/>
      <c r="O628" s="89"/>
      <c r="P628" s="89"/>
      <c r="Q628" s="89"/>
      <c r="R628" s="89"/>
      <c r="S628" s="246"/>
      <c r="T628" s="246"/>
      <c r="U628" s="246"/>
      <c r="V628" s="89"/>
      <c r="W628" s="246"/>
    </row>
    <row r="629" spans="2:23" ht="15.75" customHeight="1">
      <c r="B629" s="216"/>
      <c r="C629" s="89"/>
      <c r="D629" s="89"/>
      <c r="E629" s="89"/>
      <c r="F629" s="89"/>
      <c r="G629" s="89"/>
      <c r="H629" s="246"/>
      <c r="I629" s="246"/>
      <c r="J629" s="246"/>
      <c r="K629" s="216"/>
      <c r="L629" s="246"/>
      <c r="M629" s="89"/>
      <c r="N629" s="89"/>
      <c r="O629" s="89"/>
      <c r="P629" s="89"/>
      <c r="Q629" s="89"/>
      <c r="R629" s="89"/>
      <c r="S629" s="246"/>
      <c r="T629" s="246"/>
      <c r="U629" s="246"/>
      <c r="V629" s="89"/>
      <c r="W629" s="246"/>
    </row>
    <row r="630" spans="2:23" ht="15.75" customHeight="1">
      <c r="B630" s="216"/>
      <c r="C630" s="89"/>
      <c r="D630" s="89"/>
      <c r="E630" s="89"/>
      <c r="F630" s="89"/>
      <c r="G630" s="89"/>
      <c r="H630" s="246"/>
      <c r="I630" s="246"/>
      <c r="J630" s="246"/>
      <c r="K630" s="216"/>
      <c r="L630" s="246"/>
      <c r="M630" s="89"/>
      <c r="N630" s="89"/>
      <c r="O630" s="89"/>
      <c r="P630" s="89"/>
      <c r="Q630" s="89"/>
      <c r="R630" s="89"/>
      <c r="S630" s="246"/>
      <c r="T630" s="246"/>
      <c r="U630" s="246"/>
      <c r="V630" s="89"/>
      <c r="W630" s="246"/>
    </row>
    <row r="631" spans="2:23" ht="15.75" customHeight="1">
      <c r="B631" s="216"/>
      <c r="C631" s="89"/>
      <c r="D631" s="89"/>
      <c r="E631" s="89"/>
      <c r="F631" s="89"/>
      <c r="G631" s="89"/>
      <c r="H631" s="246"/>
      <c r="I631" s="246"/>
      <c r="J631" s="246"/>
      <c r="K631" s="216"/>
      <c r="L631" s="246"/>
      <c r="M631" s="89"/>
      <c r="N631" s="89"/>
      <c r="O631" s="89"/>
      <c r="P631" s="89"/>
      <c r="Q631" s="89"/>
      <c r="R631" s="89"/>
      <c r="S631" s="246"/>
      <c r="T631" s="246"/>
      <c r="U631" s="246"/>
      <c r="V631" s="89"/>
      <c r="W631" s="246"/>
    </row>
    <row r="632" spans="2:23" ht="15.75" customHeight="1">
      <c r="B632" s="216"/>
      <c r="C632" s="89"/>
      <c r="D632" s="89"/>
      <c r="E632" s="89"/>
      <c r="F632" s="89"/>
      <c r="G632" s="89"/>
      <c r="H632" s="246"/>
      <c r="I632" s="246"/>
      <c r="J632" s="246"/>
      <c r="K632" s="216"/>
      <c r="L632" s="246"/>
      <c r="M632" s="89"/>
      <c r="N632" s="89"/>
      <c r="O632" s="89"/>
      <c r="P632" s="89"/>
      <c r="Q632" s="89"/>
      <c r="R632" s="89"/>
      <c r="S632" s="246"/>
      <c r="T632" s="246"/>
      <c r="U632" s="246"/>
      <c r="V632" s="89"/>
      <c r="W632" s="246"/>
    </row>
    <row r="633" spans="2:23" ht="15.75" customHeight="1">
      <c r="B633" s="216"/>
      <c r="C633" s="89"/>
      <c r="D633" s="89"/>
      <c r="E633" s="89"/>
      <c r="F633" s="89"/>
      <c r="G633" s="89"/>
      <c r="H633" s="246"/>
      <c r="I633" s="246"/>
      <c r="J633" s="246"/>
      <c r="K633" s="216"/>
      <c r="L633" s="246"/>
      <c r="M633" s="89"/>
      <c r="N633" s="89"/>
      <c r="O633" s="89"/>
      <c r="P633" s="89"/>
      <c r="Q633" s="89"/>
      <c r="R633" s="89"/>
      <c r="S633" s="246"/>
      <c r="T633" s="246"/>
      <c r="U633" s="246"/>
      <c r="V633" s="89"/>
      <c r="W633" s="246"/>
    </row>
    <row r="634" spans="2:23" ht="15.75" customHeight="1">
      <c r="B634" s="216"/>
      <c r="C634" s="89"/>
      <c r="D634" s="89"/>
      <c r="E634" s="89"/>
      <c r="F634" s="89"/>
      <c r="G634" s="89"/>
      <c r="H634" s="246"/>
      <c r="I634" s="246"/>
      <c r="J634" s="246"/>
      <c r="K634" s="216"/>
      <c r="L634" s="246"/>
      <c r="M634" s="89"/>
      <c r="N634" s="89"/>
      <c r="O634" s="89"/>
      <c r="P634" s="89"/>
      <c r="Q634" s="89"/>
      <c r="R634" s="89"/>
      <c r="S634" s="246"/>
      <c r="T634" s="246"/>
      <c r="U634" s="246"/>
      <c r="V634" s="89"/>
      <c r="W634" s="246"/>
    </row>
    <row r="635" spans="2:23" ht="15.75" customHeight="1">
      <c r="B635" s="216"/>
      <c r="C635" s="89"/>
      <c r="D635" s="89"/>
      <c r="E635" s="89"/>
      <c r="F635" s="89"/>
      <c r="G635" s="89"/>
      <c r="H635" s="246"/>
      <c r="I635" s="246"/>
      <c r="J635" s="246"/>
      <c r="K635" s="216"/>
      <c r="L635" s="246"/>
      <c r="M635" s="89"/>
      <c r="N635" s="89"/>
      <c r="O635" s="89"/>
      <c r="P635" s="89"/>
      <c r="Q635" s="89"/>
      <c r="R635" s="89"/>
      <c r="S635" s="246"/>
      <c r="T635" s="246"/>
      <c r="U635" s="246"/>
      <c r="V635" s="89"/>
      <c r="W635" s="246"/>
    </row>
    <row r="636" spans="2:23" ht="15.75" customHeight="1">
      <c r="B636" s="216"/>
      <c r="C636" s="89"/>
      <c r="D636" s="89"/>
      <c r="E636" s="89"/>
      <c r="F636" s="89"/>
      <c r="G636" s="89"/>
      <c r="H636" s="246"/>
      <c r="I636" s="246"/>
      <c r="J636" s="246"/>
      <c r="K636" s="216"/>
      <c r="L636" s="246"/>
      <c r="M636" s="89"/>
      <c r="N636" s="89"/>
      <c r="O636" s="89"/>
      <c r="P636" s="89"/>
      <c r="Q636" s="89"/>
      <c r="R636" s="89"/>
      <c r="S636" s="246"/>
      <c r="T636" s="246"/>
      <c r="U636" s="246"/>
      <c r="V636" s="89"/>
      <c r="W636" s="246"/>
    </row>
    <row r="637" spans="2:23" ht="15.75" customHeight="1">
      <c r="B637" s="216"/>
      <c r="C637" s="89"/>
      <c r="D637" s="89"/>
      <c r="E637" s="89"/>
      <c r="F637" s="89"/>
      <c r="G637" s="89"/>
      <c r="H637" s="246"/>
      <c r="I637" s="246"/>
      <c r="J637" s="246"/>
      <c r="K637" s="216"/>
      <c r="L637" s="246"/>
      <c r="M637" s="89"/>
      <c r="N637" s="89"/>
      <c r="O637" s="89"/>
      <c r="P637" s="89"/>
      <c r="Q637" s="89"/>
      <c r="R637" s="89"/>
      <c r="S637" s="246"/>
      <c r="T637" s="246"/>
      <c r="U637" s="246"/>
      <c r="V637" s="89"/>
      <c r="W637" s="246"/>
    </row>
    <row r="638" spans="2:23" ht="15.75" customHeight="1">
      <c r="B638" s="216"/>
      <c r="C638" s="89"/>
      <c r="D638" s="89"/>
      <c r="E638" s="89"/>
      <c r="F638" s="89"/>
      <c r="G638" s="89"/>
      <c r="H638" s="246"/>
      <c r="I638" s="246"/>
      <c r="J638" s="246"/>
      <c r="K638" s="216"/>
      <c r="L638" s="246"/>
      <c r="M638" s="89"/>
      <c r="N638" s="89"/>
      <c r="O638" s="89"/>
      <c r="P638" s="89"/>
      <c r="Q638" s="89"/>
      <c r="R638" s="89"/>
      <c r="S638" s="246"/>
      <c r="T638" s="246"/>
      <c r="U638" s="246"/>
      <c r="V638" s="89"/>
      <c r="W638" s="246"/>
    </row>
    <row r="639" spans="2:23" ht="15.75" customHeight="1">
      <c r="B639" s="216"/>
      <c r="C639" s="89"/>
      <c r="D639" s="89"/>
      <c r="E639" s="89"/>
      <c r="F639" s="89"/>
      <c r="G639" s="89"/>
      <c r="H639" s="246"/>
      <c r="I639" s="246"/>
      <c r="J639" s="246"/>
      <c r="K639" s="216"/>
      <c r="L639" s="246"/>
      <c r="M639" s="89"/>
      <c r="N639" s="89"/>
      <c r="O639" s="89"/>
      <c r="P639" s="89"/>
      <c r="Q639" s="89"/>
      <c r="R639" s="89"/>
      <c r="S639" s="246"/>
      <c r="T639" s="246"/>
      <c r="U639" s="246"/>
      <c r="V639" s="89"/>
      <c r="W639" s="246"/>
    </row>
    <row r="640" spans="2:23" ht="15.75" customHeight="1">
      <c r="B640" s="216"/>
      <c r="C640" s="89"/>
      <c r="D640" s="89"/>
      <c r="E640" s="89"/>
      <c r="F640" s="89"/>
      <c r="G640" s="89"/>
      <c r="H640" s="246"/>
      <c r="I640" s="246"/>
      <c r="J640" s="246"/>
      <c r="K640" s="216"/>
      <c r="L640" s="246"/>
      <c r="M640" s="89"/>
      <c r="N640" s="89"/>
      <c r="O640" s="89"/>
      <c r="P640" s="89"/>
      <c r="Q640" s="89"/>
      <c r="R640" s="89"/>
      <c r="S640" s="246"/>
      <c r="T640" s="246"/>
      <c r="U640" s="246"/>
      <c r="V640" s="89"/>
      <c r="W640" s="246"/>
    </row>
    <row r="641" spans="2:23" ht="15.75" customHeight="1">
      <c r="B641" s="216"/>
      <c r="C641" s="89"/>
      <c r="D641" s="89"/>
      <c r="E641" s="89"/>
      <c r="F641" s="89"/>
      <c r="G641" s="89"/>
      <c r="H641" s="246"/>
      <c r="I641" s="246"/>
      <c r="J641" s="246"/>
      <c r="K641" s="216"/>
      <c r="L641" s="246"/>
      <c r="M641" s="89"/>
      <c r="N641" s="89"/>
      <c r="O641" s="89"/>
      <c r="P641" s="89"/>
      <c r="Q641" s="89"/>
      <c r="R641" s="89"/>
      <c r="S641" s="246"/>
      <c r="T641" s="246"/>
      <c r="U641" s="246"/>
      <c r="V641" s="89"/>
      <c r="W641" s="246"/>
    </row>
    <row r="642" spans="2:23" ht="15.75" customHeight="1">
      <c r="B642" s="216"/>
      <c r="C642" s="89"/>
      <c r="D642" s="89"/>
      <c r="E642" s="89"/>
      <c r="F642" s="89"/>
      <c r="G642" s="89"/>
      <c r="H642" s="246"/>
      <c r="I642" s="246"/>
      <c r="J642" s="246"/>
      <c r="K642" s="216"/>
      <c r="L642" s="246"/>
      <c r="M642" s="89"/>
      <c r="N642" s="89"/>
      <c r="O642" s="89"/>
      <c r="P642" s="89"/>
      <c r="Q642" s="89"/>
      <c r="R642" s="89"/>
      <c r="S642" s="246"/>
      <c r="T642" s="246"/>
      <c r="U642" s="246"/>
      <c r="V642" s="89"/>
      <c r="W642" s="246"/>
    </row>
    <row r="643" spans="2:23" ht="15.75" customHeight="1">
      <c r="B643" s="216"/>
      <c r="C643" s="89"/>
      <c r="D643" s="89"/>
      <c r="E643" s="89"/>
      <c r="F643" s="89"/>
      <c r="G643" s="89"/>
      <c r="H643" s="246"/>
      <c r="I643" s="246"/>
      <c r="J643" s="246"/>
      <c r="K643" s="216"/>
      <c r="L643" s="246"/>
      <c r="M643" s="89"/>
      <c r="N643" s="89"/>
      <c r="O643" s="89"/>
      <c r="P643" s="89"/>
      <c r="Q643" s="89"/>
      <c r="R643" s="89"/>
      <c r="S643" s="246"/>
      <c r="T643" s="246"/>
      <c r="U643" s="246"/>
      <c r="V643" s="89"/>
      <c r="W643" s="246"/>
    </row>
    <row r="644" spans="2:23" ht="15.75" customHeight="1">
      <c r="B644" s="216"/>
      <c r="C644" s="89"/>
      <c r="D644" s="89"/>
      <c r="E644" s="89"/>
      <c r="F644" s="89"/>
      <c r="G644" s="89"/>
      <c r="H644" s="246"/>
      <c r="I644" s="246"/>
      <c r="J644" s="246"/>
      <c r="K644" s="216"/>
      <c r="L644" s="246"/>
      <c r="M644" s="89"/>
      <c r="N644" s="89"/>
      <c r="O644" s="89"/>
      <c r="P644" s="89"/>
      <c r="Q644" s="89"/>
      <c r="R644" s="89"/>
      <c r="S644" s="246"/>
      <c r="T644" s="246"/>
      <c r="U644" s="246"/>
      <c r="V644" s="89"/>
      <c r="W644" s="246"/>
    </row>
    <row r="645" spans="2:23" ht="15.75" customHeight="1">
      <c r="B645" s="216"/>
      <c r="C645" s="89"/>
      <c r="D645" s="89"/>
      <c r="E645" s="89"/>
      <c r="F645" s="89"/>
      <c r="G645" s="89"/>
      <c r="H645" s="246"/>
      <c r="I645" s="246"/>
      <c r="J645" s="246"/>
      <c r="K645" s="216"/>
      <c r="L645" s="246"/>
      <c r="M645" s="89"/>
      <c r="N645" s="89"/>
      <c r="O645" s="89"/>
      <c r="P645" s="89"/>
      <c r="Q645" s="89"/>
      <c r="R645" s="89"/>
      <c r="S645" s="246"/>
      <c r="T645" s="246"/>
      <c r="U645" s="246"/>
      <c r="V645" s="89"/>
      <c r="W645" s="246"/>
    </row>
    <row r="646" spans="2:23" ht="15.75" customHeight="1">
      <c r="B646" s="216"/>
      <c r="C646" s="89"/>
      <c r="D646" s="89"/>
      <c r="E646" s="89"/>
      <c r="F646" s="89"/>
      <c r="G646" s="89"/>
      <c r="H646" s="246"/>
      <c r="I646" s="246"/>
      <c r="J646" s="246"/>
      <c r="K646" s="216"/>
      <c r="L646" s="246"/>
      <c r="M646" s="89"/>
      <c r="N646" s="89"/>
      <c r="O646" s="89"/>
      <c r="P646" s="89"/>
      <c r="Q646" s="89"/>
      <c r="R646" s="89"/>
      <c r="S646" s="246"/>
      <c r="T646" s="246"/>
      <c r="U646" s="246"/>
      <c r="V646" s="89"/>
      <c r="W646" s="246"/>
    </row>
    <row r="647" spans="2:23" ht="15.75" customHeight="1">
      <c r="B647" s="216"/>
      <c r="C647" s="89"/>
      <c r="D647" s="89"/>
      <c r="E647" s="89"/>
      <c r="F647" s="89"/>
      <c r="G647" s="89"/>
      <c r="H647" s="246"/>
      <c r="I647" s="246"/>
      <c r="J647" s="246"/>
      <c r="K647" s="216"/>
      <c r="L647" s="246"/>
      <c r="M647" s="89"/>
      <c r="N647" s="89"/>
      <c r="O647" s="89"/>
      <c r="P647" s="89"/>
      <c r="Q647" s="89"/>
      <c r="R647" s="89"/>
      <c r="S647" s="246"/>
      <c r="T647" s="246"/>
      <c r="U647" s="246"/>
      <c r="V647" s="89"/>
      <c r="W647" s="246"/>
    </row>
    <row r="648" spans="2:23" ht="15.75" customHeight="1">
      <c r="B648" s="216"/>
      <c r="C648" s="89"/>
      <c r="D648" s="89"/>
      <c r="E648" s="89"/>
      <c r="F648" s="89"/>
      <c r="G648" s="89"/>
      <c r="H648" s="246"/>
      <c r="I648" s="246"/>
      <c r="J648" s="246"/>
      <c r="K648" s="216"/>
      <c r="L648" s="246"/>
      <c r="M648" s="89"/>
      <c r="N648" s="89"/>
      <c r="O648" s="89"/>
      <c r="P648" s="89"/>
      <c r="Q648" s="89"/>
      <c r="R648" s="89"/>
      <c r="S648" s="246"/>
      <c r="T648" s="246"/>
      <c r="U648" s="246"/>
      <c r="V648" s="89"/>
      <c r="W648" s="246"/>
    </row>
    <row r="649" spans="2:23" ht="15.75" customHeight="1">
      <c r="B649" s="216"/>
      <c r="C649" s="89"/>
      <c r="D649" s="89"/>
      <c r="E649" s="89"/>
      <c r="F649" s="89"/>
      <c r="G649" s="89"/>
      <c r="H649" s="246"/>
      <c r="I649" s="246"/>
      <c r="J649" s="246"/>
      <c r="K649" s="216"/>
      <c r="L649" s="246"/>
      <c r="M649" s="89"/>
      <c r="N649" s="89"/>
      <c r="O649" s="89"/>
      <c r="P649" s="89"/>
      <c r="Q649" s="89"/>
      <c r="R649" s="89"/>
      <c r="S649" s="246"/>
      <c r="T649" s="246"/>
      <c r="U649" s="246"/>
      <c r="V649" s="89"/>
      <c r="W649" s="246"/>
    </row>
    <row r="650" spans="2:23" ht="15.75" customHeight="1">
      <c r="B650" s="216"/>
      <c r="C650" s="89"/>
      <c r="D650" s="89"/>
      <c r="E650" s="89"/>
      <c r="F650" s="89"/>
      <c r="G650" s="89"/>
      <c r="H650" s="246"/>
      <c r="I650" s="246"/>
      <c r="J650" s="246"/>
      <c r="K650" s="216"/>
      <c r="L650" s="246"/>
      <c r="M650" s="89"/>
      <c r="N650" s="89"/>
      <c r="O650" s="89"/>
      <c r="P650" s="89"/>
      <c r="Q650" s="89"/>
      <c r="R650" s="89"/>
      <c r="S650" s="246"/>
      <c r="T650" s="246"/>
      <c r="U650" s="246"/>
      <c r="V650" s="89"/>
      <c r="W650" s="246"/>
    </row>
    <row r="651" spans="2:23" ht="15.75" customHeight="1">
      <c r="B651" s="216"/>
      <c r="C651" s="89"/>
      <c r="D651" s="89"/>
      <c r="E651" s="89"/>
      <c r="F651" s="89"/>
      <c r="G651" s="89"/>
      <c r="H651" s="246"/>
      <c r="I651" s="246"/>
      <c r="J651" s="246"/>
      <c r="K651" s="216"/>
      <c r="L651" s="246"/>
      <c r="M651" s="89"/>
      <c r="N651" s="89"/>
      <c r="O651" s="89"/>
      <c r="P651" s="89"/>
      <c r="Q651" s="89"/>
      <c r="R651" s="89"/>
      <c r="S651" s="246"/>
      <c r="T651" s="246"/>
      <c r="U651" s="246"/>
      <c r="V651" s="89"/>
      <c r="W651" s="246"/>
    </row>
    <row r="652" spans="2:23" ht="15.75" customHeight="1">
      <c r="B652" s="216"/>
      <c r="C652" s="89"/>
      <c r="D652" s="89"/>
      <c r="E652" s="89"/>
      <c r="F652" s="89"/>
      <c r="G652" s="89"/>
      <c r="H652" s="246"/>
      <c r="I652" s="246"/>
      <c r="J652" s="246"/>
      <c r="K652" s="216"/>
      <c r="L652" s="246"/>
      <c r="M652" s="89"/>
      <c r="N652" s="89"/>
      <c r="O652" s="89"/>
      <c r="P652" s="89"/>
      <c r="Q652" s="89"/>
      <c r="R652" s="89"/>
      <c r="S652" s="246"/>
      <c r="T652" s="246"/>
      <c r="U652" s="246"/>
      <c r="V652" s="89"/>
      <c r="W652" s="246"/>
    </row>
    <row r="653" spans="2:23" ht="15.75" customHeight="1">
      <c r="B653" s="216"/>
      <c r="C653" s="89"/>
      <c r="D653" s="89"/>
      <c r="E653" s="89"/>
      <c r="F653" s="89"/>
      <c r="G653" s="89"/>
      <c r="H653" s="246"/>
      <c r="I653" s="246"/>
      <c r="J653" s="246"/>
      <c r="K653" s="216"/>
      <c r="L653" s="246"/>
      <c r="M653" s="89"/>
      <c r="N653" s="89"/>
      <c r="O653" s="89"/>
      <c r="P653" s="89"/>
      <c r="Q653" s="89"/>
      <c r="R653" s="89"/>
      <c r="S653" s="246"/>
      <c r="T653" s="246"/>
      <c r="U653" s="246"/>
      <c r="V653" s="89"/>
      <c r="W653" s="246"/>
    </row>
    <row r="654" spans="2:23" ht="15.75" customHeight="1">
      <c r="B654" s="216"/>
      <c r="C654" s="89"/>
      <c r="D654" s="89"/>
      <c r="E654" s="89"/>
      <c r="F654" s="89"/>
      <c r="G654" s="89"/>
      <c r="H654" s="246"/>
      <c r="I654" s="246"/>
      <c r="J654" s="246"/>
      <c r="K654" s="216"/>
      <c r="L654" s="246"/>
      <c r="M654" s="89"/>
      <c r="N654" s="89"/>
      <c r="O654" s="89"/>
      <c r="P654" s="89"/>
      <c r="Q654" s="89"/>
      <c r="R654" s="89"/>
      <c r="S654" s="246"/>
      <c r="T654" s="246"/>
      <c r="U654" s="246"/>
      <c r="V654" s="89"/>
      <c r="W654" s="246"/>
    </row>
    <row r="655" spans="2:23" ht="15.75" customHeight="1">
      <c r="B655" s="216"/>
      <c r="C655" s="89"/>
      <c r="D655" s="89"/>
      <c r="E655" s="89"/>
      <c r="F655" s="89"/>
      <c r="G655" s="89"/>
      <c r="H655" s="246"/>
      <c r="I655" s="246"/>
      <c r="J655" s="246"/>
      <c r="K655" s="216"/>
      <c r="L655" s="246"/>
      <c r="M655" s="89"/>
      <c r="N655" s="89"/>
      <c r="O655" s="89"/>
      <c r="P655" s="89"/>
      <c r="Q655" s="89"/>
      <c r="R655" s="89"/>
      <c r="S655" s="246"/>
      <c r="T655" s="246"/>
      <c r="U655" s="246"/>
      <c r="V655" s="89"/>
      <c r="W655" s="246"/>
    </row>
    <row r="656" spans="2:23" ht="15.75" customHeight="1">
      <c r="B656" s="216"/>
      <c r="C656" s="89"/>
      <c r="D656" s="89"/>
      <c r="E656" s="89"/>
      <c r="F656" s="89"/>
      <c r="G656" s="89"/>
      <c r="H656" s="246"/>
      <c r="I656" s="246"/>
      <c r="J656" s="246"/>
      <c r="K656" s="216"/>
      <c r="L656" s="246"/>
      <c r="M656" s="89"/>
      <c r="N656" s="89"/>
      <c r="O656" s="89"/>
      <c r="P656" s="89"/>
      <c r="Q656" s="89"/>
      <c r="R656" s="89"/>
      <c r="S656" s="246"/>
      <c r="T656" s="246"/>
      <c r="U656" s="246"/>
      <c r="V656" s="89"/>
      <c r="W656" s="246"/>
    </row>
    <row r="657" spans="2:23" ht="15.75" customHeight="1">
      <c r="B657" s="216"/>
      <c r="C657" s="89"/>
      <c r="D657" s="89"/>
      <c r="E657" s="89"/>
      <c r="F657" s="89"/>
      <c r="G657" s="89"/>
      <c r="H657" s="246"/>
      <c r="I657" s="246"/>
      <c r="J657" s="246"/>
      <c r="K657" s="216"/>
      <c r="L657" s="246"/>
      <c r="M657" s="89"/>
      <c r="N657" s="89"/>
      <c r="O657" s="89"/>
      <c r="P657" s="89"/>
      <c r="Q657" s="89"/>
      <c r="R657" s="89"/>
      <c r="S657" s="246"/>
      <c r="T657" s="246"/>
      <c r="U657" s="246"/>
      <c r="V657" s="89"/>
      <c r="W657" s="246"/>
    </row>
    <row r="658" spans="2:23" ht="15.75" customHeight="1">
      <c r="B658" s="216"/>
      <c r="C658" s="89"/>
      <c r="D658" s="89"/>
      <c r="E658" s="89"/>
      <c r="F658" s="89"/>
      <c r="G658" s="89"/>
      <c r="H658" s="246"/>
      <c r="I658" s="246"/>
      <c r="J658" s="246"/>
      <c r="K658" s="216"/>
      <c r="L658" s="246"/>
      <c r="M658" s="89"/>
      <c r="N658" s="89"/>
      <c r="O658" s="89"/>
      <c r="P658" s="89"/>
      <c r="Q658" s="89"/>
      <c r="R658" s="89"/>
      <c r="S658" s="246"/>
      <c r="T658" s="246"/>
      <c r="U658" s="246"/>
      <c r="V658" s="89"/>
      <c r="W658" s="246"/>
    </row>
    <row r="659" spans="2:23" ht="15.75" customHeight="1">
      <c r="B659" s="216"/>
      <c r="C659" s="89"/>
      <c r="D659" s="89"/>
      <c r="E659" s="89"/>
      <c r="F659" s="89"/>
      <c r="G659" s="89"/>
      <c r="H659" s="246"/>
      <c r="I659" s="246"/>
      <c r="J659" s="246"/>
      <c r="K659" s="216"/>
      <c r="L659" s="246"/>
      <c r="M659" s="89"/>
      <c r="N659" s="89"/>
      <c r="O659" s="89"/>
      <c r="P659" s="89"/>
      <c r="Q659" s="89"/>
      <c r="R659" s="89"/>
      <c r="S659" s="246"/>
      <c r="T659" s="246"/>
      <c r="U659" s="246"/>
      <c r="V659" s="89"/>
      <c r="W659" s="246"/>
    </row>
    <row r="660" spans="2:23" ht="15.75" customHeight="1">
      <c r="B660" s="216"/>
      <c r="C660" s="89"/>
      <c r="D660" s="89"/>
      <c r="E660" s="89"/>
      <c r="F660" s="89"/>
      <c r="G660" s="89"/>
      <c r="H660" s="246"/>
      <c r="I660" s="246"/>
      <c r="J660" s="246"/>
      <c r="K660" s="216"/>
      <c r="L660" s="246"/>
      <c r="M660" s="89"/>
      <c r="N660" s="89"/>
      <c r="O660" s="89"/>
      <c r="P660" s="89"/>
      <c r="Q660" s="89"/>
      <c r="R660" s="89"/>
      <c r="S660" s="246"/>
      <c r="T660" s="246"/>
      <c r="U660" s="246"/>
      <c r="V660" s="89"/>
      <c r="W660" s="246"/>
    </row>
    <row r="661" spans="2:23" ht="15.75" customHeight="1">
      <c r="B661" s="216"/>
      <c r="C661" s="89"/>
      <c r="D661" s="89"/>
      <c r="E661" s="89"/>
      <c r="F661" s="89"/>
      <c r="G661" s="89"/>
      <c r="H661" s="246"/>
      <c r="I661" s="246"/>
      <c r="J661" s="246"/>
      <c r="K661" s="216"/>
      <c r="L661" s="246"/>
      <c r="M661" s="89"/>
      <c r="N661" s="89"/>
      <c r="O661" s="89"/>
      <c r="P661" s="89"/>
      <c r="Q661" s="89"/>
      <c r="R661" s="89"/>
      <c r="S661" s="246"/>
      <c r="T661" s="246"/>
      <c r="U661" s="246"/>
      <c r="V661" s="89"/>
      <c r="W661" s="246"/>
    </row>
    <row r="662" spans="2:23" ht="15.75" customHeight="1">
      <c r="B662" s="216"/>
      <c r="C662" s="89"/>
      <c r="D662" s="89"/>
      <c r="E662" s="89"/>
      <c r="F662" s="89"/>
      <c r="G662" s="89"/>
      <c r="H662" s="246"/>
      <c r="I662" s="246"/>
      <c r="J662" s="246"/>
      <c r="K662" s="216"/>
      <c r="L662" s="246"/>
      <c r="M662" s="89"/>
      <c r="N662" s="89"/>
      <c r="O662" s="89"/>
      <c r="P662" s="89"/>
      <c r="Q662" s="89"/>
      <c r="R662" s="89"/>
      <c r="S662" s="246"/>
      <c r="T662" s="246"/>
      <c r="U662" s="246"/>
      <c r="V662" s="89"/>
      <c r="W662" s="246"/>
    </row>
    <row r="663" spans="2:23" ht="15.75" customHeight="1">
      <c r="B663" s="216"/>
      <c r="C663" s="89"/>
      <c r="D663" s="89"/>
      <c r="E663" s="89"/>
      <c r="F663" s="89"/>
      <c r="G663" s="89"/>
      <c r="H663" s="246"/>
      <c r="I663" s="246"/>
      <c r="J663" s="246"/>
      <c r="K663" s="216"/>
      <c r="L663" s="246"/>
      <c r="M663" s="89"/>
      <c r="N663" s="89"/>
      <c r="O663" s="89"/>
      <c r="P663" s="89"/>
      <c r="Q663" s="89"/>
      <c r="R663" s="89"/>
      <c r="S663" s="246"/>
      <c r="T663" s="246"/>
      <c r="U663" s="246"/>
      <c r="V663" s="89"/>
      <c r="W663" s="246"/>
    </row>
    <row r="664" spans="2:23" ht="15.75" customHeight="1">
      <c r="B664" s="216"/>
      <c r="C664" s="89"/>
      <c r="D664" s="89"/>
      <c r="E664" s="89"/>
      <c r="F664" s="89"/>
      <c r="G664" s="89"/>
      <c r="H664" s="246"/>
      <c r="I664" s="246"/>
      <c r="J664" s="246"/>
      <c r="K664" s="216"/>
      <c r="L664" s="246"/>
      <c r="M664" s="89"/>
      <c r="N664" s="89"/>
      <c r="O664" s="89"/>
      <c r="P664" s="89"/>
      <c r="Q664" s="89"/>
      <c r="R664" s="89"/>
      <c r="S664" s="246"/>
      <c r="T664" s="246"/>
      <c r="U664" s="246"/>
      <c r="V664" s="89"/>
      <c r="W664" s="246"/>
    </row>
    <row r="665" spans="2:23" ht="15.75" customHeight="1">
      <c r="B665" s="216"/>
      <c r="C665" s="89"/>
      <c r="D665" s="89"/>
      <c r="E665" s="89"/>
      <c r="F665" s="89"/>
      <c r="G665" s="89"/>
      <c r="H665" s="246"/>
      <c r="I665" s="246"/>
      <c r="J665" s="246"/>
      <c r="K665" s="216"/>
      <c r="L665" s="246"/>
      <c r="M665" s="89"/>
      <c r="N665" s="89"/>
      <c r="O665" s="89"/>
      <c r="P665" s="89"/>
      <c r="Q665" s="89"/>
      <c r="R665" s="89"/>
      <c r="S665" s="246"/>
      <c r="T665" s="246"/>
      <c r="U665" s="246"/>
      <c r="V665" s="89"/>
      <c r="W665" s="246"/>
    </row>
    <row r="666" spans="2:23" ht="15.75" customHeight="1">
      <c r="B666" s="216"/>
      <c r="C666" s="89"/>
      <c r="D666" s="89"/>
      <c r="E666" s="89"/>
      <c r="F666" s="89"/>
      <c r="G666" s="89"/>
      <c r="H666" s="246"/>
      <c r="I666" s="246"/>
      <c r="J666" s="246"/>
      <c r="K666" s="216"/>
      <c r="L666" s="246"/>
      <c r="M666" s="89"/>
      <c r="N666" s="89"/>
      <c r="O666" s="89"/>
      <c r="P666" s="89"/>
      <c r="Q666" s="89"/>
      <c r="R666" s="89"/>
      <c r="S666" s="246"/>
      <c r="T666" s="246"/>
      <c r="U666" s="246"/>
      <c r="V666" s="89"/>
      <c r="W666" s="246"/>
    </row>
    <row r="667" spans="2:23" ht="15.75" customHeight="1">
      <c r="B667" s="216"/>
      <c r="C667" s="89"/>
      <c r="D667" s="89"/>
      <c r="E667" s="89"/>
      <c r="F667" s="89"/>
      <c r="G667" s="89"/>
      <c r="H667" s="246"/>
      <c r="I667" s="246"/>
      <c r="J667" s="246"/>
      <c r="K667" s="216"/>
      <c r="L667" s="246"/>
      <c r="M667" s="89"/>
      <c r="N667" s="89"/>
      <c r="O667" s="89"/>
      <c r="P667" s="89"/>
      <c r="Q667" s="89"/>
      <c r="R667" s="89"/>
      <c r="S667" s="246"/>
      <c r="T667" s="246"/>
      <c r="U667" s="246"/>
      <c r="V667" s="89"/>
      <c r="W667" s="246"/>
    </row>
    <row r="668" spans="2:23" ht="15.75" customHeight="1">
      <c r="B668" s="216"/>
      <c r="C668" s="89"/>
      <c r="D668" s="89"/>
      <c r="E668" s="89"/>
      <c r="F668" s="89"/>
      <c r="G668" s="89"/>
      <c r="H668" s="246"/>
      <c r="I668" s="246"/>
      <c r="J668" s="246"/>
      <c r="K668" s="216"/>
      <c r="L668" s="246"/>
      <c r="M668" s="89"/>
      <c r="N668" s="89"/>
      <c r="O668" s="89"/>
      <c r="P668" s="89"/>
      <c r="Q668" s="89"/>
      <c r="R668" s="89"/>
      <c r="S668" s="246"/>
      <c r="T668" s="246"/>
      <c r="U668" s="246"/>
      <c r="V668" s="89"/>
      <c r="W668" s="246"/>
    </row>
    <row r="669" spans="2:23" ht="15.75" customHeight="1">
      <c r="B669" s="216"/>
      <c r="C669" s="89"/>
      <c r="D669" s="89"/>
      <c r="E669" s="89"/>
      <c r="F669" s="89"/>
      <c r="G669" s="89"/>
      <c r="H669" s="246"/>
      <c r="I669" s="246"/>
      <c r="J669" s="246"/>
      <c r="K669" s="216"/>
      <c r="L669" s="246"/>
      <c r="M669" s="89"/>
      <c r="N669" s="89"/>
      <c r="O669" s="89"/>
      <c r="P669" s="89"/>
      <c r="Q669" s="89"/>
      <c r="R669" s="89"/>
      <c r="S669" s="246"/>
      <c r="T669" s="246"/>
      <c r="U669" s="246"/>
      <c r="V669" s="89"/>
      <c r="W669" s="246"/>
    </row>
    <row r="670" spans="2:23" ht="15.75" customHeight="1">
      <c r="B670" s="216"/>
      <c r="C670" s="89"/>
      <c r="D670" s="89"/>
      <c r="E670" s="89"/>
      <c r="F670" s="89"/>
      <c r="G670" s="89"/>
      <c r="H670" s="246"/>
      <c r="I670" s="246"/>
      <c r="J670" s="246"/>
      <c r="K670" s="216"/>
      <c r="L670" s="246"/>
      <c r="M670" s="89"/>
      <c r="N670" s="89"/>
      <c r="O670" s="89"/>
      <c r="P670" s="89"/>
      <c r="Q670" s="89"/>
      <c r="R670" s="89"/>
      <c r="S670" s="246"/>
      <c r="T670" s="246"/>
      <c r="U670" s="246"/>
      <c r="V670" s="89"/>
      <c r="W670" s="246"/>
    </row>
    <row r="671" spans="2:23" ht="15.75" customHeight="1">
      <c r="B671" s="216"/>
      <c r="C671" s="89"/>
      <c r="D671" s="89"/>
      <c r="E671" s="89"/>
      <c r="F671" s="89"/>
      <c r="G671" s="89"/>
      <c r="H671" s="246"/>
      <c r="I671" s="246"/>
      <c r="J671" s="246"/>
      <c r="K671" s="216"/>
      <c r="L671" s="246"/>
      <c r="M671" s="89"/>
      <c r="N671" s="89"/>
      <c r="O671" s="89"/>
      <c r="P671" s="89"/>
      <c r="Q671" s="89"/>
      <c r="R671" s="89"/>
      <c r="S671" s="246"/>
      <c r="T671" s="246"/>
      <c r="U671" s="246"/>
      <c r="V671" s="89"/>
      <c r="W671" s="246"/>
    </row>
    <row r="672" spans="2:23" ht="15.75" customHeight="1">
      <c r="B672" s="216"/>
      <c r="C672" s="89"/>
      <c r="D672" s="89"/>
      <c r="E672" s="89"/>
      <c r="F672" s="89"/>
      <c r="G672" s="89"/>
      <c r="H672" s="246"/>
      <c r="I672" s="246"/>
      <c r="J672" s="246"/>
      <c r="K672" s="216"/>
      <c r="L672" s="246"/>
      <c r="M672" s="89"/>
      <c r="N672" s="89"/>
      <c r="O672" s="89"/>
      <c r="P672" s="89"/>
      <c r="Q672" s="89"/>
      <c r="R672" s="89"/>
      <c r="S672" s="246"/>
      <c r="T672" s="246"/>
      <c r="U672" s="246"/>
      <c r="V672" s="89"/>
      <c r="W672" s="246"/>
    </row>
    <row r="673" spans="2:23" ht="15.75" customHeight="1">
      <c r="B673" s="216"/>
      <c r="C673" s="89"/>
      <c r="D673" s="89"/>
      <c r="E673" s="89"/>
      <c r="F673" s="89"/>
      <c r="G673" s="89"/>
      <c r="H673" s="246"/>
      <c r="I673" s="246"/>
      <c r="J673" s="246"/>
      <c r="K673" s="216"/>
      <c r="L673" s="246"/>
      <c r="M673" s="89"/>
      <c r="N673" s="89"/>
      <c r="O673" s="89"/>
      <c r="P673" s="89"/>
      <c r="Q673" s="89"/>
      <c r="R673" s="89"/>
      <c r="S673" s="246"/>
      <c r="T673" s="246"/>
      <c r="U673" s="246"/>
      <c r="V673" s="89"/>
      <c r="W673" s="246"/>
    </row>
    <row r="674" spans="2:23" ht="15.75" customHeight="1">
      <c r="B674" s="216"/>
      <c r="C674" s="89"/>
      <c r="D674" s="89"/>
      <c r="E674" s="89"/>
      <c r="F674" s="89"/>
      <c r="G674" s="89"/>
      <c r="H674" s="246"/>
      <c r="I674" s="246"/>
      <c r="J674" s="246"/>
      <c r="K674" s="216"/>
      <c r="L674" s="246"/>
      <c r="M674" s="89"/>
      <c r="N674" s="89"/>
      <c r="O674" s="89"/>
      <c r="P674" s="89"/>
      <c r="Q674" s="89"/>
      <c r="R674" s="89"/>
      <c r="S674" s="246"/>
      <c r="T674" s="246"/>
      <c r="U674" s="246"/>
      <c r="V674" s="89"/>
      <c r="W674" s="246"/>
    </row>
    <row r="675" spans="2:23" ht="15.75" customHeight="1">
      <c r="B675" s="216"/>
      <c r="C675" s="89"/>
      <c r="D675" s="89"/>
      <c r="E675" s="89"/>
      <c r="F675" s="89"/>
      <c r="G675" s="89"/>
      <c r="H675" s="246"/>
      <c r="I675" s="246"/>
      <c r="J675" s="246"/>
      <c r="K675" s="216"/>
      <c r="L675" s="246"/>
      <c r="M675" s="89"/>
      <c r="N675" s="89"/>
      <c r="O675" s="89"/>
      <c r="P675" s="89"/>
      <c r="Q675" s="89"/>
      <c r="R675" s="89"/>
      <c r="S675" s="246"/>
      <c r="T675" s="246"/>
      <c r="U675" s="246"/>
      <c r="V675" s="89"/>
      <c r="W675" s="246"/>
    </row>
    <row r="676" spans="2:23" ht="15.75" customHeight="1">
      <c r="B676" s="216"/>
      <c r="C676" s="89"/>
      <c r="D676" s="89"/>
      <c r="E676" s="89"/>
      <c r="F676" s="89"/>
      <c r="G676" s="89"/>
      <c r="H676" s="246"/>
      <c r="I676" s="246"/>
      <c r="J676" s="246"/>
      <c r="K676" s="216"/>
      <c r="L676" s="246"/>
      <c r="M676" s="89"/>
      <c r="N676" s="89"/>
      <c r="O676" s="89"/>
      <c r="P676" s="89"/>
      <c r="Q676" s="89"/>
      <c r="R676" s="89"/>
      <c r="S676" s="246"/>
      <c r="T676" s="246"/>
      <c r="U676" s="246"/>
      <c r="V676" s="89"/>
      <c r="W676" s="246"/>
    </row>
    <row r="677" spans="2:23" ht="15.75" customHeight="1">
      <c r="B677" s="216"/>
      <c r="C677" s="89"/>
      <c r="D677" s="89"/>
      <c r="E677" s="89"/>
      <c r="F677" s="89"/>
      <c r="G677" s="89"/>
      <c r="H677" s="246"/>
      <c r="I677" s="246"/>
      <c r="J677" s="246"/>
      <c r="K677" s="216"/>
      <c r="L677" s="246"/>
      <c r="M677" s="89"/>
      <c r="N677" s="89"/>
      <c r="O677" s="89"/>
      <c r="P677" s="89"/>
      <c r="Q677" s="89"/>
      <c r="R677" s="89"/>
      <c r="S677" s="246"/>
      <c r="T677" s="246"/>
      <c r="U677" s="246"/>
      <c r="V677" s="89"/>
      <c r="W677" s="246"/>
    </row>
    <row r="678" spans="2:23" ht="15.75" customHeight="1">
      <c r="B678" s="216"/>
      <c r="C678" s="89"/>
      <c r="D678" s="89"/>
      <c r="E678" s="89"/>
      <c r="F678" s="89"/>
      <c r="G678" s="89"/>
      <c r="H678" s="246"/>
      <c r="I678" s="246"/>
      <c r="J678" s="246"/>
      <c r="K678" s="216"/>
      <c r="L678" s="246"/>
      <c r="M678" s="89"/>
      <c r="N678" s="89"/>
      <c r="O678" s="89"/>
      <c r="P678" s="89"/>
      <c r="Q678" s="89"/>
      <c r="R678" s="89"/>
      <c r="S678" s="246"/>
      <c r="T678" s="246"/>
      <c r="U678" s="246"/>
      <c r="V678" s="89"/>
      <c r="W678" s="246"/>
    </row>
    <row r="679" spans="2:23" ht="15.75" customHeight="1">
      <c r="B679" s="216"/>
      <c r="C679" s="89"/>
      <c r="D679" s="89"/>
      <c r="E679" s="89"/>
      <c r="F679" s="89"/>
      <c r="G679" s="89"/>
      <c r="H679" s="246"/>
      <c r="I679" s="246"/>
      <c r="J679" s="246"/>
      <c r="K679" s="216"/>
      <c r="L679" s="246"/>
      <c r="M679" s="89"/>
      <c r="N679" s="89"/>
      <c r="O679" s="89"/>
      <c r="P679" s="89"/>
      <c r="Q679" s="89"/>
      <c r="R679" s="89"/>
      <c r="S679" s="246"/>
      <c r="T679" s="246"/>
      <c r="U679" s="246"/>
      <c r="V679" s="89"/>
      <c r="W679" s="246"/>
    </row>
    <row r="680" spans="2:23" ht="15.75" customHeight="1">
      <c r="B680" s="216"/>
      <c r="C680" s="89"/>
      <c r="D680" s="89"/>
      <c r="E680" s="89"/>
      <c r="F680" s="89"/>
      <c r="G680" s="89"/>
      <c r="H680" s="246"/>
      <c r="I680" s="246"/>
      <c r="J680" s="246"/>
      <c r="K680" s="216"/>
      <c r="L680" s="246"/>
      <c r="M680" s="89"/>
      <c r="N680" s="89"/>
      <c r="O680" s="89"/>
      <c r="P680" s="89"/>
      <c r="Q680" s="89"/>
      <c r="R680" s="89"/>
      <c r="S680" s="246"/>
      <c r="T680" s="246"/>
      <c r="U680" s="246"/>
      <c r="V680" s="89"/>
      <c r="W680" s="246"/>
    </row>
    <row r="681" spans="2:23" ht="15.75" customHeight="1">
      <c r="B681" s="216"/>
      <c r="C681" s="89"/>
      <c r="D681" s="89"/>
      <c r="E681" s="89"/>
      <c r="F681" s="89"/>
      <c r="G681" s="89"/>
      <c r="H681" s="246"/>
      <c r="I681" s="246"/>
      <c r="J681" s="246"/>
      <c r="K681" s="216"/>
      <c r="L681" s="246"/>
      <c r="M681" s="89"/>
      <c r="N681" s="89"/>
      <c r="O681" s="89"/>
      <c r="P681" s="89"/>
      <c r="Q681" s="89"/>
      <c r="R681" s="89"/>
      <c r="S681" s="246"/>
      <c r="T681" s="246"/>
      <c r="U681" s="246"/>
      <c r="V681" s="89"/>
      <c r="W681" s="246"/>
    </row>
    <row r="682" spans="2:23" ht="15.75" customHeight="1">
      <c r="B682" s="216"/>
      <c r="C682" s="89"/>
      <c r="D682" s="89"/>
      <c r="E682" s="89"/>
      <c r="F682" s="89"/>
      <c r="G682" s="89"/>
      <c r="H682" s="246"/>
      <c r="I682" s="246"/>
      <c r="J682" s="246"/>
      <c r="K682" s="216"/>
      <c r="L682" s="246"/>
      <c r="M682" s="89"/>
      <c r="N682" s="89"/>
      <c r="O682" s="89"/>
      <c r="P682" s="89"/>
      <c r="Q682" s="89"/>
      <c r="R682" s="89"/>
      <c r="S682" s="246"/>
      <c r="T682" s="246"/>
      <c r="U682" s="246"/>
      <c r="V682" s="89"/>
      <c r="W682" s="246"/>
    </row>
    <row r="683" spans="2:23" ht="15.75" customHeight="1">
      <c r="B683" s="216"/>
      <c r="C683" s="89"/>
      <c r="D683" s="89"/>
      <c r="E683" s="89"/>
      <c r="F683" s="89"/>
      <c r="G683" s="89"/>
      <c r="H683" s="246"/>
      <c r="I683" s="246"/>
      <c r="J683" s="246"/>
      <c r="K683" s="216"/>
      <c r="L683" s="246"/>
      <c r="M683" s="89"/>
      <c r="N683" s="89"/>
      <c r="O683" s="89"/>
      <c r="P683" s="89"/>
      <c r="Q683" s="89"/>
      <c r="R683" s="89"/>
      <c r="S683" s="246"/>
      <c r="T683" s="246"/>
      <c r="U683" s="246"/>
      <c r="V683" s="89"/>
      <c r="W683" s="246"/>
    </row>
    <row r="684" spans="2:23" ht="15.75" customHeight="1">
      <c r="B684" s="216"/>
      <c r="C684" s="89"/>
      <c r="D684" s="89"/>
      <c r="E684" s="89"/>
      <c r="F684" s="89"/>
      <c r="G684" s="89"/>
      <c r="H684" s="246"/>
      <c r="I684" s="246"/>
      <c r="J684" s="246"/>
      <c r="K684" s="216"/>
      <c r="L684" s="246"/>
      <c r="M684" s="89"/>
      <c r="N684" s="89"/>
      <c r="O684" s="89"/>
      <c r="P684" s="89"/>
      <c r="Q684" s="89"/>
      <c r="R684" s="89"/>
      <c r="S684" s="246"/>
      <c r="T684" s="246"/>
      <c r="U684" s="246"/>
      <c r="V684" s="89"/>
      <c r="W684" s="246"/>
    </row>
    <row r="685" spans="2:23" ht="15.75" customHeight="1">
      <c r="B685" s="216"/>
      <c r="C685" s="89"/>
      <c r="D685" s="89"/>
      <c r="E685" s="89"/>
      <c r="F685" s="89"/>
      <c r="G685" s="89"/>
      <c r="H685" s="246"/>
      <c r="I685" s="246"/>
      <c r="J685" s="246"/>
      <c r="K685" s="216"/>
      <c r="L685" s="246"/>
      <c r="M685" s="89"/>
      <c r="N685" s="89"/>
      <c r="O685" s="89"/>
      <c r="P685" s="89"/>
      <c r="Q685" s="89"/>
      <c r="R685" s="89"/>
      <c r="S685" s="246"/>
      <c r="T685" s="246"/>
      <c r="U685" s="246"/>
      <c r="V685" s="89"/>
      <c r="W685" s="246"/>
    </row>
    <row r="686" spans="2:23" ht="15.75" customHeight="1">
      <c r="B686" s="216"/>
      <c r="C686" s="89"/>
      <c r="D686" s="89"/>
      <c r="E686" s="89"/>
      <c r="F686" s="89"/>
      <c r="G686" s="89"/>
      <c r="H686" s="246"/>
      <c r="I686" s="246"/>
      <c r="J686" s="246"/>
      <c r="K686" s="216"/>
      <c r="L686" s="246"/>
      <c r="M686" s="89"/>
      <c r="N686" s="89"/>
      <c r="O686" s="89"/>
      <c r="P686" s="89"/>
      <c r="Q686" s="89"/>
      <c r="R686" s="89"/>
      <c r="S686" s="246"/>
      <c r="T686" s="246"/>
      <c r="U686" s="246"/>
      <c r="V686" s="89"/>
      <c r="W686" s="246"/>
    </row>
    <row r="687" spans="2:23" ht="15.75" customHeight="1">
      <c r="B687" s="216"/>
      <c r="C687" s="89"/>
      <c r="D687" s="89"/>
      <c r="E687" s="89"/>
      <c r="F687" s="89"/>
      <c r="G687" s="89"/>
      <c r="H687" s="246"/>
      <c r="I687" s="246"/>
      <c r="J687" s="246"/>
      <c r="K687" s="216"/>
      <c r="L687" s="246"/>
      <c r="M687" s="89"/>
      <c r="N687" s="89"/>
      <c r="O687" s="89"/>
      <c r="P687" s="89"/>
      <c r="Q687" s="89"/>
      <c r="R687" s="89"/>
      <c r="S687" s="246"/>
      <c r="T687" s="246"/>
      <c r="U687" s="246"/>
      <c r="V687" s="89"/>
      <c r="W687" s="246"/>
    </row>
    <row r="688" spans="2:23" ht="15.75" customHeight="1">
      <c r="B688" s="216"/>
      <c r="C688" s="89"/>
      <c r="D688" s="89"/>
      <c r="E688" s="89"/>
      <c r="F688" s="89"/>
      <c r="G688" s="89"/>
      <c r="H688" s="246"/>
      <c r="I688" s="246"/>
      <c r="J688" s="246"/>
      <c r="K688" s="216"/>
      <c r="L688" s="246"/>
      <c r="M688" s="89"/>
      <c r="N688" s="89"/>
      <c r="O688" s="89"/>
      <c r="P688" s="89"/>
      <c r="Q688" s="89"/>
      <c r="R688" s="89"/>
      <c r="S688" s="246"/>
      <c r="T688" s="246"/>
      <c r="U688" s="246"/>
      <c r="V688" s="89"/>
      <c r="W688" s="246"/>
    </row>
    <row r="689" spans="2:23" ht="15.75" customHeight="1">
      <c r="B689" s="216"/>
      <c r="C689" s="89"/>
      <c r="D689" s="89"/>
      <c r="E689" s="89"/>
      <c r="F689" s="89"/>
      <c r="G689" s="89"/>
      <c r="H689" s="246"/>
      <c r="I689" s="246"/>
      <c r="J689" s="246"/>
      <c r="K689" s="216"/>
      <c r="L689" s="246"/>
      <c r="M689" s="89"/>
      <c r="N689" s="89"/>
      <c r="O689" s="89"/>
      <c r="P689" s="89"/>
      <c r="Q689" s="89"/>
      <c r="R689" s="89"/>
      <c r="S689" s="246"/>
      <c r="T689" s="246"/>
      <c r="U689" s="246"/>
      <c r="V689" s="89"/>
      <c r="W689" s="246"/>
    </row>
    <row r="690" spans="2:23" ht="15.75" customHeight="1">
      <c r="B690" s="216"/>
      <c r="C690" s="89"/>
      <c r="D690" s="89"/>
      <c r="E690" s="89"/>
      <c r="F690" s="89"/>
      <c r="G690" s="89"/>
      <c r="H690" s="246"/>
      <c r="I690" s="246"/>
      <c r="J690" s="246"/>
      <c r="K690" s="216"/>
      <c r="L690" s="246"/>
      <c r="M690" s="89"/>
      <c r="N690" s="89"/>
      <c r="O690" s="89"/>
      <c r="P690" s="89"/>
      <c r="Q690" s="89"/>
      <c r="R690" s="89"/>
      <c r="S690" s="246"/>
      <c r="T690" s="246"/>
      <c r="U690" s="246"/>
      <c r="V690" s="89"/>
      <c r="W690" s="246"/>
    </row>
    <row r="691" spans="2:23" ht="15.75" customHeight="1">
      <c r="B691" s="216"/>
      <c r="C691" s="89"/>
      <c r="D691" s="89"/>
      <c r="E691" s="89"/>
      <c r="F691" s="89"/>
      <c r="G691" s="89"/>
      <c r="H691" s="246"/>
      <c r="I691" s="246"/>
      <c r="J691" s="246"/>
      <c r="K691" s="216"/>
      <c r="L691" s="246"/>
      <c r="M691" s="89"/>
      <c r="N691" s="89"/>
      <c r="O691" s="89"/>
      <c r="P691" s="89"/>
      <c r="Q691" s="89"/>
      <c r="R691" s="89"/>
      <c r="S691" s="246"/>
      <c r="T691" s="246"/>
      <c r="U691" s="246"/>
      <c r="V691" s="89"/>
      <c r="W691" s="246"/>
    </row>
    <row r="692" spans="2:23" ht="15.75" customHeight="1">
      <c r="B692" s="216"/>
      <c r="C692" s="89"/>
      <c r="D692" s="89"/>
      <c r="E692" s="89"/>
      <c r="F692" s="89"/>
      <c r="G692" s="89"/>
      <c r="H692" s="246"/>
      <c r="I692" s="246"/>
      <c r="J692" s="246"/>
      <c r="K692" s="216"/>
      <c r="L692" s="246"/>
      <c r="M692" s="89"/>
      <c r="N692" s="89"/>
      <c r="O692" s="89"/>
      <c r="P692" s="89"/>
      <c r="Q692" s="89"/>
      <c r="R692" s="89"/>
      <c r="S692" s="246"/>
      <c r="T692" s="246"/>
      <c r="U692" s="246"/>
      <c r="V692" s="89"/>
      <c r="W692" s="246"/>
    </row>
    <row r="693" spans="2:23" ht="15.75" customHeight="1">
      <c r="B693" s="216"/>
      <c r="C693" s="89"/>
      <c r="D693" s="89"/>
      <c r="E693" s="89"/>
      <c r="F693" s="89"/>
      <c r="G693" s="89"/>
      <c r="H693" s="246"/>
      <c r="I693" s="246"/>
      <c r="J693" s="246"/>
      <c r="K693" s="216"/>
      <c r="L693" s="246"/>
      <c r="M693" s="89"/>
      <c r="N693" s="89"/>
      <c r="O693" s="89"/>
      <c r="P693" s="89"/>
      <c r="Q693" s="89"/>
      <c r="R693" s="89"/>
      <c r="S693" s="246"/>
      <c r="T693" s="246"/>
      <c r="U693" s="246"/>
      <c r="V693" s="89"/>
      <c r="W693" s="246"/>
    </row>
    <row r="694" spans="2:23" ht="15.75" customHeight="1">
      <c r="B694" s="216"/>
      <c r="C694" s="89"/>
      <c r="D694" s="89"/>
      <c r="E694" s="89"/>
      <c r="F694" s="89"/>
      <c r="G694" s="89"/>
      <c r="H694" s="246"/>
      <c r="I694" s="246"/>
      <c r="J694" s="246"/>
      <c r="K694" s="216"/>
      <c r="L694" s="246"/>
      <c r="M694" s="89"/>
      <c r="N694" s="89"/>
      <c r="O694" s="89"/>
      <c r="P694" s="89"/>
      <c r="Q694" s="89"/>
      <c r="R694" s="89"/>
      <c r="S694" s="246"/>
      <c r="T694" s="246"/>
      <c r="U694" s="246"/>
      <c r="V694" s="89"/>
      <c r="W694" s="246"/>
    </row>
    <row r="695" spans="2:23" ht="15.75" customHeight="1">
      <c r="B695" s="216"/>
      <c r="C695" s="89"/>
      <c r="D695" s="89"/>
      <c r="E695" s="89"/>
      <c r="F695" s="89"/>
      <c r="G695" s="89"/>
      <c r="H695" s="246"/>
      <c r="I695" s="246"/>
      <c r="J695" s="246"/>
      <c r="K695" s="216"/>
      <c r="L695" s="246"/>
      <c r="M695" s="89"/>
      <c r="N695" s="89"/>
      <c r="O695" s="89"/>
      <c r="P695" s="89"/>
      <c r="Q695" s="89"/>
      <c r="R695" s="89"/>
      <c r="S695" s="246"/>
      <c r="T695" s="246"/>
      <c r="U695" s="246"/>
      <c r="V695" s="89"/>
      <c r="W695" s="246"/>
    </row>
    <row r="696" spans="2:23" ht="15.75" customHeight="1">
      <c r="B696" s="216"/>
      <c r="C696" s="89"/>
      <c r="D696" s="89"/>
      <c r="E696" s="89"/>
      <c r="F696" s="89"/>
      <c r="G696" s="89"/>
      <c r="H696" s="246"/>
      <c r="I696" s="246"/>
      <c r="J696" s="246"/>
      <c r="K696" s="216"/>
      <c r="L696" s="246"/>
      <c r="M696" s="89"/>
      <c r="N696" s="89"/>
      <c r="O696" s="89"/>
      <c r="P696" s="89"/>
      <c r="Q696" s="89"/>
      <c r="R696" s="89"/>
      <c r="S696" s="246"/>
      <c r="T696" s="246"/>
      <c r="U696" s="246"/>
      <c r="V696" s="89"/>
      <c r="W696" s="246"/>
    </row>
    <row r="697" spans="2:23" ht="15.75" customHeight="1">
      <c r="B697" s="216"/>
      <c r="C697" s="89"/>
      <c r="D697" s="89"/>
      <c r="E697" s="89"/>
      <c r="F697" s="89"/>
      <c r="G697" s="89"/>
      <c r="H697" s="246"/>
      <c r="I697" s="246"/>
      <c r="J697" s="246"/>
      <c r="K697" s="216"/>
      <c r="L697" s="246"/>
      <c r="M697" s="89"/>
      <c r="N697" s="89"/>
      <c r="O697" s="89"/>
      <c r="P697" s="89"/>
      <c r="Q697" s="89"/>
      <c r="R697" s="89"/>
      <c r="S697" s="246"/>
      <c r="T697" s="246"/>
      <c r="U697" s="246"/>
      <c r="V697" s="89"/>
      <c r="W697" s="246"/>
    </row>
    <row r="698" spans="2:23" ht="15.75" customHeight="1">
      <c r="B698" s="216"/>
      <c r="C698" s="89"/>
      <c r="D698" s="89"/>
      <c r="E698" s="89"/>
      <c r="F698" s="89"/>
      <c r="G698" s="89"/>
      <c r="H698" s="246"/>
      <c r="I698" s="246"/>
      <c r="J698" s="246"/>
      <c r="K698" s="216"/>
      <c r="L698" s="246"/>
      <c r="M698" s="89"/>
      <c r="N698" s="89"/>
      <c r="O698" s="89"/>
      <c r="P698" s="89"/>
      <c r="Q698" s="89"/>
      <c r="R698" s="89"/>
      <c r="S698" s="246"/>
      <c r="T698" s="246"/>
      <c r="U698" s="246"/>
      <c r="V698" s="89"/>
      <c r="W698" s="246"/>
    </row>
    <row r="699" spans="2:23" ht="15.75" customHeight="1">
      <c r="B699" s="216"/>
      <c r="C699" s="89"/>
      <c r="D699" s="89"/>
      <c r="E699" s="89"/>
      <c r="F699" s="89"/>
      <c r="G699" s="89"/>
      <c r="H699" s="246"/>
      <c r="I699" s="246"/>
      <c r="J699" s="246"/>
      <c r="K699" s="216"/>
      <c r="L699" s="246"/>
      <c r="M699" s="89"/>
      <c r="N699" s="89"/>
      <c r="O699" s="89"/>
      <c r="P699" s="89"/>
      <c r="Q699" s="89"/>
      <c r="R699" s="89"/>
      <c r="S699" s="246"/>
      <c r="T699" s="246"/>
      <c r="U699" s="246"/>
      <c r="V699" s="89"/>
      <c r="W699" s="246"/>
    </row>
    <row r="700" spans="2:23" ht="15.75" customHeight="1">
      <c r="B700" s="216"/>
      <c r="C700" s="89"/>
      <c r="D700" s="89"/>
      <c r="E700" s="89"/>
      <c r="F700" s="89"/>
      <c r="G700" s="89"/>
      <c r="H700" s="246"/>
      <c r="I700" s="246"/>
      <c r="J700" s="246"/>
      <c r="K700" s="216"/>
      <c r="L700" s="246"/>
      <c r="M700" s="89"/>
      <c r="N700" s="89"/>
      <c r="O700" s="89"/>
      <c r="P700" s="89"/>
      <c r="Q700" s="89"/>
      <c r="R700" s="89"/>
      <c r="S700" s="246"/>
      <c r="T700" s="246"/>
      <c r="U700" s="246"/>
      <c r="V700" s="89"/>
      <c r="W700" s="246"/>
    </row>
    <row r="701" spans="2:23" ht="15.75" customHeight="1">
      <c r="B701" s="216"/>
      <c r="C701" s="89"/>
      <c r="D701" s="89"/>
      <c r="E701" s="89"/>
      <c r="F701" s="89"/>
      <c r="G701" s="89"/>
      <c r="H701" s="246"/>
      <c r="I701" s="246"/>
      <c r="J701" s="246"/>
      <c r="K701" s="216"/>
      <c r="L701" s="246"/>
      <c r="M701" s="89"/>
      <c r="N701" s="89"/>
      <c r="O701" s="89"/>
      <c r="P701" s="89"/>
      <c r="Q701" s="89"/>
      <c r="R701" s="89"/>
      <c r="S701" s="246"/>
      <c r="T701" s="246"/>
      <c r="U701" s="246"/>
      <c r="V701" s="89"/>
      <c r="W701" s="246"/>
    </row>
    <row r="702" spans="2:23" ht="15.75" customHeight="1">
      <c r="B702" s="216"/>
      <c r="C702" s="89"/>
      <c r="D702" s="89"/>
      <c r="E702" s="89"/>
      <c r="F702" s="89"/>
      <c r="G702" s="89"/>
      <c r="H702" s="246"/>
      <c r="I702" s="246"/>
      <c r="J702" s="246"/>
      <c r="K702" s="216"/>
      <c r="L702" s="246"/>
      <c r="M702" s="89"/>
      <c r="N702" s="89"/>
      <c r="O702" s="89"/>
      <c r="P702" s="89"/>
      <c r="Q702" s="89"/>
      <c r="R702" s="89"/>
      <c r="S702" s="246"/>
      <c r="T702" s="246"/>
      <c r="U702" s="246"/>
      <c r="V702" s="89"/>
      <c r="W702" s="246"/>
    </row>
    <row r="703" spans="2:23" ht="15.75" customHeight="1">
      <c r="B703" s="216"/>
      <c r="C703" s="89"/>
      <c r="D703" s="89"/>
      <c r="E703" s="89"/>
      <c r="F703" s="89"/>
      <c r="G703" s="89"/>
      <c r="H703" s="246"/>
      <c r="I703" s="246"/>
      <c r="J703" s="246"/>
      <c r="K703" s="216"/>
      <c r="L703" s="246"/>
      <c r="M703" s="89"/>
      <c r="N703" s="89"/>
      <c r="O703" s="89"/>
      <c r="P703" s="89"/>
      <c r="Q703" s="89"/>
      <c r="R703" s="89"/>
      <c r="S703" s="246"/>
      <c r="T703" s="246"/>
      <c r="U703" s="246"/>
      <c r="V703" s="89"/>
      <c r="W703" s="246"/>
    </row>
    <row r="704" spans="2:23" ht="15.75" customHeight="1">
      <c r="B704" s="216"/>
      <c r="C704" s="89"/>
      <c r="D704" s="89"/>
      <c r="E704" s="89"/>
      <c r="F704" s="89"/>
      <c r="G704" s="89"/>
      <c r="H704" s="246"/>
      <c r="I704" s="246"/>
      <c r="J704" s="246"/>
      <c r="K704" s="216"/>
      <c r="L704" s="246"/>
      <c r="M704" s="89"/>
      <c r="N704" s="89"/>
      <c r="O704" s="89"/>
      <c r="P704" s="89"/>
      <c r="Q704" s="89"/>
      <c r="R704" s="89"/>
      <c r="S704" s="246"/>
      <c r="T704" s="246"/>
      <c r="U704" s="246"/>
      <c r="V704" s="89"/>
      <c r="W704" s="246"/>
    </row>
    <row r="705" spans="2:23" ht="15.75" customHeight="1">
      <c r="B705" s="216"/>
      <c r="C705" s="89"/>
      <c r="D705" s="89"/>
      <c r="E705" s="89"/>
      <c r="F705" s="89"/>
      <c r="G705" s="89"/>
      <c r="H705" s="246"/>
      <c r="I705" s="246"/>
      <c r="J705" s="246"/>
      <c r="K705" s="216"/>
      <c r="L705" s="246"/>
      <c r="M705" s="89"/>
      <c r="N705" s="89"/>
      <c r="O705" s="89"/>
      <c r="P705" s="89"/>
      <c r="Q705" s="89"/>
      <c r="R705" s="89"/>
      <c r="S705" s="246"/>
      <c r="T705" s="246"/>
      <c r="U705" s="246"/>
      <c r="V705" s="89"/>
      <c r="W705" s="246"/>
    </row>
    <row r="706" spans="2:23" ht="15.75" customHeight="1">
      <c r="B706" s="216"/>
      <c r="C706" s="89"/>
      <c r="D706" s="89"/>
      <c r="E706" s="89"/>
      <c r="F706" s="89"/>
      <c r="G706" s="89"/>
      <c r="H706" s="246"/>
      <c r="I706" s="246"/>
      <c r="J706" s="246"/>
      <c r="K706" s="216"/>
      <c r="L706" s="246"/>
      <c r="M706" s="89"/>
      <c r="N706" s="89"/>
      <c r="O706" s="89"/>
      <c r="P706" s="89"/>
      <c r="Q706" s="89"/>
      <c r="R706" s="89"/>
      <c r="S706" s="246"/>
      <c r="T706" s="246"/>
      <c r="U706" s="246"/>
      <c r="V706" s="89"/>
      <c r="W706" s="246"/>
    </row>
    <row r="707" spans="2:23" ht="15.75" customHeight="1">
      <c r="B707" s="216"/>
      <c r="C707" s="89"/>
      <c r="D707" s="89"/>
      <c r="E707" s="89"/>
      <c r="F707" s="89"/>
      <c r="G707" s="89"/>
      <c r="H707" s="246"/>
      <c r="I707" s="246"/>
      <c r="J707" s="246"/>
      <c r="K707" s="216"/>
      <c r="L707" s="246"/>
      <c r="M707" s="89"/>
      <c r="N707" s="89"/>
      <c r="O707" s="89"/>
      <c r="P707" s="89"/>
      <c r="Q707" s="89"/>
      <c r="R707" s="89"/>
      <c r="S707" s="246"/>
      <c r="T707" s="246"/>
      <c r="U707" s="246"/>
      <c r="V707" s="89"/>
      <c r="W707" s="246"/>
    </row>
    <row r="708" spans="2:23" ht="15.75" customHeight="1">
      <c r="B708" s="216"/>
      <c r="C708" s="89"/>
      <c r="D708" s="89"/>
      <c r="E708" s="89"/>
      <c r="F708" s="89"/>
      <c r="G708" s="89"/>
      <c r="H708" s="246"/>
      <c r="I708" s="246"/>
      <c r="J708" s="246"/>
      <c r="K708" s="216"/>
      <c r="L708" s="246"/>
      <c r="M708" s="89"/>
      <c r="N708" s="89"/>
      <c r="O708" s="89"/>
      <c r="P708" s="89"/>
      <c r="Q708" s="89"/>
      <c r="R708" s="89"/>
      <c r="S708" s="246"/>
      <c r="T708" s="246"/>
      <c r="U708" s="246"/>
      <c r="V708" s="89"/>
      <c r="W708" s="246"/>
    </row>
    <row r="709" spans="2:23" ht="15.75" customHeight="1">
      <c r="B709" s="216"/>
      <c r="C709" s="89"/>
      <c r="D709" s="89"/>
      <c r="E709" s="89"/>
      <c r="F709" s="89"/>
      <c r="G709" s="89"/>
      <c r="H709" s="246"/>
      <c r="I709" s="246"/>
      <c r="J709" s="246"/>
      <c r="K709" s="216"/>
      <c r="L709" s="246"/>
      <c r="M709" s="89"/>
      <c r="N709" s="89"/>
      <c r="O709" s="89"/>
      <c r="P709" s="89"/>
      <c r="Q709" s="89"/>
      <c r="R709" s="89"/>
      <c r="S709" s="246"/>
      <c r="T709" s="246"/>
      <c r="U709" s="246"/>
      <c r="V709" s="89"/>
      <c r="W709" s="246"/>
    </row>
    <row r="710" spans="2:23" ht="15.75" customHeight="1">
      <c r="B710" s="216"/>
      <c r="C710" s="89"/>
      <c r="D710" s="89"/>
      <c r="E710" s="89"/>
      <c r="F710" s="89"/>
      <c r="G710" s="89"/>
      <c r="H710" s="246"/>
      <c r="I710" s="246"/>
      <c r="J710" s="246"/>
      <c r="K710" s="216"/>
      <c r="L710" s="246"/>
      <c r="M710" s="89"/>
      <c r="N710" s="89"/>
      <c r="O710" s="89"/>
      <c r="P710" s="89"/>
      <c r="Q710" s="89"/>
      <c r="R710" s="89"/>
      <c r="S710" s="246"/>
      <c r="T710" s="246"/>
      <c r="U710" s="246"/>
      <c r="V710" s="89"/>
      <c r="W710" s="246"/>
    </row>
    <row r="711" spans="2:23" ht="15.75" customHeight="1">
      <c r="B711" s="216"/>
      <c r="C711" s="89"/>
      <c r="D711" s="89"/>
      <c r="E711" s="89"/>
      <c r="F711" s="89"/>
      <c r="G711" s="89"/>
      <c r="H711" s="246"/>
      <c r="I711" s="246"/>
      <c r="J711" s="246"/>
      <c r="K711" s="216"/>
      <c r="L711" s="246"/>
      <c r="M711" s="89"/>
      <c r="N711" s="89"/>
      <c r="O711" s="89"/>
      <c r="P711" s="89"/>
      <c r="Q711" s="89"/>
      <c r="R711" s="89"/>
      <c r="S711" s="246"/>
      <c r="T711" s="246"/>
      <c r="U711" s="246"/>
      <c r="V711" s="89"/>
      <c r="W711" s="246"/>
    </row>
    <row r="712" spans="2:23" ht="15.75" customHeight="1">
      <c r="B712" s="216"/>
      <c r="C712" s="89"/>
      <c r="D712" s="89"/>
      <c r="E712" s="89"/>
      <c r="F712" s="89"/>
      <c r="G712" s="89"/>
      <c r="H712" s="246"/>
      <c r="I712" s="246"/>
      <c r="J712" s="246"/>
      <c r="K712" s="216"/>
      <c r="L712" s="246"/>
      <c r="M712" s="89"/>
      <c r="N712" s="89"/>
      <c r="O712" s="89"/>
      <c r="P712" s="89"/>
      <c r="Q712" s="89"/>
      <c r="R712" s="89"/>
      <c r="S712" s="246"/>
      <c r="T712" s="246"/>
      <c r="U712" s="246"/>
      <c r="V712" s="89"/>
      <c r="W712" s="246"/>
    </row>
    <row r="713" spans="2:23" ht="15.75" customHeight="1">
      <c r="B713" s="216"/>
      <c r="C713" s="89"/>
      <c r="D713" s="89"/>
      <c r="E713" s="89"/>
      <c r="F713" s="89"/>
      <c r="G713" s="89"/>
      <c r="H713" s="246"/>
      <c r="I713" s="246"/>
      <c r="J713" s="246"/>
      <c r="K713" s="216"/>
      <c r="L713" s="246"/>
      <c r="M713" s="89"/>
      <c r="N713" s="89"/>
      <c r="O713" s="89"/>
      <c r="P713" s="89"/>
      <c r="Q713" s="89"/>
      <c r="R713" s="89"/>
      <c r="S713" s="246"/>
      <c r="T713" s="246"/>
      <c r="U713" s="246"/>
      <c r="V713" s="89"/>
      <c r="W713" s="246"/>
    </row>
    <row r="714" spans="2:23" ht="15.75" customHeight="1">
      <c r="B714" s="216"/>
      <c r="C714" s="89"/>
      <c r="D714" s="89"/>
      <c r="E714" s="89"/>
      <c r="F714" s="89"/>
      <c r="G714" s="89"/>
      <c r="H714" s="246"/>
      <c r="I714" s="246"/>
      <c r="J714" s="246"/>
      <c r="K714" s="216"/>
      <c r="L714" s="246"/>
      <c r="M714" s="89"/>
      <c r="N714" s="89"/>
      <c r="O714" s="89"/>
      <c r="P714" s="89"/>
      <c r="Q714" s="89"/>
      <c r="R714" s="89"/>
      <c r="S714" s="246"/>
      <c r="T714" s="246"/>
      <c r="U714" s="246"/>
      <c r="V714" s="89"/>
      <c r="W714" s="246"/>
    </row>
    <row r="715" spans="2:23" ht="15.75" customHeight="1">
      <c r="B715" s="216"/>
      <c r="C715" s="89"/>
      <c r="D715" s="89"/>
      <c r="E715" s="89"/>
      <c r="F715" s="89"/>
      <c r="G715" s="89"/>
      <c r="H715" s="246"/>
      <c r="I715" s="246"/>
      <c r="J715" s="246"/>
      <c r="K715" s="216"/>
      <c r="L715" s="246"/>
      <c r="M715" s="89"/>
      <c r="N715" s="89"/>
      <c r="O715" s="89"/>
      <c r="P715" s="89"/>
      <c r="Q715" s="89"/>
      <c r="R715" s="89"/>
      <c r="S715" s="246"/>
      <c r="T715" s="246"/>
      <c r="U715" s="246"/>
      <c r="V715" s="89"/>
      <c r="W715" s="246"/>
    </row>
    <row r="716" spans="2:23" ht="15.75" customHeight="1">
      <c r="B716" s="216"/>
      <c r="C716" s="89"/>
      <c r="D716" s="89"/>
      <c r="E716" s="89"/>
      <c r="F716" s="89"/>
      <c r="G716" s="89"/>
      <c r="H716" s="246"/>
      <c r="I716" s="246"/>
      <c r="J716" s="246"/>
      <c r="K716" s="216"/>
      <c r="L716" s="246"/>
      <c r="M716" s="89"/>
      <c r="N716" s="89"/>
      <c r="O716" s="89"/>
      <c r="P716" s="89"/>
      <c r="Q716" s="89"/>
      <c r="R716" s="89"/>
      <c r="S716" s="246"/>
      <c r="T716" s="246"/>
      <c r="U716" s="246"/>
      <c r="V716" s="89"/>
      <c r="W716" s="246"/>
    </row>
    <row r="717" spans="2:23" ht="15.75" customHeight="1">
      <c r="B717" s="216"/>
      <c r="C717" s="89"/>
      <c r="D717" s="89"/>
      <c r="E717" s="89"/>
      <c r="F717" s="89"/>
      <c r="G717" s="89"/>
      <c r="H717" s="246"/>
      <c r="I717" s="246"/>
      <c r="J717" s="246"/>
      <c r="K717" s="216"/>
      <c r="L717" s="246"/>
      <c r="M717" s="89"/>
      <c r="N717" s="89"/>
      <c r="O717" s="89"/>
      <c r="P717" s="89"/>
      <c r="Q717" s="89"/>
      <c r="R717" s="89"/>
      <c r="S717" s="246"/>
      <c r="T717" s="246"/>
      <c r="U717" s="246"/>
      <c r="V717" s="89"/>
      <c r="W717" s="246"/>
    </row>
    <row r="718" spans="2:23" ht="15.75" customHeight="1">
      <c r="B718" s="216"/>
      <c r="C718" s="89"/>
      <c r="D718" s="89"/>
      <c r="E718" s="89"/>
      <c r="F718" s="89"/>
      <c r="G718" s="89"/>
      <c r="H718" s="246"/>
      <c r="I718" s="246"/>
      <c r="J718" s="246"/>
      <c r="K718" s="216"/>
      <c r="L718" s="246"/>
      <c r="M718" s="89"/>
      <c r="N718" s="89"/>
      <c r="O718" s="89"/>
      <c r="P718" s="89"/>
      <c r="Q718" s="89"/>
      <c r="R718" s="89"/>
      <c r="S718" s="246"/>
      <c r="T718" s="246"/>
      <c r="U718" s="246"/>
      <c r="V718" s="89"/>
      <c r="W718" s="246"/>
    </row>
    <row r="719" spans="2:23" ht="15.75" customHeight="1">
      <c r="B719" s="216"/>
      <c r="C719" s="89"/>
      <c r="D719" s="89"/>
      <c r="E719" s="89"/>
      <c r="F719" s="89"/>
      <c r="G719" s="89"/>
      <c r="H719" s="246"/>
      <c r="I719" s="246"/>
      <c r="J719" s="246"/>
      <c r="K719" s="216"/>
      <c r="L719" s="246"/>
      <c r="M719" s="89"/>
      <c r="N719" s="89"/>
      <c r="O719" s="89"/>
      <c r="P719" s="89"/>
      <c r="Q719" s="89"/>
      <c r="R719" s="89"/>
      <c r="S719" s="246"/>
      <c r="T719" s="246"/>
      <c r="U719" s="246"/>
      <c r="V719" s="89"/>
      <c r="W719" s="246"/>
    </row>
    <row r="720" spans="2:23" ht="15.75" customHeight="1">
      <c r="B720" s="216"/>
      <c r="C720" s="89"/>
      <c r="D720" s="89"/>
      <c r="E720" s="89"/>
      <c r="F720" s="89"/>
      <c r="G720" s="89"/>
      <c r="H720" s="246"/>
      <c r="I720" s="246"/>
      <c r="J720" s="246"/>
      <c r="K720" s="216"/>
      <c r="L720" s="246"/>
      <c r="M720" s="89"/>
      <c r="N720" s="89"/>
      <c r="O720" s="89"/>
      <c r="P720" s="89"/>
      <c r="Q720" s="89"/>
      <c r="R720" s="89"/>
      <c r="S720" s="246"/>
      <c r="T720" s="246"/>
      <c r="U720" s="246"/>
      <c r="V720" s="89"/>
      <c r="W720" s="246"/>
    </row>
    <row r="721" spans="2:23" ht="15.75" customHeight="1">
      <c r="B721" s="216"/>
      <c r="C721" s="89"/>
      <c r="D721" s="89"/>
      <c r="E721" s="89"/>
      <c r="F721" s="89"/>
      <c r="G721" s="89"/>
      <c r="H721" s="246"/>
      <c r="I721" s="246"/>
      <c r="J721" s="246"/>
      <c r="K721" s="216"/>
      <c r="L721" s="246"/>
      <c r="M721" s="89"/>
      <c r="N721" s="89"/>
      <c r="O721" s="89"/>
      <c r="P721" s="89"/>
      <c r="Q721" s="89"/>
      <c r="R721" s="89"/>
      <c r="S721" s="246"/>
      <c r="T721" s="246"/>
      <c r="U721" s="246"/>
      <c r="V721" s="89"/>
      <c r="W721" s="246"/>
    </row>
    <row r="722" spans="2:23" ht="15.75" customHeight="1">
      <c r="B722" s="216"/>
      <c r="C722" s="89"/>
      <c r="D722" s="89"/>
      <c r="E722" s="89"/>
      <c r="F722" s="89"/>
      <c r="G722" s="89"/>
      <c r="H722" s="246"/>
      <c r="I722" s="246"/>
      <c r="J722" s="246"/>
      <c r="K722" s="216"/>
      <c r="L722" s="246"/>
      <c r="M722" s="89"/>
      <c r="N722" s="89"/>
      <c r="O722" s="89"/>
      <c r="P722" s="89"/>
      <c r="Q722" s="89"/>
      <c r="R722" s="89"/>
      <c r="S722" s="246"/>
      <c r="T722" s="246"/>
      <c r="U722" s="246"/>
      <c r="V722" s="89"/>
      <c r="W722" s="246"/>
    </row>
    <row r="723" spans="2:23" ht="15.75" customHeight="1">
      <c r="B723" s="216"/>
      <c r="C723" s="89"/>
      <c r="D723" s="89"/>
      <c r="E723" s="89"/>
      <c r="F723" s="89"/>
      <c r="G723" s="89"/>
      <c r="H723" s="246"/>
      <c r="I723" s="246"/>
      <c r="J723" s="246"/>
      <c r="K723" s="216"/>
      <c r="L723" s="246"/>
      <c r="M723" s="89"/>
      <c r="N723" s="89"/>
      <c r="O723" s="89"/>
      <c r="P723" s="89"/>
      <c r="Q723" s="89"/>
      <c r="R723" s="89"/>
      <c r="S723" s="246"/>
      <c r="T723" s="246"/>
      <c r="U723" s="246"/>
      <c r="V723" s="89"/>
      <c r="W723" s="246"/>
    </row>
    <row r="724" spans="2:23" ht="15.75" customHeight="1">
      <c r="B724" s="216"/>
      <c r="C724" s="89"/>
      <c r="D724" s="89"/>
      <c r="E724" s="89"/>
      <c r="F724" s="89"/>
      <c r="G724" s="89"/>
      <c r="H724" s="246"/>
      <c r="I724" s="246"/>
      <c r="J724" s="246"/>
      <c r="K724" s="216"/>
      <c r="L724" s="246"/>
      <c r="M724" s="89"/>
      <c r="N724" s="89"/>
      <c r="O724" s="89"/>
      <c r="P724" s="89"/>
      <c r="Q724" s="89"/>
      <c r="R724" s="89"/>
      <c r="S724" s="246"/>
      <c r="T724" s="246"/>
      <c r="U724" s="246"/>
      <c r="V724" s="89"/>
      <c r="W724" s="246"/>
    </row>
    <row r="725" spans="2:23" ht="15.75" customHeight="1">
      <c r="B725" s="216"/>
      <c r="C725" s="89"/>
      <c r="D725" s="89"/>
      <c r="E725" s="89"/>
      <c r="F725" s="89"/>
      <c r="G725" s="89"/>
      <c r="H725" s="246"/>
      <c r="I725" s="246"/>
      <c r="J725" s="246"/>
      <c r="K725" s="216"/>
      <c r="L725" s="246"/>
      <c r="M725" s="89"/>
      <c r="N725" s="89"/>
      <c r="O725" s="89"/>
      <c r="P725" s="89"/>
      <c r="Q725" s="89"/>
      <c r="R725" s="89"/>
      <c r="S725" s="246"/>
      <c r="T725" s="246"/>
      <c r="U725" s="246"/>
      <c r="V725" s="89"/>
      <c r="W725" s="246"/>
    </row>
    <row r="726" spans="2:23" ht="15.75" customHeight="1">
      <c r="B726" s="216"/>
      <c r="C726" s="89"/>
      <c r="D726" s="89"/>
      <c r="E726" s="89"/>
      <c r="F726" s="89"/>
      <c r="G726" s="89"/>
      <c r="H726" s="246"/>
      <c r="I726" s="246"/>
      <c r="J726" s="246"/>
      <c r="K726" s="216"/>
      <c r="L726" s="246"/>
      <c r="M726" s="89"/>
      <c r="N726" s="89"/>
      <c r="O726" s="89"/>
      <c r="P726" s="89"/>
      <c r="Q726" s="89"/>
      <c r="R726" s="89"/>
      <c r="S726" s="246"/>
      <c r="T726" s="246"/>
      <c r="U726" s="246"/>
      <c r="V726" s="89"/>
      <c r="W726" s="246"/>
    </row>
    <row r="727" spans="2:23" ht="15.75" customHeight="1">
      <c r="B727" s="216"/>
      <c r="C727" s="89"/>
      <c r="D727" s="89"/>
      <c r="E727" s="89"/>
      <c r="F727" s="89"/>
      <c r="G727" s="89"/>
      <c r="H727" s="246"/>
      <c r="I727" s="246"/>
      <c r="J727" s="246"/>
      <c r="K727" s="216"/>
      <c r="L727" s="246"/>
      <c r="M727" s="89"/>
      <c r="N727" s="89"/>
      <c r="O727" s="89"/>
      <c r="P727" s="89"/>
      <c r="Q727" s="89"/>
      <c r="R727" s="89"/>
      <c r="S727" s="246"/>
      <c r="T727" s="246"/>
      <c r="U727" s="246"/>
      <c r="V727" s="89"/>
      <c r="W727" s="246"/>
    </row>
    <row r="728" spans="2:23" ht="15.75" customHeight="1">
      <c r="B728" s="216"/>
      <c r="C728" s="89"/>
      <c r="D728" s="89"/>
      <c r="E728" s="89"/>
      <c r="F728" s="89"/>
      <c r="G728" s="89"/>
      <c r="H728" s="246"/>
      <c r="I728" s="246"/>
      <c r="J728" s="246"/>
      <c r="K728" s="216"/>
      <c r="L728" s="246"/>
      <c r="M728" s="89"/>
      <c r="N728" s="89"/>
      <c r="O728" s="89"/>
      <c r="P728" s="89"/>
      <c r="Q728" s="89"/>
      <c r="R728" s="89"/>
      <c r="S728" s="246"/>
      <c r="T728" s="246"/>
      <c r="U728" s="246"/>
      <c r="V728" s="89"/>
      <c r="W728" s="246"/>
    </row>
    <row r="729" spans="2:23" ht="15.75" customHeight="1">
      <c r="B729" s="216"/>
      <c r="C729" s="89"/>
      <c r="D729" s="89"/>
      <c r="E729" s="89"/>
      <c r="F729" s="89"/>
      <c r="G729" s="89"/>
      <c r="H729" s="246"/>
      <c r="I729" s="246"/>
      <c r="J729" s="246"/>
      <c r="K729" s="216"/>
      <c r="L729" s="246"/>
      <c r="M729" s="89"/>
      <c r="N729" s="89"/>
      <c r="O729" s="89"/>
      <c r="P729" s="89"/>
      <c r="Q729" s="89"/>
      <c r="R729" s="89"/>
      <c r="S729" s="246"/>
      <c r="T729" s="246"/>
      <c r="U729" s="246"/>
      <c r="V729" s="89"/>
      <c r="W729" s="246"/>
    </row>
    <row r="730" spans="2:23" ht="15.75" customHeight="1">
      <c r="B730" s="216"/>
      <c r="C730" s="89"/>
      <c r="D730" s="89"/>
      <c r="E730" s="89"/>
      <c r="F730" s="89"/>
      <c r="G730" s="89"/>
      <c r="H730" s="246"/>
      <c r="I730" s="246"/>
      <c r="J730" s="246"/>
      <c r="K730" s="216"/>
      <c r="L730" s="246"/>
      <c r="M730" s="89"/>
      <c r="N730" s="89"/>
      <c r="O730" s="89"/>
      <c r="P730" s="89"/>
      <c r="Q730" s="89"/>
      <c r="R730" s="89"/>
      <c r="S730" s="246"/>
      <c r="T730" s="246"/>
      <c r="U730" s="246"/>
      <c r="V730" s="89"/>
      <c r="W730" s="246"/>
    </row>
    <row r="731" spans="2:23" ht="15.75" customHeight="1">
      <c r="B731" s="216"/>
      <c r="C731" s="89"/>
      <c r="D731" s="89"/>
      <c r="E731" s="89"/>
      <c r="F731" s="89"/>
      <c r="G731" s="89"/>
      <c r="H731" s="246"/>
      <c r="I731" s="246"/>
      <c r="J731" s="246"/>
      <c r="K731" s="216"/>
      <c r="L731" s="246"/>
      <c r="M731" s="89"/>
      <c r="N731" s="89"/>
      <c r="O731" s="89"/>
      <c r="P731" s="89"/>
      <c r="Q731" s="89"/>
      <c r="R731" s="89"/>
      <c r="S731" s="246"/>
      <c r="T731" s="246"/>
      <c r="U731" s="246"/>
      <c r="V731" s="89"/>
      <c r="W731" s="246"/>
    </row>
    <row r="732" spans="2:23" ht="15.75" customHeight="1">
      <c r="B732" s="216"/>
      <c r="C732" s="89"/>
      <c r="D732" s="89"/>
      <c r="E732" s="89"/>
      <c r="F732" s="89"/>
      <c r="G732" s="89"/>
      <c r="H732" s="246"/>
      <c r="I732" s="246"/>
      <c r="J732" s="246"/>
      <c r="K732" s="216"/>
      <c r="L732" s="246"/>
      <c r="M732" s="89"/>
      <c r="N732" s="89"/>
      <c r="O732" s="89"/>
      <c r="P732" s="89"/>
      <c r="Q732" s="89"/>
      <c r="R732" s="89"/>
      <c r="S732" s="246"/>
      <c r="T732" s="246"/>
      <c r="U732" s="246"/>
      <c r="V732" s="89"/>
      <c r="W732" s="246"/>
    </row>
    <row r="733" spans="2:23" ht="15.75" customHeight="1">
      <c r="B733" s="216"/>
      <c r="C733" s="89"/>
      <c r="D733" s="89"/>
      <c r="E733" s="89"/>
      <c r="F733" s="89"/>
      <c r="G733" s="89"/>
      <c r="H733" s="246"/>
      <c r="I733" s="246"/>
      <c r="J733" s="246"/>
      <c r="K733" s="216"/>
      <c r="L733" s="246"/>
      <c r="M733" s="89"/>
      <c r="N733" s="89"/>
      <c r="O733" s="89"/>
      <c r="P733" s="89"/>
      <c r="Q733" s="89"/>
      <c r="R733" s="89"/>
      <c r="S733" s="246"/>
      <c r="T733" s="246"/>
      <c r="U733" s="246"/>
      <c r="V733" s="89"/>
      <c r="W733" s="246"/>
    </row>
    <row r="734" spans="2:23" ht="15.75" customHeight="1">
      <c r="B734" s="216"/>
      <c r="C734" s="89"/>
      <c r="D734" s="89"/>
      <c r="E734" s="89"/>
      <c r="F734" s="89"/>
      <c r="G734" s="89"/>
      <c r="H734" s="246"/>
      <c r="I734" s="246"/>
      <c r="J734" s="246"/>
      <c r="K734" s="216"/>
      <c r="L734" s="246"/>
      <c r="M734" s="89"/>
      <c r="N734" s="89"/>
      <c r="O734" s="89"/>
      <c r="P734" s="89"/>
      <c r="Q734" s="89"/>
      <c r="R734" s="89"/>
      <c r="S734" s="246"/>
      <c r="T734" s="246"/>
      <c r="U734" s="246"/>
      <c r="V734" s="89"/>
      <c r="W734" s="246"/>
    </row>
    <row r="735" spans="2:23" ht="15.75" customHeight="1">
      <c r="B735" s="216"/>
      <c r="C735" s="89"/>
      <c r="D735" s="89"/>
      <c r="E735" s="89"/>
      <c r="F735" s="89"/>
      <c r="G735" s="89"/>
      <c r="H735" s="246"/>
      <c r="I735" s="246"/>
      <c r="J735" s="246"/>
      <c r="K735" s="216"/>
      <c r="L735" s="246"/>
      <c r="M735" s="89"/>
      <c r="N735" s="89"/>
      <c r="O735" s="89"/>
      <c r="P735" s="89"/>
      <c r="Q735" s="89"/>
      <c r="R735" s="89"/>
      <c r="S735" s="246"/>
      <c r="T735" s="246"/>
      <c r="U735" s="246"/>
      <c r="V735" s="89"/>
      <c r="W735" s="246"/>
    </row>
    <row r="736" spans="2:23" ht="15.75" customHeight="1">
      <c r="B736" s="216"/>
      <c r="C736" s="89"/>
      <c r="D736" s="89"/>
      <c r="E736" s="89"/>
      <c r="F736" s="89"/>
      <c r="G736" s="89"/>
      <c r="H736" s="246"/>
      <c r="I736" s="246"/>
      <c r="J736" s="246"/>
      <c r="K736" s="216"/>
      <c r="L736" s="246"/>
      <c r="M736" s="89"/>
      <c r="N736" s="89"/>
      <c r="O736" s="89"/>
      <c r="P736" s="89"/>
      <c r="Q736" s="89"/>
      <c r="R736" s="89"/>
      <c r="S736" s="246"/>
      <c r="T736" s="246"/>
      <c r="U736" s="246"/>
      <c r="V736" s="89"/>
      <c r="W736" s="246"/>
    </row>
    <row r="737" spans="2:23" ht="15.75" customHeight="1">
      <c r="B737" s="216"/>
      <c r="C737" s="89"/>
      <c r="D737" s="89"/>
      <c r="E737" s="89"/>
      <c r="F737" s="89"/>
      <c r="G737" s="89"/>
      <c r="H737" s="246"/>
      <c r="I737" s="246"/>
      <c r="J737" s="246"/>
      <c r="K737" s="216"/>
      <c r="L737" s="246"/>
      <c r="M737" s="89"/>
      <c r="N737" s="89"/>
      <c r="O737" s="89"/>
      <c r="P737" s="89"/>
      <c r="Q737" s="89"/>
      <c r="R737" s="89"/>
      <c r="S737" s="246"/>
      <c r="T737" s="246"/>
      <c r="U737" s="246"/>
      <c r="V737" s="89"/>
      <c r="W737" s="246"/>
    </row>
    <row r="738" spans="2:23" ht="15.75" customHeight="1">
      <c r="B738" s="216"/>
      <c r="C738" s="89"/>
      <c r="D738" s="89"/>
      <c r="E738" s="89"/>
      <c r="F738" s="89"/>
      <c r="G738" s="89"/>
      <c r="H738" s="246"/>
      <c r="I738" s="246"/>
      <c r="J738" s="246"/>
      <c r="K738" s="216"/>
      <c r="L738" s="246"/>
      <c r="M738" s="89"/>
      <c r="N738" s="89"/>
      <c r="O738" s="89"/>
      <c r="P738" s="89"/>
      <c r="Q738" s="89"/>
      <c r="R738" s="89"/>
      <c r="S738" s="246"/>
      <c r="T738" s="246"/>
      <c r="U738" s="246"/>
      <c r="V738" s="89"/>
      <c r="W738" s="246"/>
    </row>
    <row r="739" spans="2:23" ht="15.75" customHeight="1">
      <c r="B739" s="216"/>
      <c r="C739" s="89"/>
      <c r="D739" s="89"/>
      <c r="E739" s="89"/>
      <c r="F739" s="89"/>
      <c r="G739" s="89"/>
      <c r="H739" s="246"/>
      <c r="I739" s="246"/>
      <c r="J739" s="246"/>
      <c r="K739" s="216"/>
      <c r="L739" s="246"/>
      <c r="M739" s="89"/>
      <c r="N739" s="89"/>
      <c r="O739" s="89"/>
      <c r="P739" s="89"/>
      <c r="Q739" s="89"/>
      <c r="R739" s="89"/>
      <c r="S739" s="246"/>
      <c r="T739" s="246"/>
      <c r="U739" s="246"/>
      <c r="V739" s="89"/>
      <c r="W739" s="246"/>
    </row>
    <row r="740" spans="2:23" ht="15.75" customHeight="1">
      <c r="B740" s="216"/>
      <c r="C740" s="89"/>
      <c r="D740" s="89"/>
      <c r="E740" s="89"/>
      <c r="F740" s="89"/>
      <c r="G740" s="89"/>
      <c r="H740" s="246"/>
      <c r="I740" s="246"/>
      <c r="J740" s="246"/>
      <c r="K740" s="216"/>
      <c r="L740" s="246"/>
      <c r="M740" s="89"/>
      <c r="N740" s="89"/>
      <c r="O740" s="89"/>
      <c r="P740" s="89"/>
      <c r="Q740" s="89"/>
      <c r="R740" s="89"/>
      <c r="S740" s="246"/>
      <c r="T740" s="246"/>
      <c r="U740" s="246"/>
      <c r="V740" s="89"/>
      <c r="W740" s="246"/>
    </row>
    <row r="741" spans="2:23" ht="15.75" customHeight="1">
      <c r="B741" s="216"/>
      <c r="C741" s="89"/>
      <c r="D741" s="89"/>
      <c r="E741" s="89"/>
      <c r="F741" s="89"/>
      <c r="G741" s="89"/>
      <c r="H741" s="246"/>
      <c r="I741" s="246"/>
      <c r="J741" s="246"/>
      <c r="K741" s="216"/>
      <c r="L741" s="246"/>
      <c r="M741" s="89"/>
      <c r="N741" s="89"/>
      <c r="O741" s="89"/>
      <c r="P741" s="89"/>
      <c r="Q741" s="89"/>
      <c r="R741" s="89"/>
      <c r="S741" s="246"/>
      <c r="T741" s="246"/>
      <c r="U741" s="246"/>
      <c r="V741" s="89"/>
      <c r="W741" s="246"/>
    </row>
    <row r="742" spans="2:23" ht="15.75" customHeight="1">
      <c r="B742" s="216"/>
      <c r="C742" s="89"/>
      <c r="D742" s="89"/>
      <c r="E742" s="89"/>
      <c r="F742" s="89"/>
      <c r="G742" s="89"/>
      <c r="H742" s="246"/>
      <c r="I742" s="246"/>
      <c r="J742" s="246"/>
      <c r="K742" s="216"/>
      <c r="L742" s="246"/>
      <c r="M742" s="89"/>
      <c r="N742" s="89"/>
      <c r="O742" s="89"/>
      <c r="P742" s="89"/>
      <c r="Q742" s="89"/>
      <c r="R742" s="89"/>
      <c r="S742" s="246"/>
      <c r="T742" s="246"/>
      <c r="U742" s="246"/>
      <c r="V742" s="89"/>
      <c r="W742" s="246"/>
    </row>
    <row r="743" spans="2:23" ht="15.75" customHeight="1">
      <c r="B743" s="216"/>
      <c r="C743" s="89"/>
      <c r="D743" s="89"/>
      <c r="E743" s="89"/>
      <c r="F743" s="89"/>
      <c r="G743" s="89"/>
      <c r="H743" s="246"/>
      <c r="I743" s="246"/>
      <c r="J743" s="246"/>
      <c r="K743" s="216"/>
      <c r="L743" s="246"/>
      <c r="M743" s="89"/>
      <c r="N743" s="89"/>
      <c r="O743" s="89"/>
      <c r="P743" s="89"/>
      <c r="Q743" s="89"/>
      <c r="R743" s="89"/>
      <c r="S743" s="246"/>
      <c r="T743" s="246"/>
      <c r="U743" s="246"/>
      <c r="V743" s="89"/>
      <c r="W743" s="246"/>
    </row>
    <row r="744" spans="2:23" ht="15.75" customHeight="1">
      <c r="B744" s="216"/>
      <c r="C744" s="89"/>
      <c r="D744" s="89"/>
      <c r="E744" s="89"/>
      <c r="F744" s="89"/>
      <c r="G744" s="89"/>
      <c r="H744" s="246"/>
      <c r="I744" s="246"/>
      <c r="J744" s="246"/>
      <c r="K744" s="216"/>
      <c r="L744" s="246"/>
      <c r="M744" s="89"/>
      <c r="N744" s="89"/>
      <c r="O744" s="89"/>
      <c r="P744" s="89"/>
      <c r="Q744" s="89"/>
      <c r="R744" s="89"/>
      <c r="S744" s="246"/>
      <c r="T744" s="246"/>
      <c r="U744" s="246"/>
      <c r="V744" s="89"/>
      <c r="W744" s="246"/>
    </row>
    <row r="745" spans="2:23" ht="15.75" customHeight="1">
      <c r="B745" s="216"/>
      <c r="C745" s="89"/>
      <c r="D745" s="89"/>
      <c r="E745" s="89"/>
      <c r="F745" s="89"/>
      <c r="G745" s="89"/>
      <c r="H745" s="246"/>
      <c r="I745" s="246"/>
      <c r="J745" s="246"/>
      <c r="K745" s="216"/>
      <c r="L745" s="246"/>
      <c r="M745" s="89"/>
      <c r="N745" s="89"/>
      <c r="O745" s="89"/>
      <c r="P745" s="89"/>
      <c r="Q745" s="89"/>
      <c r="R745" s="89"/>
      <c r="S745" s="246"/>
      <c r="T745" s="246"/>
      <c r="U745" s="246"/>
      <c r="V745" s="89"/>
      <c r="W745" s="246"/>
    </row>
    <row r="746" spans="2:23" ht="15.75" customHeight="1">
      <c r="B746" s="216"/>
      <c r="C746" s="89"/>
      <c r="D746" s="89"/>
      <c r="E746" s="89"/>
      <c r="F746" s="89"/>
      <c r="G746" s="89"/>
      <c r="H746" s="246"/>
      <c r="I746" s="246"/>
      <c r="J746" s="246"/>
      <c r="K746" s="216"/>
      <c r="L746" s="246"/>
      <c r="M746" s="89"/>
      <c r="N746" s="89"/>
      <c r="O746" s="89"/>
      <c r="P746" s="89"/>
      <c r="Q746" s="89"/>
      <c r="R746" s="89"/>
      <c r="S746" s="246"/>
      <c r="T746" s="246"/>
      <c r="U746" s="246"/>
      <c r="V746" s="89"/>
      <c r="W746" s="246"/>
    </row>
    <row r="747" spans="2:23" ht="15.75" customHeight="1">
      <c r="B747" s="216"/>
      <c r="C747" s="89"/>
      <c r="D747" s="89"/>
      <c r="E747" s="89"/>
      <c r="F747" s="89"/>
      <c r="G747" s="89"/>
      <c r="H747" s="246"/>
      <c r="I747" s="246"/>
      <c r="J747" s="246"/>
      <c r="K747" s="216"/>
      <c r="L747" s="246"/>
      <c r="M747" s="89"/>
      <c r="N747" s="89"/>
      <c r="O747" s="89"/>
      <c r="P747" s="89"/>
      <c r="Q747" s="89"/>
      <c r="R747" s="89"/>
      <c r="S747" s="246"/>
      <c r="T747" s="246"/>
      <c r="U747" s="246"/>
      <c r="V747" s="89"/>
      <c r="W747" s="246"/>
    </row>
    <row r="748" spans="2:23" ht="15.75" customHeight="1">
      <c r="B748" s="216"/>
      <c r="C748" s="89"/>
      <c r="D748" s="89"/>
      <c r="E748" s="89"/>
      <c r="F748" s="89"/>
      <c r="G748" s="89"/>
      <c r="H748" s="246"/>
      <c r="I748" s="246"/>
      <c r="J748" s="246"/>
      <c r="K748" s="216"/>
      <c r="L748" s="246"/>
      <c r="M748" s="89"/>
      <c r="N748" s="89"/>
      <c r="O748" s="89"/>
      <c r="P748" s="89"/>
      <c r="Q748" s="89"/>
      <c r="R748" s="89"/>
      <c r="S748" s="246"/>
      <c r="T748" s="246"/>
      <c r="U748" s="246"/>
      <c r="V748" s="89"/>
      <c r="W748" s="246"/>
    </row>
    <row r="749" spans="2:23" ht="15.75" customHeight="1">
      <c r="B749" s="216"/>
      <c r="C749" s="89"/>
      <c r="D749" s="89"/>
      <c r="E749" s="89"/>
      <c r="F749" s="89"/>
      <c r="G749" s="89"/>
      <c r="H749" s="246"/>
      <c r="I749" s="246"/>
      <c r="J749" s="246"/>
      <c r="K749" s="216"/>
      <c r="L749" s="246"/>
      <c r="M749" s="89"/>
      <c r="N749" s="89"/>
      <c r="O749" s="89"/>
      <c r="P749" s="89"/>
      <c r="Q749" s="89"/>
      <c r="R749" s="89"/>
      <c r="S749" s="246"/>
      <c r="T749" s="246"/>
      <c r="U749" s="246"/>
      <c r="V749" s="89"/>
      <c r="W749" s="246"/>
    </row>
    <row r="750" spans="2:23" ht="15.75" customHeight="1">
      <c r="B750" s="216"/>
      <c r="C750" s="89"/>
      <c r="D750" s="89"/>
      <c r="E750" s="89"/>
      <c r="F750" s="89"/>
      <c r="G750" s="89"/>
      <c r="H750" s="246"/>
      <c r="I750" s="246"/>
      <c r="J750" s="246"/>
      <c r="K750" s="216"/>
      <c r="L750" s="246"/>
      <c r="M750" s="89"/>
      <c r="N750" s="89"/>
      <c r="O750" s="89"/>
      <c r="P750" s="89"/>
      <c r="Q750" s="89"/>
      <c r="R750" s="89"/>
      <c r="S750" s="246"/>
      <c r="T750" s="246"/>
      <c r="U750" s="246"/>
      <c r="V750" s="89"/>
      <c r="W750" s="246"/>
    </row>
    <row r="751" spans="2:23" ht="15.75" customHeight="1">
      <c r="B751" s="216"/>
      <c r="C751" s="89"/>
      <c r="D751" s="89"/>
      <c r="E751" s="89"/>
      <c r="F751" s="89"/>
      <c r="G751" s="89"/>
      <c r="H751" s="246"/>
      <c r="I751" s="246"/>
      <c r="J751" s="246"/>
      <c r="K751" s="216"/>
      <c r="L751" s="246"/>
      <c r="M751" s="89"/>
      <c r="N751" s="89"/>
      <c r="O751" s="89"/>
      <c r="P751" s="89"/>
      <c r="Q751" s="89"/>
      <c r="R751" s="89"/>
      <c r="S751" s="246"/>
      <c r="T751" s="246"/>
      <c r="U751" s="246"/>
      <c r="V751" s="89"/>
      <c r="W751" s="246"/>
    </row>
    <row r="752" spans="2:23" ht="15.75" customHeight="1">
      <c r="B752" s="216"/>
      <c r="C752" s="89"/>
      <c r="D752" s="89"/>
      <c r="E752" s="89"/>
      <c r="F752" s="89"/>
      <c r="G752" s="89"/>
      <c r="H752" s="246"/>
      <c r="I752" s="246"/>
      <c r="J752" s="246"/>
      <c r="K752" s="216"/>
      <c r="L752" s="246"/>
      <c r="M752" s="89"/>
      <c r="N752" s="89"/>
      <c r="O752" s="89"/>
      <c r="P752" s="89"/>
      <c r="Q752" s="89"/>
      <c r="R752" s="89"/>
      <c r="S752" s="246"/>
      <c r="T752" s="246"/>
      <c r="U752" s="246"/>
      <c r="V752" s="89"/>
      <c r="W752" s="246"/>
    </row>
    <row r="753" spans="2:23" ht="15.75" customHeight="1">
      <c r="B753" s="216"/>
      <c r="C753" s="89"/>
      <c r="D753" s="89"/>
      <c r="E753" s="89"/>
      <c r="F753" s="89"/>
      <c r="G753" s="89"/>
      <c r="H753" s="246"/>
      <c r="I753" s="246"/>
      <c r="J753" s="246"/>
      <c r="K753" s="216"/>
      <c r="L753" s="246"/>
      <c r="M753" s="89"/>
      <c r="N753" s="89"/>
      <c r="O753" s="89"/>
      <c r="P753" s="89"/>
      <c r="Q753" s="89"/>
      <c r="R753" s="89"/>
      <c r="S753" s="246"/>
      <c r="T753" s="246"/>
      <c r="U753" s="246"/>
      <c r="V753" s="89"/>
      <c r="W753" s="246"/>
    </row>
    <row r="754" spans="2:23" ht="15.75" customHeight="1">
      <c r="B754" s="216"/>
      <c r="C754" s="89"/>
      <c r="D754" s="89"/>
      <c r="E754" s="89"/>
      <c r="F754" s="89"/>
      <c r="G754" s="89"/>
      <c r="H754" s="246"/>
      <c r="I754" s="246"/>
      <c r="J754" s="246"/>
      <c r="K754" s="216"/>
      <c r="L754" s="246"/>
      <c r="M754" s="89"/>
      <c r="N754" s="89"/>
      <c r="O754" s="89"/>
      <c r="P754" s="89"/>
      <c r="Q754" s="89"/>
      <c r="R754" s="89"/>
      <c r="S754" s="246"/>
      <c r="T754" s="246"/>
      <c r="U754" s="246"/>
      <c r="V754" s="89"/>
      <c r="W754" s="246"/>
    </row>
    <row r="755" spans="2:23" ht="15.75" customHeight="1">
      <c r="B755" s="216"/>
      <c r="C755" s="89"/>
      <c r="D755" s="89"/>
      <c r="E755" s="89"/>
      <c r="F755" s="89"/>
      <c r="G755" s="89"/>
      <c r="H755" s="246"/>
      <c r="I755" s="246"/>
      <c r="J755" s="246"/>
      <c r="K755" s="216"/>
      <c r="L755" s="246"/>
      <c r="M755" s="89"/>
      <c r="N755" s="89"/>
      <c r="O755" s="89"/>
      <c r="P755" s="89"/>
      <c r="Q755" s="89"/>
      <c r="R755" s="89"/>
      <c r="S755" s="246"/>
      <c r="T755" s="246"/>
      <c r="U755" s="246"/>
      <c r="V755" s="89"/>
      <c r="W755" s="246"/>
    </row>
    <row r="756" spans="2:23" ht="15.75" customHeight="1">
      <c r="B756" s="216"/>
      <c r="C756" s="89"/>
      <c r="D756" s="89"/>
      <c r="E756" s="89"/>
      <c r="F756" s="89"/>
      <c r="G756" s="89"/>
      <c r="H756" s="246"/>
      <c r="I756" s="246"/>
      <c r="J756" s="246"/>
      <c r="K756" s="216"/>
      <c r="L756" s="246"/>
      <c r="M756" s="89"/>
      <c r="N756" s="89"/>
      <c r="O756" s="89"/>
      <c r="P756" s="89"/>
      <c r="Q756" s="89"/>
      <c r="R756" s="89"/>
      <c r="S756" s="246"/>
      <c r="T756" s="246"/>
      <c r="U756" s="246"/>
      <c r="V756" s="89"/>
      <c r="W756" s="246"/>
    </row>
    <row r="757" spans="2:23" ht="15.75" customHeight="1">
      <c r="B757" s="216"/>
      <c r="C757" s="89"/>
      <c r="D757" s="89"/>
      <c r="E757" s="89"/>
      <c r="F757" s="89"/>
      <c r="G757" s="89"/>
      <c r="H757" s="246"/>
      <c r="I757" s="246"/>
      <c r="J757" s="246"/>
      <c r="K757" s="216"/>
      <c r="L757" s="246"/>
      <c r="M757" s="89"/>
      <c r="N757" s="89"/>
      <c r="O757" s="89"/>
      <c r="P757" s="89"/>
      <c r="Q757" s="89"/>
      <c r="R757" s="89"/>
      <c r="S757" s="246"/>
      <c r="T757" s="246"/>
      <c r="U757" s="246"/>
      <c r="V757" s="89"/>
      <c r="W757" s="246"/>
    </row>
    <row r="758" spans="2:23" ht="15.75" customHeight="1">
      <c r="B758" s="216"/>
      <c r="C758" s="89"/>
      <c r="D758" s="89"/>
      <c r="E758" s="89"/>
      <c r="F758" s="89"/>
      <c r="G758" s="89"/>
      <c r="H758" s="246"/>
      <c r="I758" s="246"/>
      <c r="J758" s="246"/>
      <c r="K758" s="216"/>
      <c r="L758" s="246"/>
      <c r="M758" s="89"/>
      <c r="N758" s="89"/>
      <c r="O758" s="89"/>
      <c r="P758" s="89"/>
      <c r="Q758" s="89"/>
      <c r="R758" s="89"/>
      <c r="S758" s="246"/>
      <c r="T758" s="246"/>
      <c r="U758" s="246"/>
      <c r="V758" s="89"/>
      <c r="W758" s="246"/>
    </row>
    <row r="759" spans="2:23" ht="15.75" customHeight="1">
      <c r="B759" s="216"/>
      <c r="C759" s="89"/>
      <c r="D759" s="89"/>
      <c r="E759" s="89"/>
      <c r="F759" s="89"/>
      <c r="G759" s="89"/>
      <c r="H759" s="246"/>
      <c r="I759" s="246"/>
      <c r="J759" s="246"/>
      <c r="K759" s="216"/>
      <c r="L759" s="246"/>
      <c r="M759" s="89"/>
      <c r="N759" s="89"/>
      <c r="O759" s="89"/>
      <c r="P759" s="89"/>
      <c r="Q759" s="89"/>
      <c r="R759" s="89"/>
      <c r="S759" s="246"/>
      <c r="T759" s="246"/>
      <c r="U759" s="246"/>
      <c r="V759" s="89"/>
      <c r="W759" s="246"/>
    </row>
    <row r="760" spans="2:23" ht="15.75" customHeight="1">
      <c r="B760" s="216"/>
      <c r="C760" s="89"/>
      <c r="D760" s="89"/>
      <c r="E760" s="89"/>
      <c r="F760" s="89"/>
      <c r="G760" s="89"/>
      <c r="H760" s="246"/>
      <c r="I760" s="246"/>
      <c r="J760" s="246"/>
      <c r="K760" s="216"/>
      <c r="L760" s="246"/>
      <c r="M760" s="89"/>
      <c r="N760" s="89"/>
      <c r="O760" s="89"/>
      <c r="P760" s="89"/>
      <c r="Q760" s="89"/>
      <c r="R760" s="89"/>
      <c r="S760" s="246"/>
      <c r="T760" s="246"/>
      <c r="U760" s="246"/>
      <c r="V760" s="89"/>
      <c r="W760" s="246"/>
    </row>
    <row r="761" spans="2:23" ht="15.75" customHeight="1">
      <c r="B761" s="216"/>
      <c r="C761" s="89"/>
      <c r="D761" s="89"/>
      <c r="E761" s="89"/>
      <c r="F761" s="89"/>
      <c r="G761" s="89"/>
      <c r="H761" s="246"/>
      <c r="I761" s="246"/>
      <c r="J761" s="246"/>
      <c r="K761" s="216"/>
      <c r="L761" s="246"/>
      <c r="M761" s="89"/>
      <c r="N761" s="89"/>
      <c r="O761" s="89"/>
      <c r="P761" s="89"/>
      <c r="Q761" s="89"/>
      <c r="R761" s="89"/>
      <c r="S761" s="246"/>
      <c r="T761" s="246"/>
      <c r="U761" s="246"/>
      <c r="V761" s="89"/>
      <c r="W761" s="246"/>
    </row>
    <row r="762" spans="2:23" ht="15.75" customHeight="1">
      <c r="B762" s="216"/>
      <c r="C762" s="89"/>
      <c r="D762" s="89"/>
      <c r="E762" s="89"/>
      <c r="F762" s="89"/>
      <c r="G762" s="89"/>
      <c r="H762" s="246"/>
      <c r="I762" s="246"/>
      <c r="J762" s="246"/>
      <c r="K762" s="216"/>
      <c r="L762" s="246"/>
      <c r="M762" s="89"/>
      <c r="N762" s="89"/>
      <c r="O762" s="89"/>
      <c r="P762" s="89"/>
      <c r="Q762" s="89"/>
      <c r="R762" s="89"/>
      <c r="S762" s="246"/>
      <c r="T762" s="246"/>
      <c r="U762" s="246"/>
      <c r="V762" s="89"/>
      <c r="W762" s="246"/>
    </row>
    <row r="763" spans="2:23" ht="15.75" customHeight="1">
      <c r="B763" s="216"/>
      <c r="C763" s="89"/>
      <c r="D763" s="89"/>
      <c r="E763" s="89"/>
      <c r="F763" s="89"/>
      <c r="G763" s="89"/>
      <c r="H763" s="246"/>
      <c r="I763" s="246"/>
      <c r="J763" s="246"/>
      <c r="K763" s="216"/>
      <c r="L763" s="246"/>
      <c r="M763" s="89"/>
      <c r="N763" s="89"/>
      <c r="O763" s="89"/>
      <c r="P763" s="89"/>
      <c r="Q763" s="89"/>
      <c r="R763" s="89"/>
      <c r="S763" s="246"/>
      <c r="T763" s="246"/>
      <c r="U763" s="246"/>
      <c r="V763" s="89"/>
      <c r="W763" s="246"/>
    </row>
    <row r="764" spans="2:23" ht="15.75" customHeight="1">
      <c r="B764" s="216"/>
      <c r="C764" s="89"/>
      <c r="D764" s="89"/>
      <c r="E764" s="89"/>
      <c r="F764" s="89"/>
      <c r="G764" s="89"/>
      <c r="H764" s="246"/>
      <c r="I764" s="246"/>
      <c r="J764" s="246"/>
      <c r="K764" s="216"/>
      <c r="L764" s="246"/>
      <c r="M764" s="89"/>
      <c r="N764" s="89"/>
      <c r="O764" s="89"/>
      <c r="P764" s="89"/>
      <c r="Q764" s="89"/>
      <c r="R764" s="89"/>
      <c r="S764" s="246"/>
      <c r="T764" s="246"/>
      <c r="U764" s="246"/>
      <c r="V764" s="89"/>
      <c r="W764" s="246"/>
    </row>
    <row r="765" spans="2:23" ht="15.75" customHeight="1">
      <c r="B765" s="216"/>
      <c r="C765" s="89"/>
      <c r="D765" s="89"/>
      <c r="E765" s="89"/>
      <c r="F765" s="89"/>
      <c r="G765" s="89"/>
      <c r="H765" s="246"/>
      <c r="I765" s="246"/>
      <c r="J765" s="246"/>
      <c r="K765" s="216"/>
      <c r="L765" s="246"/>
      <c r="M765" s="89"/>
      <c r="N765" s="89"/>
      <c r="O765" s="89"/>
      <c r="P765" s="89"/>
      <c r="Q765" s="89"/>
      <c r="R765" s="89"/>
      <c r="S765" s="246"/>
      <c r="T765" s="246"/>
      <c r="U765" s="246"/>
      <c r="V765" s="89"/>
      <c r="W765" s="246"/>
    </row>
    <row r="766" spans="2:23" ht="15.75" customHeight="1">
      <c r="B766" s="216"/>
      <c r="C766" s="89"/>
      <c r="D766" s="89"/>
      <c r="E766" s="89"/>
      <c r="F766" s="89"/>
      <c r="G766" s="89"/>
      <c r="H766" s="246"/>
      <c r="I766" s="246"/>
      <c r="J766" s="246"/>
      <c r="K766" s="216"/>
      <c r="L766" s="246"/>
      <c r="M766" s="89"/>
      <c r="N766" s="89"/>
      <c r="O766" s="89"/>
      <c r="P766" s="89"/>
      <c r="Q766" s="89"/>
      <c r="R766" s="89"/>
      <c r="S766" s="246"/>
      <c r="T766" s="246"/>
      <c r="U766" s="246"/>
      <c r="V766" s="89"/>
      <c r="W766" s="246"/>
    </row>
    <row r="767" spans="2:23" ht="15.75" customHeight="1">
      <c r="B767" s="216"/>
      <c r="C767" s="89"/>
      <c r="D767" s="89"/>
      <c r="E767" s="89"/>
      <c r="F767" s="89"/>
      <c r="G767" s="89"/>
      <c r="H767" s="246"/>
      <c r="I767" s="246"/>
      <c r="J767" s="246"/>
      <c r="K767" s="216"/>
      <c r="L767" s="246"/>
      <c r="M767" s="89"/>
      <c r="N767" s="89"/>
      <c r="O767" s="89"/>
      <c r="P767" s="89"/>
      <c r="Q767" s="89"/>
      <c r="R767" s="89"/>
      <c r="S767" s="246"/>
      <c r="T767" s="246"/>
      <c r="U767" s="246"/>
      <c r="V767" s="89"/>
      <c r="W767" s="246"/>
    </row>
    <row r="768" spans="2:23" ht="15.75" customHeight="1">
      <c r="B768" s="216"/>
      <c r="C768" s="89"/>
      <c r="D768" s="89"/>
      <c r="E768" s="89"/>
      <c r="F768" s="89"/>
      <c r="G768" s="89"/>
      <c r="H768" s="246"/>
      <c r="I768" s="246"/>
      <c r="J768" s="246"/>
      <c r="K768" s="216"/>
      <c r="L768" s="246"/>
      <c r="M768" s="89"/>
      <c r="N768" s="89"/>
      <c r="O768" s="89"/>
      <c r="P768" s="89"/>
      <c r="Q768" s="89"/>
      <c r="R768" s="89"/>
      <c r="S768" s="246"/>
      <c r="T768" s="246"/>
      <c r="U768" s="246"/>
      <c r="V768" s="89"/>
      <c r="W768" s="246"/>
    </row>
    <row r="769" spans="2:23" ht="15.75" customHeight="1">
      <c r="B769" s="216"/>
      <c r="C769" s="89"/>
      <c r="D769" s="89"/>
      <c r="E769" s="89"/>
      <c r="F769" s="89"/>
      <c r="G769" s="89"/>
      <c r="H769" s="246"/>
      <c r="I769" s="246"/>
      <c r="J769" s="246"/>
      <c r="K769" s="216"/>
      <c r="L769" s="246"/>
      <c r="M769" s="89"/>
      <c r="N769" s="89"/>
      <c r="O769" s="89"/>
      <c r="P769" s="89"/>
      <c r="Q769" s="89"/>
      <c r="R769" s="89"/>
      <c r="S769" s="246"/>
      <c r="T769" s="246"/>
      <c r="U769" s="246"/>
      <c r="V769" s="89"/>
      <c r="W769" s="246"/>
    </row>
    <row r="770" spans="2:23" ht="15.75" customHeight="1">
      <c r="B770" s="216"/>
      <c r="C770" s="89"/>
      <c r="D770" s="89"/>
      <c r="E770" s="89"/>
      <c r="F770" s="89"/>
      <c r="G770" s="89"/>
      <c r="H770" s="246"/>
      <c r="I770" s="246"/>
      <c r="J770" s="246"/>
      <c r="K770" s="216"/>
      <c r="L770" s="246"/>
      <c r="M770" s="89"/>
      <c r="N770" s="89"/>
      <c r="O770" s="89"/>
      <c r="P770" s="89"/>
      <c r="Q770" s="89"/>
      <c r="R770" s="89"/>
      <c r="S770" s="246"/>
      <c r="T770" s="246"/>
      <c r="U770" s="246"/>
      <c r="V770" s="89"/>
      <c r="W770" s="246"/>
    </row>
    <row r="771" spans="2:23" ht="15.75" customHeight="1">
      <c r="B771" s="216"/>
      <c r="C771" s="89"/>
      <c r="D771" s="89"/>
      <c r="E771" s="89"/>
      <c r="F771" s="89"/>
      <c r="G771" s="89"/>
      <c r="H771" s="246"/>
      <c r="I771" s="246"/>
      <c r="J771" s="246"/>
      <c r="K771" s="216"/>
      <c r="L771" s="246"/>
      <c r="M771" s="89"/>
      <c r="N771" s="89"/>
      <c r="O771" s="89"/>
      <c r="P771" s="89"/>
      <c r="Q771" s="89"/>
      <c r="R771" s="89"/>
      <c r="S771" s="246"/>
      <c r="T771" s="246"/>
      <c r="U771" s="246"/>
      <c r="V771" s="89"/>
      <c r="W771" s="246"/>
    </row>
    <row r="772" spans="2:23" ht="15.75" customHeight="1">
      <c r="B772" s="216"/>
      <c r="C772" s="89"/>
      <c r="D772" s="89"/>
      <c r="E772" s="89"/>
      <c r="F772" s="89"/>
      <c r="G772" s="89"/>
      <c r="H772" s="246"/>
      <c r="I772" s="246"/>
      <c r="J772" s="246"/>
      <c r="K772" s="216"/>
      <c r="L772" s="246"/>
      <c r="M772" s="89"/>
      <c r="N772" s="89"/>
      <c r="O772" s="89"/>
      <c r="P772" s="89"/>
      <c r="Q772" s="89"/>
      <c r="R772" s="89"/>
      <c r="S772" s="246"/>
      <c r="T772" s="246"/>
      <c r="U772" s="246"/>
      <c r="V772" s="89"/>
      <c r="W772" s="246"/>
    </row>
    <row r="773" spans="2:23" ht="15.75" customHeight="1">
      <c r="B773" s="216"/>
      <c r="C773" s="89"/>
      <c r="D773" s="89"/>
      <c r="E773" s="89"/>
      <c r="F773" s="89"/>
      <c r="G773" s="89"/>
      <c r="H773" s="246"/>
      <c r="I773" s="246"/>
      <c r="J773" s="246"/>
      <c r="K773" s="216"/>
      <c r="L773" s="246"/>
      <c r="M773" s="89"/>
      <c r="N773" s="89"/>
      <c r="O773" s="89"/>
      <c r="P773" s="89"/>
      <c r="Q773" s="89"/>
      <c r="R773" s="89"/>
      <c r="S773" s="246"/>
      <c r="T773" s="246"/>
      <c r="U773" s="246"/>
      <c r="V773" s="89"/>
      <c r="W773" s="246"/>
    </row>
    <row r="774" spans="2:23" ht="15.75" customHeight="1">
      <c r="B774" s="216"/>
      <c r="C774" s="89"/>
      <c r="D774" s="89"/>
      <c r="E774" s="89"/>
      <c r="F774" s="89"/>
      <c r="G774" s="89"/>
      <c r="H774" s="246"/>
      <c r="I774" s="246"/>
      <c r="J774" s="246"/>
      <c r="K774" s="216"/>
      <c r="L774" s="246"/>
      <c r="M774" s="89"/>
      <c r="N774" s="89"/>
      <c r="O774" s="89"/>
      <c r="P774" s="89"/>
      <c r="Q774" s="89"/>
      <c r="R774" s="89"/>
      <c r="S774" s="246"/>
      <c r="T774" s="246"/>
      <c r="U774" s="246"/>
      <c r="V774" s="89"/>
      <c r="W774" s="246"/>
    </row>
    <row r="775" spans="2:23" ht="15.75" customHeight="1">
      <c r="B775" s="216"/>
      <c r="C775" s="89"/>
      <c r="D775" s="89"/>
      <c r="E775" s="89"/>
      <c r="F775" s="89"/>
      <c r="G775" s="89"/>
      <c r="H775" s="246"/>
      <c r="I775" s="246"/>
      <c r="J775" s="246"/>
      <c r="K775" s="216"/>
      <c r="L775" s="246"/>
      <c r="M775" s="89"/>
      <c r="N775" s="89"/>
      <c r="O775" s="89"/>
      <c r="P775" s="89"/>
      <c r="Q775" s="89"/>
      <c r="R775" s="89"/>
      <c r="S775" s="246"/>
      <c r="T775" s="246"/>
      <c r="U775" s="246"/>
      <c r="V775" s="89"/>
      <c r="W775" s="246"/>
    </row>
    <row r="776" spans="2:23" ht="15.75" customHeight="1">
      <c r="B776" s="216"/>
      <c r="C776" s="89"/>
      <c r="D776" s="89"/>
      <c r="E776" s="89"/>
      <c r="F776" s="89"/>
      <c r="G776" s="89"/>
      <c r="H776" s="246"/>
      <c r="I776" s="246"/>
      <c r="J776" s="246"/>
      <c r="K776" s="216"/>
      <c r="L776" s="246"/>
      <c r="M776" s="89"/>
      <c r="N776" s="89"/>
      <c r="O776" s="89"/>
      <c r="P776" s="89"/>
      <c r="Q776" s="89"/>
      <c r="R776" s="89"/>
      <c r="S776" s="246"/>
      <c r="T776" s="246"/>
      <c r="U776" s="246"/>
      <c r="V776" s="89"/>
      <c r="W776" s="246"/>
    </row>
    <row r="777" spans="2:23" ht="15.75" customHeight="1">
      <c r="B777" s="216"/>
      <c r="C777" s="89"/>
      <c r="D777" s="89"/>
      <c r="E777" s="89"/>
      <c r="F777" s="89"/>
      <c r="G777" s="89"/>
      <c r="H777" s="246"/>
      <c r="I777" s="246"/>
      <c r="J777" s="246"/>
      <c r="K777" s="216"/>
      <c r="L777" s="246"/>
      <c r="M777" s="89"/>
      <c r="N777" s="89"/>
      <c r="O777" s="89"/>
      <c r="P777" s="89"/>
      <c r="Q777" s="89"/>
      <c r="R777" s="89"/>
      <c r="S777" s="246"/>
      <c r="T777" s="246"/>
      <c r="U777" s="246"/>
      <c r="V777" s="89"/>
      <c r="W777" s="246"/>
    </row>
    <row r="778" spans="2:23" ht="15.75" customHeight="1">
      <c r="B778" s="216"/>
      <c r="C778" s="89"/>
      <c r="D778" s="89"/>
      <c r="E778" s="89"/>
      <c r="F778" s="89"/>
      <c r="G778" s="89"/>
      <c r="H778" s="246"/>
      <c r="I778" s="246"/>
      <c r="J778" s="246"/>
      <c r="K778" s="216"/>
      <c r="L778" s="246"/>
      <c r="M778" s="89"/>
      <c r="N778" s="89"/>
      <c r="O778" s="89"/>
      <c r="P778" s="89"/>
      <c r="Q778" s="89"/>
      <c r="R778" s="89"/>
      <c r="S778" s="246"/>
      <c r="T778" s="246"/>
      <c r="U778" s="246"/>
      <c r="V778" s="89"/>
      <c r="W778" s="246"/>
    </row>
    <row r="779" spans="2:23" ht="15.75" customHeight="1">
      <c r="B779" s="216"/>
      <c r="C779" s="89"/>
      <c r="D779" s="89"/>
      <c r="E779" s="89"/>
      <c r="F779" s="89"/>
      <c r="G779" s="89"/>
      <c r="H779" s="246"/>
      <c r="I779" s="246"/>
      <c r="J779" s="246"/>
      <c r="K779" s="216"/>
      <c r="L779" s="246"/>
      <c r="M779" s="89"/>
      <c r="N779" s="89"/>
      <c r="O779" s="89"/>
      <c r="P779" s="89"/>
      <c r="Q779" s="89"/>
      <c r="R779" s="89"/>
      <c r="S779" s="246"/>
      <c r="T779" s="246"/>
      <c r="U779" s="246"/>
      <c r="V779" s="89"/>
      <c r="W779" s="246"/>
    </row>
    <row r="780" spans="2:23" ht="15.75" customHeight="1">
      <c r="B780" s="216"/>
      <c r="C780" s="89"/>
      <c r="D780" s="89"/>
      <c r="E780" s="89"/>
      <c r="F780" s="89"/>
      <c r="G780" s="89"/>
      <c r="H780" s="246"/>
      <c r="I780" s="246"/>
      <c r="J780" s="246"/>
      <c r="K780" s="216"/>
      <c r="L780" s="246"/>
      <c r="M780" s="89"/>
      <c r="N780" s="89"/>
      <c r="O780" s="89"/>
      <c r="P780" s="89"/>
      <c r="Q780" s="89"/>
      <c r="R780" s="89"/>
      <c r="S780" s="246"/>
      <c r="T780" s="246"/>
      <c r="U780" s="246"/>
      <c r="V780" s="89"/>
      <c r="W780" s="246"/>
    </row>
    <row r="781" spans="2:23" ht="15.75" customHeight="1">
      <c r="B781" s="216"/>
      <c r="C781" s="89"/>
      <c r="D781" s="89"/>
      <c r="E781" s="89"/>
      <c r="F781" s="89"/>
      <c r="G781" s="89"/>
      <c r="H781" s="246"/>
      <c r="I781" s="246"/>
      <c r="J781" s="246"/>
      <c r="K781" s="216"/>
      <c r="L781" s="246"/>
      <c r="M781" s="89"/>
      <c r="N781" s="89"/>
      <c r="O781" s="89"/>
      <c r="P781" s="89"/>
      <c r="Q781" s="89"/>
      <c r="R781" s="89"/>
      <c r="S781" s="246"/>
      <c r="T781" s="246"/>
      <c r="U781" s="246"/>
      <c r="V781" s="89"/>
      <c r="W781" s="246"/>
    </row>
    <row r="782" spans="2:23" ht="15.75" customHeight="1">
      <c r="B782" s="216"/>
      <c r="C782" s="89"/>
      <c r="D782" s="89"/>
      <c r="E782" s="89"/>
      <c r="F782" s="89"/>
      <c r="G782" s="89"/>
      <c r="H782" s="246"/>
      <c r="I782" s="246"/>
      <c r="J782" s="246"/>
      <c r="K782" s="216"/>
      <c r="L782" s="246"/>
      <c r="M782" s="89"/>
      <c r="N782" s="89"/>
      <c r="O782" s="89"/>
      <c r="P782" s="89"/>
      <c r="Q782" s="89"/>
      <c r="R782" s="89"/>
      <c r="S782" s="246"/>
      <c r="T782" s="246"/>
      <c r="U782" s="246"/>
      <c r="V782" s="89"/>
      <c r="W782" s="246"/>
    </row>
    <row r="783" spans="2:23" ht="15.75" customHeight="1">
      <c r="B783" s="216"/>
      <c r="C783" s="89"/>
      <c r="D783" s="89"/>
      <c r="E783" s="89"/>
      <c r="F783" s="89"/>
      <c r="G783" s="89"/>
      <c r="H783" s="246"/>
      <c r="I783" s="246"/>
      <c r="J783" s="246"/>
      <c r="K783" s="216"/>
      <c r="L783" s="246"/>
      <c r="M783" s="89"/>
      <c r="N783" s="89"/>
      <c r="O783" s="89"/>
      <c r="P783" s="89"/>
      <c r="Q783" s="89"/>
      <c r="R783" s="89"/>
      <c r="S783" s="246"/>
      <c r="T783" s="246"/>
      <c r="U783" s="246"/>
      <c r="V783" s="89"/>
      <c r="W783" s="246"/>
    </row>
    <row r="784" spans="2:23" ht="15.75" customHeight="1">
      <c r="B784" s="216"/>
      <c r="C784" s="89"/>
      <c r="D784" s="89"/>
      <c r="E784" s="89"/>
      <c r="F784" s="89"/>
      <c r="G784" s="89"/>
      <c r="H784" s="246"/>
      <c r="I784" s="246"/>
      <c r="J784" s="246"/>
      <c r="K784" s="216"/>
      <c r="L784" s="246"/>
      <c r="M784" s="89"/>
      <c r="N784" s="89"/>
      <c r="O784" s="89"/>
      <c r="P784" s="89"/>
      <c r="Q784" s="89"/>
      <c r="R784" s="89"/>
      <c r="S784" s="246"/>
      <c r="T784" s="246"/>
      <c r="U784" s="246"/>
      <c r="V784" s="89"/>
      <c r="W784" s="246"/>
    </row>
    <row r="785" spans="2:23" ht="15.75" customHeight="1">
      <c r="B785" s="216"/>
      <c r="C785" s="89"/>
      <c r="D785" s="89"/>
      <c r="E785" s="89"/>
      <c r="F785" s="89"/>
      <c r="G785" s="89"/>
      <c r="H785" s="246"/>
      <c r="I785" s="246"/>
      <c r="J785" s="246"/>
      <c r="K785" s="216"/>
      <c r="L785" s="246"/>
      <c r="M785" s="89"/>
      <c r="N785" s="89"/>
      <c r="O785" s="89"/>
      <c r="P785" s="89"/>
      <c r="Q785" s="89"/>
      <c r="R785" s="89"/>
      <c r="S785" s="246"/>
      <c r="T785" s="246"/>
      <c r="U785" s="246"/>
      <c r="V785" s="89"/>
      <c r="W785" s="246"/>
    </row>
    <row r="786" spans="2:23" ht="15.75" customHeight="1">
      <c r="B786" s="216"/>
      <c r="C786" s="89"/>
      <c r="D786" s="89"/>
      <c r="E786" s="89"/>
      <c r="F786" s="89"/>
      <c r="G786" s="89"/>
      <c r="H786" s="246"/>
      <c r="I786" s="246"/>
      <c r="J786" s="246"/>
      <c r="K786" s="216"/>
      <c r="L786" s="246"/>
      <c r="M786" s="89"/>
      <c r="N786" s="89"/>
      <c r="O786" s="89"/>
      <c r="P786" s="89"/>
      <c r="Q786" s="89"/>
      <c r="R786" s="89"/>
      <c r="S786" s="246"/>
      <c r="T786" s="246"/>
      <c r="U786" s="246"/>
      <c r="V786" s="89"/>
      <c r="W786" s="246"/>
    </row>
    <row r="787" spans="2:23" ht="15.75" customHeight="1">
      <c r="B787" s="216"/>
      <c r="C787" s="89"/>
      <c r="D787" s="89"/>
      <c r="E787" s="89"/>
      <c r="F787" s="89"/>
      <c r="G787" s="89"/>
      <c r="H787" s="246"/>
      <c r="I787" s="246"/>
      <c r="J787" s="246"/>
      <c r="K787" s="216"/>
      <c r="L787" s="246"/>
      <c r="M787" s="89"/>
      <c r="N787" s="89"/>
      <c r="O787" s="89"/>
      <c r="P787" s="89"/>
      <c r="Q787" s="89"/>
      <c r="R787" s="89"/>
      <c r="S787" s="246"/>
      <c r="T787" s="246"/>
      <c r="U787" s="246"/>
      <c r="V787" s="89"/>
      <c r="W787" s="246"/>
    </row>
    <row r="788" spans="2:23" ht="15.75" customHeight="1">
      <c r="B788" s="216"/>
      <c r="C788" s="89"/>
      <c r="D788" s="89"/>
      <c r="E788" s="89"/>
      <c r="F788" s="89"/>
      <c r="G788" s="89"/>
      <c r="H788" s="246"/>
      <c r="I788" s="246"/>
      <c r="J788" s="246"/>
      <c r="K788" s="216"/>
      <c r="L788" s="246"/>
      <c r="M788" s="89"/>
      <c r="N788" s="89"/>
      <c r="O788" s="89"/>
      <c r="P788" s="89"/>
      <c r="Q788" s="89"/>
      <c r="R788" s="89"/>
      <c r="S788" s="246"/>
      <c r="T788" s="246"/>
      <c r="U788" s="246"/>
      <c r="V788" s="89"/>
      <c r="W788" s="246"/>
    </row>
    <row r="789" spans="2:23" ht="15.75" customHeight="1">
      <c r="B789" s="216"/>
      <c r="C789" s="89"/>
      <c r="D789" s="89"/>
      <c r="E789" s="89"/>
      <c r="F789" s="89"/>
      <c r="G789" s="89"/>
      <c r="H789" s="246"/>
      <c r="I789" s="246"/>
      <c r="J789" s="246"/>
      <c r="K789" s="216"/>
      <c r="L789" s="246"/>
      <c r="M789" s="89"/>
      <c r="N789" s="89"/>
      <c r="O789" s="89"/>
      <c r="P789" s="89"/>
      <c r="Q789" s="89"/>
      <c r="R789" s="89"/>
      <c r="S789" s="246"/>
      <c r="T789" s="246"/>
      <c r="U789" s="246"/>
      <c r="V789" s="89"/>
      <c r="W789" s="246"/>
    </row>
    <row r="790" spans="2:23" ht="15.75" customHeight="1">
      <c r="B790" s="216"/>
      <c r="C790" s="89"/>
      <c r="D790" s="89"/>
      <c r="E790" s="89"/>
      <c r="F790" s="89"/>
      <c r="G790" s="89"/>
      <c r="H790" s="246"/>
      <c r="I790" s="246"/>
      <c r="J790" s="246"/>
      <c r="K790" s="216"/>
      <c r="L790" s="246"/>
      <c r="M790" s="89"/>
      <c r="N790" s="89"/>
      <c r="O790" s="89"/>
      <c r="P790" s="89"/>
      <c r="Q790" s="89"/>
      <c r="R790" s="89"/>
      <c r="S790" s="246"/>
      <c r="T790" s="246"/>
      <c r="U790" s="246"/>
      <c r="V790" s="89"/>
      <c r="W790" s="246"/>
    </row>
    <row r="791" spans="2:23" ht="15.75" customHeight="1">
      <c r="B791" s="216"/>
      <c r="C791" s="89"/>
      <c r="D791" s="89"/>
      <c r="E791" s="89"/>
      <c r="F791" s="89"/>
      <c r="G791" s="89"/>
      <c r="H791" s="246"/>
      <c r="I791" s="246"/>
      <c r="J791" s="246"/>
      <c r="K791" s="216"/>
      <c r="L791" s="246"/>
      <c r="M791" s="89"/>
      <c r="N791" s="89"/>
      <c r="O791" s="89"/>
      <c r="P791" s="89"/>
      <c r="Q791" s="89"/>
      <c r="R791" s="89"/>
      <c r="S791" s="246"/>
      <c r="T791" s="246"/>
      <c r="U791" s="246"/>
      <c r="V791" s="89"/>
      <c r="W791" s="246"/>
    </row>
    <row r="792" spans="2:23" ht="15.75" customHeight="1">
      <c r="B792" s="216"/>
      <c r="C792" s="89"/>
      <c r="D792" s="89"/>
      <c r="E792" s="89"/>
      <c r="F792" s="89"/>
      <c r="G792" s="89"/>
      <c r="H792" s="246"/>
      <c r="I792" s="246"/>
      <c r="J792" s="246"/>
      <c r="K792" s="216"/>
      <c r="L792" s="246"/>
      <c r="M792" s="89"/>
      <c r="N792" s="89"/>
      <c r="O792" s="89"/>
      <c r="P792" s="89"/>
      <c r="Q792" s="89"/>
      <c r="R792" s="89"/>
      <c r="S792" s="246"/>
      <c r="T792" s="246"/>
      <c r="U792" s="246"/>
      <c r="V792" s="89"/>
      <c r="W792" s="246"/>
    </row>
    <row r="793" spans="2:23" ht="15.75" customHeight="1">
      <c r="B793" s="216"/>
      <c r="C793" s="89"/>
      <c r="D793" s="89"/>
      <c r="E793" s="89"/>
      <c r="F793" s="89"/>
      <c r="G793" s="89"/>
      <c r="H793" s="246"/>
      <c r="I793" s="246"/>
      <c r="J793" s="246"/>
      <c r="K793" s="216"/>
      <c r="L793" s="246"/>
      <c r="M793" s="89"/>
      <c r="N793" s="89"/>
      <c r="O793" s="89"/>
      <c r="P793" s="89"/>
      <c r="Q793" s="89"/>
      <c r="R793" s="89"/>
      <c r="S793" s="246"/>
      <c r="T793" s="246"/>
      <c r="U793" s="246"/>
      <c r="V793" s="89"/>
      <c r="W793" s="246"/>
    </row>
    <row r="794" spans="2:23" ht="15.75" customHeight="1">
      <c r="B794" s="216"/>
      <c r="C794" s="89"/>
      <c r="D794" s="89"/>
      <c r="E794" s="89"/>
      <c r="F794" s="89"/>
      <c r="G794" s="89"/>
      <c r="H794" s="246"/>
      <c r="I794" s="246"/>
      <c r="J794" s="246"/>
      <c r="K794" s="216"/>
      <c r="L794" s="246"/>
      <c r="M794" s="89"/>
      <c r="N794" s="89"/>
      <c r="O794" s="89"/>
      <c r="P794" s="89"/>
      <c r="Q794" s="89"/>
      <c r="R794" s="89"/>
      <c r="S794" s="246"/>
      <c r="T794" s="246"/>
      <c r="U794" s="246"/>
      <c r="V794" s="89"/>
      <c r="W794" s="246"/>
    </row>
    <row r="795" spans="2:23" ht="15.75" customHeight="1">
      <c r="B795" s="216"/>
      <c r="C795" s="89"/>
      <c r="D795" s="89"/>
      <c r="E795" s="89"/>
      <c r="F795" s="89"/>
      <c r="G795" s="89"/>
      <c r="H795" s="246"/>
      <c r="I795" s="246"/>
      <c r="J795" s="246"/>
      <c r="K795" s="216"/>
      <c r="L795" s="246"/>
      <c r="M795" s="89"/>
      <c r="N795" s="89"/>
      <c r="O795" s="89"/>
      <c r="P795" s="89"/>
      <c r="Q795" s="89"/>
      <c r="R795" s="89"/>
      <c r="S795" s="246"/>
      <c r="T795" s="246"/>
      <c r="U795" s="246"/>
      <c r="V795" s="89"/>
      <c r="W795" s="246"/>
    </row>
    <row r="796" spans="2:23" ht="15.75" customHeight="1">
      <c r="B796" s="216"/>
      <c r="C796" s="89"/>
      <c r="D796" s="89"/>
      <c r="E796" s="89"/>
      <c r="F796" s="89"/>
      <c r="G796" s="89"/>
      <c r="H796" s="246"/>
      <c r="I796" s="246"/>
      <c r="J796" s="246"/>
      <c r="K796" s="216"/>
      <c r="L796" s="246"/>
      <c r="M796" s="89"/>
      <c r="N796" s="89"/>
      <c r="O796" s="89"/>
      <c r="P796" s="89"/>
      <c r="Q796" s="89"/>
      <c r="R796" s="89"/>
      <c r="S796" s="246"/>
      <c r="T796" s="246"/>
      <c r="U796" s="246"/>
      <c r="V796" s="89"/>
      <c r="W796" s="246"/>
    </row>
    <row r="797" spans="2:23" ht="15.75" customHeight="1">
      <c r="B797" s="216"/>
      <c r="C797" s="89"/>
      <c r="D797" s="89"/>
      <c r="E797" s="89"/>
      <c r="F797" s="89"/>
      <c r="G797" s="89"/>
      <c r="H797" s="246"/>
      <c r="I797" s="246"/>
      <c r="J797" s="246"/>
      <c r="K797" s="216"/>
      <c r="L797" s="246"/>
      <c r="M797" s="89"/>
      <c r="N797" s="89"/>
      <c r="O797" s="89"/>
      <c r="P797" s="89"/>
      <c r="Q797" s="89"/>
      <c r="R797" s="89"/>
      <c r="S797" s="246"/>
      <c r="T797" s="246"/>
      <c r="U797" s="246"/>
      <c r="V797" s="89"/>
      <c r="W797" s="246"/>
    </row>
    <row r="798" spans="2:23" ht="15.75" customHeight="1">
      <c r="B798" s="216"/>
      <c r="C798" s="89"/>
      <c r="D798" s="89"/>
      <c r="E798" s="89"/>
      <c r="F798" s="89"/>
      <c r="G798" s="89"/>
      <c r="H798" s="246"/>
      <c r="I798" s="246"/>
      <c r="J798" s="246"/>
      <c r="K798" s="216"/>
      <c r="L798" s="246"/>
      <c r="M798" s="89"/>
      <c r="N798" s="89"/>
      <c r="O798" s="89"/>
      <c r="P798" s="89"/>
      <c r="Q798" s="89"/>
      <c r="R798" s="89"/>
      <c r="S798" s="246"/>
      <c r="T798" s="246"/>
      <c r="U798" s="246"/>
      <c r="V798" s="89"/>
      <c r="W798" s="246"/>
    </row>
    <row r="799" spans="2:23" ht="15.75" customHeight="1">
      <c r="B799" s="216"/>
      <c r="C799" s="89"/>
      <c r="D799" s="89"/>
      <c r="E799" s="89"/>
      <c r="F799" s="89"/>
      <c r="G799" s="89"/>
      <c r="H799" s="246"/>
      <c r="I799" s="246"/>
      <c r="J799" s="246"/>
      <c r="K799" s="216"/>
      <c r="L799" s="246"/>
      <c r="M799" s="89"/>
      <c r="N799" s="89"/>
      <c r="O799" s="89"/>
      <c r="P799" s="89"/>
      <c r="Q799" s="89"/>
      <c r="R799" s="89"/>
      <c r="S799" s="246"/>
      <c r="T799" s="246"/>
      <c r="U799" s="246"/>
      <c r="V799" s="89"/>
      <c r="W799" s="246"/>
    </row>
    <row r="800" spans="2:23" ht="15.75" customHeight="1">
      <c r="B800" s="216"/>
      <c r="C800" s="89"/>
      <c r="D800" s="89"/>
      <c r="E800" s="89"/>
      <c r="F800" s="89"/>
      <c r="G800" s="89"/>
      <c r="H800" s="246"/>
      <c r="I800" s="246"/>
      <c r="J800" s="246"/>
      <c r="K800" s="216"/>
      <c r="L800" s="246"/>
      <c r="M800" s="89"/>
      <c r="N800" s="89"/>
      <c r="O800" s="89"/>
      <c r="P800" s="89"/>
      <c r="Q800" s="89"/>
      <c r="R800" s="89"/>
      <c r="S800" s="246"/>
      <c r="T800" s="246"/>
      <c r="U800" s="246"/>
      <c r="V800" s="89"/>
      <c r="W800" s="246"/>
    </row>
    <row r="801" spans="2:23" ht="15.75" customHeight="1">
      <c r="B801" s="216"/>
      <c r="C801" s="89"/>
      <c r="D801" s="89"/>
      <c r="E801" s="89"/>
      <c r="F801" s="89"/>
      <c r="G801" s="89"/>
      <c r="H801" s="246"/>
      <c r="I801" s="246"/>
      <c r="J801" s="246"/>
      <c r="K801" s="216"/>
      <c r="L801" s="246"/>
      <c r="M801" s="89"/>
      <c r="N801" s="89"/>
      <c r="O801" s="89"/>
      <c r="P801" s="89"/>
      <c r="Q801" s="89"/>
      <c r="R801" s="89"/>
      <c r="S801" s="246"/>
      <c r="T801" s="246"/>
      <c r="U801" s="246"/>
      <c r="V801" s="89"/>
      <c r="W801" s="246"/>
    </row>
    <row r="802" spans="2:23" ht="15.75" customHeight="1">
      <c r="B802" s="216"/>
      <c r="C802" s="89"/>
      <c r="D802" s="89"/>
      <c r="E802" s="89"/>
      <c r="F802" s="89"/>
      <c r="G802" s="89"/>
      <c r="H802" s="246"/>
      <c r="I802" s="246"/>
      <c r="J802" s="246"/>
      <c r="K802" s="216"/>
      <c r="L802" s="246"/>
      <c r="M802" s="89"/>
      <c r="N802" s="89"/>
      <c r="O802" s="89"/>
      <c r="P802" s="89"/>
      <c r="Q802" s="89"/>
      <c r="R802" s="89"/>
      <c r="S802" s="246"/>
      <c r="T802" s="246"/>
      <c r="U802" s="246"/>
      <c r="V802" s="89"/>
      <c r="W802" s="246"/>
    </row>
    <row r="803" spans="2:23" ht="15.75" customHeight="1">
      <c r="B803" s="216"/>
      <c r="C803" s="89"/>
      <c r="D803" s="89"/>
      <c r="E803" s="89"/>
      <c r="F803" s="89"/>
      <c r="G803" s="89"/>
      <c r="H803" s="246"/>
      <c r="I803" s="246"/>
      <c r="J803" s="246"/>
      <c r="K803" s="216"/>
      <c r="L803" s="246"/>
      <c r="M803" s="89"/>
      <c r="N803" s="89"/>
      <c r="O803" s="89"/>
      <c r="P803" s="89"/>
      <c r="Q803" s="89"/>
      <c r="R803" s="89"/>
      <c r="S803" s="246"/>
      <c r="T803" s="246"/>
      <c r="U803" s="246"/>
      <c r="V803" s="89"/>
      <c r="W803" s="246"/>
    </row>
    <row r="804" spans="2:23" ht="15.75" customHeight="1">
      <c r="B804" s="216"/>
      <c r="C804" s="89"/>
      <c r="D804" s="89"/>
      <c r="E804" s="89"/>
      <c r="F804" s="89"/>
      <c r="G804" s="89"/>
      <c r="H804" s="246"/>
      <c r="I804" s="246"/>
      <c r="J804" s="246"/>
      <c r="K804" s="216"/>
      <c r="L804" s="246"/>
      <c r="M804" s="89"/>
      <c r="N804" s="89"/>
      <c r="O804" s="89"/>
      <c r="P804" s="89"/>
      <c r="Q804" s="89"/>
      <c r="R804" s="89"/>
      <c r="S804" s="246"/>
      <c r="T804" s="246"/>
      <c r="U804" s="246"/>
      <c r="V804" s="89"/>
      <c r="W804" s="246"/>
    </row>
    <row r="805" spans="2:23" ht="15.75" customHeight="1">
      <c r="B805" s="216"/>
      <c r="C805" s="89"/>
      <c r="D805" s="89"/>
      <c r="E805" s="89"/>
      <c r="F805" s="89"/>
      <c r="G805" s="89"/>
      <c r="H805" s="246"/>
      <c r="I805" s="246"/>
      <c r="J805" s="246"/>
      <c r="K805" s="216"/>
      <c r="L805" s="246"/>
      <c r="M805" s="89"/>
      <c r="N805" s="89"/>
      <c r="O805" s="89"/>
      <c r="P805" s="89"/>
      <c r="Q805" s="89"/>
      <c r="R805" s="89"/>
      <c r="S805" s="246"/>
      <c r="T805" s="246"/>
      <c r="U805" s="246"/>
      <c r="V805" s="89"/>
      <c r="W805" s="246"/>
    </row>
    <row r="806" spans="2:23" ht="15.75" customHeight="1">
      <c r="B806" s="216"/>
      <c r="C806" s="89"/>
      <c r="D806" s="89"/>
      <c r="E806" s="89"/>
      <c r="F806" s="89"/>
      <c r="G806" s="89"/>
      <c r="H806" s="246"/>
      <c r="I806" s="246"/>
      <c r="J806" s="246"/>
      <c r="K806" s="216"/>
      <c r="L806" s="246"/>
      <c r="M806" s="89"/>
      <c r="N806" s="89"/>
      <c r="O806" s="89"/>
      <c r="P806" s="89"/>
      <c r="Q806" s="89"/>
      <c r="R806" s="89"/>
      <c r="S806" s="246"/>
      <c r="T806" s="246"/>
      <c r="U806" s="246"/>
      <c r="V806" s="89"/>
      <c r="W806" s="246"/>
    </row>
    <row r="807" spans="2:23" ht="15.75" customHeight="1">
      <c r="B807" s="216"/>
      <c r="C807" s="89"/>
      <c r="D807" s="89"/>
      <c r="E807" s="89"/>
      <c r="F807" s="89"/>
      <c r="G807" s="89"/>
      <c r="H807" s="246"/>
      <c r="I807" s="246"/>
      <c r="J807" s="246"/>
      <c r="K807" s="216"/>
      <c r="L807" s="246"/>
      <c r="M807" s="89"/>
      <c r="N807" s="89"/>
      <c r="O807" s="89"/>
      <c r="P807" s="89"/>
      <c r="Q807" s="89"/>
      <c r="R807" s="89"/>
      <c r="S807" s="246"/>
      <c r="T807" s="246"/>
      <c r="U807" s="246"/>
      <c r="V807" s="89"/>
      <c r="W807" s="246"/>
    </row>
    <row r="808" spans="2:23" ht="15.75" customHeight="1">
      <c r="B808" s="216"/>
      <c r="C808" s="89"/>
      <c r="D808" s="89"/>
      <c r="E808" s="89"/>
      <c r="F808" s="89"/>
      <c r="G808" s="89"/>
      <c r="H808" s="246"/>
      <c r="I808" s="246"/>
      <c r="J808" s="246"/>
      <c r="K808" s="216"/>
      <c r="L808" s="246"/>
      <c r="M808" s="89"/>
      <c r="N808" s="89"/>
      <c r="O808" s="89"/>
      <c r="P808" s="89"/>
      <c r="Q808" s="89"/>
      <c r="R808" s="89"/>
      <c r="S808" s="246"/>
      <c r="T808" s="246"/>
      <c r="U808" s="246"/>
      <c r="V808" s="89"/>
      <c r="W808" s="246"/>
    </row>
    <row r="809" spans="2:23" ht="15.75" customHeight="1">
      <c r="B809" s="216"/>
      <c r="C809" s="89"/>
      <c r="D809" s="89"/>
      <c r="E809" s="89"/>
      <c r="F809" s="89"/>
      <c r="G809" s="89"/>
      <c r="H809" s="246"/>
      <c r="I809" s="246"/>
      <c r="J809" s="246"/>
      <c r="K809" s="216"/>
      <c r="L809" s="246"/>
      <c r="M809" s="89"/>
      <c r="N809" s="89"/>
      <c r="O809" s="89"/>
      <c r="P809" s="89"/>
      <c r="Q809" s="89"/>
      <c r="R809" s="89"/>
      <c r="S809" s="246"/>
      <c r="T809" s="246"/>
      <c r="U809" s="246"/>
      <c r="V809" s="89"/>
      <c r="W809" s="246"/>
    </row>
    <row r="810" spans="2:23" ht="15.75" customHeight="1">
      <c r="B810" s="216"/>
      <c r="C810" s="89"/>
      <c r="D810" s="89"/>
      <c r="E810" s="89"/>
      <c r="F810" s="89"/>
      <c r="G810" s="89"/>
      <c r="H810" s="246"/>
      <c r="I810" s="246"/>
      <c r="J810" s="246"/>
      <c r="K810" s="216"/>
      <c r="L810" s="246"/>
      <c r="M810" s="89"/>
      <c r="N810" s="89"/>
      <c r="O810" s="89"/>
      <c r="P810" s="89"/>
      <c r="Q810" s="89"/>
      <c r="R810" s="89"/>
      <c r="S810" s="246"/>
      <c r="T810" s="246"/>
      <c r="U810" s="246"/>
      <c r="V810" s="89"/>
      <c r="W810" s="246"/>
    </row>
    <row r="811" spans="2:23" ht="15.75" customHeight="1">
      <c r="B811" s="216"/>
      <c r="C811" s="89"/>
      <c r="D811" s="89"/>
      <c r="E811" s="89"/>
      <c r="F811" s="89"/>
      <c r="G811" s="89"/>
      <c r="H811" s="246"/>
      <c r="I811" s="246"/>
      <c r="J811" s="246"/>
      <c r="K811" s="216"/>
      <c r="L811" s="246"/>
      <c r="M811" s="89"/>
      <c r="N811" s="89"/>
      <c r="O811" s="89"/>
      <c r="P811" s="89"/>
      <c r="Q811" s="89"/>
      <c r="R811" s="89"/>
      <c r="S811" s="246"/>
      <c r="T811" s="246"/>
      <c r="U811" s="246"/>
      <c r="V811" s="89"/>
      <c r="W811" s="246"/>
    </row>
    <row r="812" spans="2:23" ht="15.75" customHeight="1">
      <c r="B812" s="216"/>
      <c r="C812" s="89"/>
      <c r="D812" s="89"/>
      <c r="E812" s="89"/>
      <c r="F812" s="89"/>
      <c r="G812" s="89"/>
      <c r="H812" s="246"/>
      <c r="I812" s="246"/>
      <c r="J812" s="246"/>
      <c r="K812" s="216"/>
      <c r="L812" s="246"/>
      <c r="M812" s="89"/>
      <c r="N812" s="89"/>
      <c r="O812" s="89"/>
      <c r="P812" s="89"/>
      <c r="Q812" s="89"/>
      <c r="R812" s="89"/>
      <c r="S812" s="246"/>
      <c r="T812" s="246"/>
      <c r="U812" s="246"/>
      <c r="V812" s="89"/>
      <c r="W812" s="246"/>
    </row>
    <row r="813" spans="2:23" ht="15.75" customHeight="1">
      <c r="B813" s="216"/>
      <c r="C813" s="89"/>
      <c r="D813" s="89"/>
      <c r="E813" s="89"/>
      <c r="F813" s="89"/>
      <c r="G813" s="89"/>
      <c r="H813" s="246"/>
      <c r="I813" s="246"/>
      <c r="J813" s="246"/>
      <c r="K813" s="216"/>
      <c r="L813" s="246"/>
      <c r="M813" s="89"/>
      <c r="N813" s="89"/>
      <c r="O813" s="89"/>
      <c r="P813" s="89"/>
      <c r="Q813" s="89"/>
      <c r="R813" s="89"/>
      <c r="S813" s="246"/>
      <c r="T813" s="246"/>
      <c r="U813" s="246"/>
      <c r="V813" s="89"/>
      <c r="W813" s="246"/>
    </row>
    <row r="814" spans="2:23" ht="15.75" customHeight="1">
      <c r="B814" s="216"/>
      <c r="C814" s="89"/>
      <c r="D814" s="89"/>
      <c r="E814" s="89"/>
      <c r="F814" s="89"/>
      <c r="G814" s="89"/>
      <c r="H814" s="246"/>
      <c r="I814" s="246"/>
      <c r="J814" s="246"/>
      <c r="K814" s="216"/>
      <c r="L814" s="246"/>
      <c r="M814" s="89"/>
      <c r="N814" s="89"/>
      <c r="O814" s="89"/>
      <c r="P814" s="89"/>
      <c r="Q814" s="89"/>
      <c r="R814" s="89"/>
      <c r="S814" s="246"/>
      <c r="T814" s="246"/>
      <c r="U814" s="246"/>
      <c r="V814" s="89"/>
      <c r="W814" s="246"/>
    </row>
    <row r="815" spans="2:23" ht="15.75" customHeight="1">
      <c r="B815" s="216"/>
      <c r="C815" s="89"/>
      <c r="D815" s="89"/>
      <c r="E815" s="89"/>
      <c r="F815" s="89"/>
      <c r="G815" s="89"/>
      <c r="H815" s="246"/>
      <c r="I815" s="246"/>
      <c r="J815" s="246"/>
      <c r="K815" s="216"/>
      <c r="L815" s="246"/>
      <c r="M815" s="89"/>
      <c r="N815" s="89"/>
      <c r="O815" s="89"/>
      <c r="P815" s="89"/>
      <c r="Q815" s="89"/>
      <c r="R815" s="89"/>
      <c r="S815" s="246"/>
      <c r="T815" s="246"/>
      <c r="U815" s="246"/>
      <c r="V815" s="89"/>
      <c r="W815" s="246"/>
    </row>
    <row r="816" spans="2:23" ht="15.75" customHeight="1">
      <c r="B816" s="216"/>
      <c r="C816" s="89"/>
      <c r="D816" s="89"/>
      <c r="E816" s="89"/>
      <c r="F816" s="89"/>
      <c r="G816" s="89"/>
      <c r="H816" s="246"/>
      <c r="I816" s="246"/>
      <c r="J816" s="246"/>
      <c r="K816" s="216"/>
      <c r="L816" s="246"/>
      <c r="M816" s="89"/>
      <c r="N816" s="89"/>
      <c r="O816" s="89"/>
      <c r="P816" s="89"/>
      <c r="Q816" s="89"/>
      <c r="R816" s="89"/>
      <c r="S816" s="246"/>
      <c r="T816" s="246"/>
      <c r="U816" s="246"/>
      <c r="V816" s="89"/>
      <c r="W816" s="246"/>
    </row>
    <row r="817" spans="2:23" ht="15.75" customHeight="1">
      <c r="B817" s="216"/>
      <c r="C817" s="89"/>
      <c r="D817" s="89"/>
      <c r="E817" s="89"/>
      <c r="F817" s="89"/>
      <c r="G817" s="89"/>
      <c r="H817" s="246"/>
      <c r="I817" s="246"/>
      <c r="J817" s="246"/>
      <c r="K817" s="216"/>
      <c r="L817" s="246"/>
      <c r="M817" s="89"/>
      <c r="N817" s="89"/>
      <c r="O817" s="89"/>
      <c r="P817" s="89"/>
      <c r="Q817" s="89"/>
      <c r="R817" s="89"/>
      <c r="S817" s="246"/>
      <c r="T817" s="246"/>
      <c r="U817" s="246"/>
      <c r="V817" s="89"/>
      <c r="W817" s="246"/>
    </row>
    <row r="818" spans="2:23" ht="15.75" customHeight="1">
      <c r="B818" s="216"/>
      <c r="C818" s="89"/>
      <c r="D818" s="89"/>
      <c r="E818" s="89"/>
      <c r="F818" s="89"/>
      <c r="G818" s="89"/>
      <c r="H818" s="246"/>
      <c r="I818" s="246"/>
      <c r="J818" s="246"/>
      <c r="K818" s="216"/>
      <c r="L818" s="246"/>
      <c r="M818" s="89"/>
      <c r="N818" s="89"/>
      <c r="O818" s="89"/>
      <c r="P818" s="89"/>
      <c r="Q818" s="89"/>
      <c r="R818" s="89"/>
      <c r="S818" s="246"/>
      <c r="T818" s="246"/>
      <c r="U818" s="246"/>
      <c r="V818" s="89"/>
      <c r="W818" s="246"/>
    </row>
    <row r="819" spans="2:23" ht="15.75" customHeight="1">
      <c r="B819" s="216"/>
      <c r="C819" s="89"/>
      <c r="D819" s="89"/>
      <c r="E819" s="89"/>
      <c r="F819" s="89"/>
      <c r="G819" s="89"/>
      <c r="H819" s="246"/>
      <c r="I819" s="246"/>
      <c r="J819" s="246"/>
      <c r="K819" s="216"/>
      <c r="L819" s="246"/>
      <c r="M819" s="89"/>
      <c r="N819" s="89"/>
      <c r="O819" s="89"/>
      <c r="P819" s="89"/>
      <c r="Q819" s="89"/>
      <c r="R819" s="89"/>
      <c r="S819" s="246"/>
      <c r="T819" s="246"/>
      <c r="U819" s="246"/>
      <c r="V819" s="89"/>
      <c r="W819" s="246"/>
    </row>
    <row r="820" spans="2:23" ht="15.75" customHeight="1">
      <c r="B820" s="216"/>
      <c r="C820" s="89"/>
      <c r="D820" s="89"/>
      <c r="E820" s="89"/>
      <c r="F820" s="89"/>
      <c r="G820" s="89"/>
      <c r="H820" s="246"/>
      <c r="I820" s="246"/>
      <c r="J820" s="246"/>
      <c r="K820" s="216"/>
      <c r="L820" s="246"/>
      <c r="M820" s="89"/>
      <c r="N820" s="89"/>
      <c r="O820" s="89"/>
      <c r="P820" s="89"/>
      <c r="Q820" s="89"/>
      <c r="R820" s="89"/>
      <c r="S820" s="246"/>
      <c r="T820" s="246"/>
      <c r="U820" s="246"/>
      <c r="V820" s="89"/>
      <c r="W820" s="246"/>
    </row>
    <row r="821" spans="2:23" ht="15.75" customHeight="1">
      <c r="B821" s="216"/>
      <c r="C821" s="89"/>
      <c r="D821" s="89"/>
      <c r="E821" s="89"/>
      <c r="F821" s="89"/>
      <c r="G821" s="89"/>
      <c r="H821" s="246"/>
      <c r="I821" s="246"/>
      <c r="J821" s="246"/>
      <c r="K821" s="216"/>
      <c r="L821" s="246"/>
      <c r="M821" s="89"/>
      <c r="N821" s="89"/>
      <c r="O821" s="89"/>
      <c r="P821" s="89"/>
      <c r="Q821" s="89"/>
      <c r="R821" s="89"/>
      <c r="S821" s="246"/>
      <c r="T821" s="246"/>
      <c r="U821" s="246"/>
      <c r="V821" s="89"/>
      <c r="W821" s="246"/>
    </row>
    <row r="822" spans="2:23" ht="15.75" customHeight="1">
      <c r="B822" s="216"/>
      <c r="C822" s="89"/>
      <c r="D822" s="89"/>
      <c r="E822" s="89"/>
      <c r="F822" s="89"/>
      <c r="G822" s="89"/>
      <c r="H822" s="246"/>
      <c r="I822" s="246"/>
      <c r="J822" s="246"/>
      <c r="K822" s="216"/>
      <c r="L822" s="246"/>
      <c r="M822" s="89"/>
      <c r="N822" s="89"/>
      <c r="O822" s="89"/>
      <c r="P822" s="89"/>
      <c r="Q822" s="89"/>
      <c r="R822" s="89"/>
      <c r="S822" s="246"/>
      <c r="T822" s="246"/>
      <c r="U822" s="246"/>
      <c r="V822" s="89"/>
      <c r="W822" s="246"/>
    </row>
    <row r="823" spans="2:23" ht="15.75" customHeight="1">
      <c r="B823" s="216"/>
      <c r="C823" s="89"/>
      <c r="D823" s="89"/>
      <c r="E823" s="89"/>
      <c r="F823" s="89"/>
      <c r="G823" s="89"/>
      <c r="H823" s="246"/>
      <c r="I823" s="246"/>
      <c r="J823" s="246"/>
      <c r="K823" s="216"/>
      <c r="L823" s="246"/>
      <c r="M823" s="89"/>
      <c r="N823" s="89"/>
      <c r="O823" s="89"/>
      <c r="P823" s="89"/>
      <c r="Q823" s="89"/>
      <c r="R823" s="89"/>
      <c r="S823" s="246"/>
      <c r="T823" s="246"/>
      <c r="U823" s="246"/>
      <c r="V823" s="89"/>
      <c r="W823" s="246"/>
    </row>
    <row r="824" spans="2:23" ht="15.75" customHeight="1">
      <c r="B824" s="216"/>
      <c r="C824" s="89"/>
      <c r="D824" s="89"/>
      <c r="E824" s="89"/>
      <c r="F824" s="89"/>
      <c r="G824" s="89"/>
      <c r="H824" s="246"/>
      <c r="I824" s="246"/>
      <c r="J824" s="246"/>
      <c r="K824" s="216"/>
      <c r="L824" s="246"/>
      <c r="M824" s="89"/>
      <c r="N824" s="89"/>
      <c r="O824" s="89"/>
      <c r="P824" s="89"/>
      <c r="Q824" s="89"/>
      <c r="R824" s="89"/>
      <c r="S824" s="246"/>
      <c r="T824" s="246"/>
      <c r="U824" s="246"/>
      <c r="V824" s="89"/>
      <c r="W824" s="246"/>
    </row>
    <row r="825" spans="2:23" ht="15.75" customHeight="1">
      <c r="B825" s="216"/>
      <c r="C825" s="89"/>
      <c r="D825" s="89"/>
      <c r="E825" s="89"/>
      <c r="F825" s="89"/>
      <c r="G825" s="89"/>
      <c r="H825" s="246"/>
      <c r="I825" s="246"/>
      <c r="J825" s="246"/>
      <c r="K825" s="216"/>
      <c r="L825" s="246"/>
      <c r="M825" s="89"/>
      <c r="N825" s="89"/>
      <c r="O825" s="89"/>
      <c r="P825" s="89"/>
      <c r="Q825" s="89"/>
      <c r="R825" s="89"/>
      <c r="S825" s="246"/>
      <c r="T825" s="246"/>
      <c r="U825" s="246"/>
      <c r="V825" s="89"/>
      <c r="W825" s="246"/>
    </row>
    <row r="826" spans="2:23" ht="15.75" customHeight="1">
      <c r="B826" s="216"/>
      <c r="C826" s="89"/>
      <c r="D826" s="89"/>
      <c r="E826" s="89"/>
      <c r="F826" s="89"/>
      <c r="G826" s="89"/>
      <c r="H826" s="246"/>
      <c r="I826" s="246"/>
      <c r="J826" s="246"/>
      <c r="K826" s="216"/>
      <c r="L826" s="246"/>
      <c r="M826" s="89"/>
      <c r="N826" s="89"/>
      <c r="O826" s="89"/>
      <c r="P826" s="89"/>
      <c r="Q826" s="89"/>
      <c r="R826" s="89"/>
      <c r="S826" s="246"/>
      <c r="T826" s="246"/>
      <c r="U826" s="246"/>
      <c r="V826" s="89"/>
      <c r="W826" s="246"/>
    </row>
    <row r="827" spans="2:23" ht="15.75" customHeight="1">
      <c r="B827" s="216"/>
      <c r="C827" s="89"/>
      <c r="D827" s="89"/>
      <c r="E827" s="89"/>
      <c r="F827" s="89"/>
      <c r="G827" s="89"/>
      <c r="H827" s="246"/>
      <c r="I827" s="246"/>
      <c r="J827" s="246"/>
      <c r="K827" s="216"/>
      <c r="L827" s="246"/>
      <c r="M827" s="89"/>
      <c r="N827" s="89"/>
      <c r="O827" s="89"/>
      <c r="P827" s="89"/>
      <c r="Q827" s="89"/>
      <c r="R827" s="89"/>
      <c r="S827" s="246"/>
      <c r="T827" s="246"/>
      <c r="U827" s="246"/>
      <c r="V827" s="89"/>
      <c r="W827" s="246"/>
    </row>
    <row r="828" spans="2:23" ht="15.75" customHeight="1">
      <c r="B828" s="216"/>
      <c r="C828" s="89"/>
      <c r="D828" s="89"/>
      <c r="E828" s="89"/>
      <c r="F828" s="89"/>
      <c r="G828" s="89"/>
      <c r="H828" s="246"/>
      <c r="I828" s="246"/>
      <c r="J828" s="246"/>
      <c r="K828" s="216"/>
      <c r="L828" s="246"/>
      <c r="M828" s="89"/>
      <c r="N828" s="89"/>
      <c r="O828" s="89"/>
      <c r="P828" s="89"/>
      <c r="Q828" s="89"/>
      <c r="R828" s="89"/>
      <c r="S828" s="246"/>
      <c r="T828" s="246"/>
      <c r="U828" s="246"/>
      <c r="V828" s="89"/>
      <c r="W828" s="246"/>
    </row>
    <row r="829" spans="2:23" ht="15.75" customHeight="1">
      <c r="B829" s="216"/>
      <c r="C829" s="89"/>
      <c r="D829" s="89"/>
      <c r="E829" s="89"/>
      <c r="F829" s="89"/>
      <c r="G829" s="89"/>
      <c r="H829" s="246"/>
      <c r="I829" s="246"/>
      <c r="J829" s="246"/>
      <c r="K829" s="216"/>
      <c r="L829" s="246"/>
      <c r="M829" s="89"/>
      <c r="N829" s="89"/>
      <c r="O829" s="89"/>
      <c r="P829" s="89"/>
      <c r="Q829" s="89"/>
      <c r="R829" s="89"/>
      <c r="S829" s="246"/>
      <c r="T829" s="246"/>
      <c r="U829" s="246"/>
      <c r="V829" s="89"/>
      <c r="W829" s="246"/>
    </row>
    <row r="830" spans="2:23" ht="15.75" customHeight="1">
      <c r="B830" s="216"/>
      <c r="C830" s="89"/>
      <c r="D830" s="89"/>
      <c r="E830" s="89"/>
      <c r="F830" s="89"/>
      <c r="G830" s="89"/>
      <c r="H830" s="246"/>
      <c r="I830" s="246"/>
      <c r="J830" s="246"/>
      <c r="K830" s="216"/>
      <c r="L830" s="246"/>
      <c r="M830" s="89"/>
      <c r="N830" s="89"/>
      <c r="O830" s="89"/>
      <c r="P830" s="89"/>
      <c r="Q830" s="89"/>
      <c r="R830" s="89"/>
      <c r="S830" s="246"/>
      <c r="T830" s="246"/>
      <c r="U830" s="246"/>
      <c r="V830" s="89"/>
      <c r="W830" s="246"/>
    </row>
    <row r="831" spans="2:23" ht="15.75" customHeight="1">
      <c r="B831" s="216"/>
      <c r="C831" s="89"/>
      <c r="D831" s="89"/>
      <c r="E831" s="89"/>
      <c r="F831" s="89"/>
      <c r="G831" s="89"/>
      <c r="H831" s="246"/>
      <c r="I831" s="246"/>
      <c r="J831" s="246"/>
      <c r="K831" s="216"/>
      <c r="L831" s="246"/>
      <c r="M831" s="89"/>
      <c r="N831" s="89"/>
      <c r="O831" s="89"/>
      <c r="P831" s="89"/>
      <c r="Q831" s="89"/>
      <c r="R831" s="89"/>
      <c r="S831" s="246"/>
      <c r="T831" s="246"/>
      <c r="U831" s="246"/>
      <c r="V831" s="89"/>
      <c r="W831" s="246"/>
    </row>
    <row r="832" spans="2:23" ht="15.75" customHeight="1">
      <c r="B832" s="216"/>
      <c r="C832" s="89"/>
      <c r="D832" s="89"/>
      <c r="E832" s="89"/>
      <c r="F832" s="89"/>
      <c r="G832" s="89"/>
      <c r="H832" s="246"/>
      <c r="I832" s="246"/>
      <c r="J832" s="246"/>
      <c r="K832" s="216"/>
      <c r="L832" s="246"/>
      <c r="M832" s="89"/>
      <c r="N832" s="89"/>
      <c r="O832" s="89"/>
      <c r="P832" s="89"/>
      <c r="Q832" s="89"/>
      <c r="R832" s="89"/>
      <c r="S832" s="246"/>
      <c r="T832" s="246"/>
      <c r="U832" s="246"/>
      <c r="V832" s="89"/>
      <c r="W832" s="246"/>
    </row>
    <row r="833" spans="2:23" ht="15.75" customHeight="1">
      <c r="B833" s="216"/>
      <c r="C833" s="89"/>
      <c r="D833" s="89"/>
      <c r="E833" s="89"/>
      <c r="F833" s="89"/>
      <c r="G833" s="89"/>
      <c r="H833" s="246"/>
      <c r="I833" s="246"/>
      <c r="J833" s="246"/>
      <c r="K833" s="216"/>
      <c r="L833" s="246"/>
      <c r="M833" s="89"/>
      <c r="N833" s="89"/>
      <c r="O833" s="89"/>
      <c r="P833" s="89"/>
      <c r="Q833" s="89"/>
      <c r="R833" s="89"/>
      <c r="S833" s="246"/>
      <c r="T833" s="246"/>
      <c r="U833" s="246"/>
      <c r="V833" s="89"/>
      <c r="W833" s="246"/>
    </row>
    <row r="834" spans="2:23" ht="15.75" customHeight="1">
      <c r="B834" s="216"/>
      <c r="C834" s="89"/>
      <c r="D834" s="89"/>
      <c r="E834" s="89"/>
      <c r="F834" s="89"/>
      <c r="G834" s="89"/>
      <c r="H834" s="246"/>
      <c r="I834" s="246"/>
      <c r="J834" s="246"/>
      <c r="K834" s="216"/>
      <c r="L834" s="246"/>
      <c r="M834" s="89"/>
      <c r="N834" s="89"/>
      <c r="O834" s="89"/>
      <c r="P834" s="89"/>
      <c r="Q834" s="89"/>
      <c r="R834" s="89"/>
      <c r="S834" s="246"/>
      <c r="T834" s="246"/>
      <c r="U834" s="246"/>
      <c r="V834" s="89"/>
      <c r="W834" s="246"/>
    </row>
    <row r="835" spans="2:23" ht="15.75" customHeight="1">
      <c r="B835" s="216"/>
      <c r="C835" s="89"/>
      <c r="D835" s="89"/>
      <c r="E835" s="89"/>
      <c r="F835" s="89"/>
      <c r="G835" s="89"/>
      <c r="H835" s="246"/>
      <c r="I835" s="246"/>
      <c r="J835" s="246"/>
      <c r="K835" s="216"/>
      <c r="L835" s="246"/>
      <c r="M835" s="89"/>
      <c r="N835" s="89"/>
      <c r="O835" s="89"/>
      <c r="P835" s="89"/>
      <c r="Q835" s="89"/>
      <c r="R835" s="89"/>
      <c r="S835" s="246"/>
      <c r="T835" s="246"/>
      <c r="U835" s="246"/>
      <c r="V835" s="89"/>
      <c r="W835" s="246"/>
    </row>
    <row r="836" spans="2:23" ht="15.75" customHeight="1">
      <c r="B836" s="216"/>
      <c r="C836" s="89"/>
      <c r="D836" s="89"/>
      <c r="E836" s="89"/>
      <c r="F836" s="89"/>
      <c r="G836" s="89"/>
      <c r="H836" s="246"/>
      <c r="I836" s="246"/>
      <c r="J836" s="246"/>
      <c r="K836" s="216"/>
      <c r="L836" s="246"/>
      <c r="M836" s="89"/>
      <c r="N836" s="89"/>
      <c r="O836" s="89"/>
      <c r="P836" s="89"/>
      <c r="Q836" s="89"/>
      <c r="R836" s="89"/>
      <c r="S836" s="246"/>
      <c r="T836" s="246"/>
      <c r="U836" s="246"/>
      <c r="V836" s="89"/>
      <c r="W836" s="246"/>
    </row>
    <row r="837" spans="2:23" ht="15.75" customHeight="1">
      <c r="B837" s="216"/>
      <c r="C837" s="89"/>
      <c r="D837" s="89"/>
      <c r="E837" s="89"/>
      <c r="F837" s="89"/>
      <c r="G837" s="89"/>
      <c r="H837" s="246"/>
      <c r="I837" s="246"/>
      <c r="J837" s="246"/>
      <c r="K837" s="216"/>
      <c r="L837" s="246"/>
      <c r="M837" s="89"/>
      <c r="N837" s="89"/>
      <c r="O837" s="89"/>
      <c r="P837" s="89"/>
      <c r="Q837" s="89"/>
      <c r="R837" s="89"/>
      <c r="S837" s="246"/>
      <c r="T837" s="246"/>
      <c r="U837" s="246"/>
      <c r="V837" s="89"/>
      <c r="W837" s="246"/>
    </row>
    <row r="838" spans="2:23" ht="15.75" customHeight="1">
      <c r="B838" s="216"/>
      <c r="C838" s="89"/>
      <c r="D838" s="89"/>
      <c r="E838" s="89"/>
      <c r="F838" s="89"/>
      <c r="G838" s="89"/>
      <c r="H838" s="246"/>
      <c r="I838" s="246"/>
      <c r="J838" s="246"/>
      <c r="K838" s="216"/>
      <c r="L838" s="246"/>
      <c r="M838" s="89"/>
      <c r="N838" s="89"/>
      <c r="O838" s="89"/>
      <c r="P838" s="89"/>
      <c r="Q838" s="89"/>
      <c r="R838" s="89"/>
      <c r="S838" s="246"/>
      <c r="T838" s="246"/>
      <c r="U838" s="246"/>
      <c r="V838" s="89"/>
      <c r="W838" s="246"/>
    </row>
    <row r="839" spans="2:23" ht="15.75" customHeight="1">
      <c r="B839" s="216"/>
      <c r="C839" s="89"/>
      <c r="D839" s="89"/>
      <c r="E839" s="89"/>
      <c r="F839" s="89"/>
      <c r="G839" s="89"/>
      <c r="H839" s="246"/>
      <c r="I839" s="246"/>
      <c r="J839" s="246"/>
      <c r="K839" s="216"/>
      <c r="L839" s="246"/>
      <c r="M839" s="89"/>
      <c r="N839" s="89"/>
      <c r="O839" s="89"/>
      <c r="P839" s="89"/>
      <c r="Q839" s="89"/>
      <c r="R839" s="89"/>
      <c r="S839" s="246"/>
      <c r="T839" s="246"/>
      <c r="U839" s="246"/>
      <c r="V839" s="89"/>
      <c r="W839" s="246"/>
    </row>
    <row r="840" spans="2:23" ht="15.75" customHeight="1">
      <c r="B840" s="216"/>
      <c r="C840" s="89"/>
      <c r="D840" s="89"/>
      <c r="E840" s="89"/>
      <c r="F840" s="89"/>
      <c r="G840" s="89"/>
      <c r="H840" s="246"/>
      <c r="I840" s="246"/>
      <c r="J840" s="246"/>
      <c r="K840" s="216"/>
      <c r="L840" s="246"/>
      <c r="M840" s="89"/>
      <c r="N840" s="89"/>
      <c r="O840" s="89"/>
      <c r="P840" s="89"/>
      <c r="Q840" s="89"/>
      <c r="R840" s="89"/>
      <c r="S840" s="246"/>
      <c r="T840" s="246"/>
      <c r="U840" s="246"/>
      <c r="V840" s="89"/>
      <c r="W840" s="246"/>
    </row>
    <row r="841" spans="2:23" ht="15.75" customHeight="1">
      <c r="B841" s="216"/>
      <c r="C841" s="89"/>
      <c r="D841" s="89"/>
      <c r="E841" s="89"/>
      <c r="F841" s="89"/>
      <c r="G841" s="89"/>
      <c r="H841" s="246"/>
      <c r="I841" s="246"/>
      <c r="J841" s="246"/>
      <c r="K841" s="216"/>
      <c r="L841" s="246"/>
      <c r="M841" s="89"/>
      <c r="N841" s="89"/>
      <c r="O841" s="89"/>
      <c r="P841" s="89"/>
      <c r="Q841" s="89"/>
      <c r="R841" s="89"/>
      <c r="S841" s="246"/>
      <c r="T841" s="246"/>
      <c r="U841" s="246"/>
      <c r="V841" s="89"/>
      <c r="W841" s="246"/>
    </row>
    <row r="842" spans="2:23" ht="15.75" customHeight="1">
      <c r="B842" s="216"/>
      <c r="C842" s="89"/>
      <c r="D842" s="89"/>
      <c r="E842" s="89"/>
      <c r="F842" s="89"/>
      <c r="G842" s="89"/>
      <c r="H842" s="246"/>
      <c r="I842" s="246"/>
      <c r="J842" s="246"/>
      <c r="K842" s="216"/>
      <c r="L842" s="246"/>
      <c r="M842" s="89"/>
      <c r="N842" s="89"/>
      <c r="O842" s="89"/>
      <c r="P842" s="89"/>
      <c r="Q842" s="89"/>
      <c r="R842" s="89"/>
      <c r="S842" s="246"/>
      <c r="T842" s="246"/>
      <c r="U842" s="246"/>
      <c r="V842" s="89"/>
      <c r="W842" s="246"/>
    </row>
    <row r="843" spans="2:23" ht="15.75" customHeight="1">
      <c r="B843" s="216"/>
      <c r="C843" s="89"/>
      <c r="D843" s="89"/>
      <c r="E843" s="89"/>
      <c r="F843" s="89"/>
      <c r="G843" s="89"/>
      <c r="H843" s="246"/>
      <c r="I843" s="246"/>
      <c r="J843" s="246"/>
      <c r="K843" s="216"/>
      <c r="L843" s="246"/>
      <c r="M843" s="89"/>
      <c r="N843" s="89"/>
      <c r="O843" s="89"/>
      <c r="P843" s="89"/>
      <c r="Q843" s="89"/>
      <c r="R843" s="89"/>
      <c r="S843" s="246"/>
      <c r="T843" s="246"/>
      <c r="U843" s="246"/>
      <c r="V843" s="89"/>
      <c r="W843" s="246"/>
    </row>
    <row r="844" spans="2:23" ht="15.75" customHeight="1">
      <c r="B844" s="216"/>
      <c r="C844" s="89"/>
      <c r="D844" s="89"/>
      <c r="E844" s="89"/>
      <c r="F844" s="89"/>
      <c r="G844" s="89"/>
      <c r="H844" s="246"/>
      <c r="I844" s="246"/>
      <c r="J844" s="246"/>
      <c r="K844" s="216"/>
      <c r="L844" s="246"/>
      <c r="M844" s="89"/>
      <c r="N844" s="89"/>
      <c r="O844" s="89"/>
      <c r="P844" s="89"/>
      <c r="Q844" s="89"/>
      <c r="R844" s="89"/>
      <c r="S844" s="246"/>
      <c r="T844" s="246"/>
      <c r="U844" s="246"/>
      <c r="V844" s="89"/>
      <c r="W844" s="246"/>
    </row>
    <row r="845" spans="2:23" ht="15.75" customHeight="1">
      <c r="B845" s="216"/>
      <c r="C845" s="89"/>
      <c r="D845" s="89"/>
      <c r="E845" s="89"/>
      <c r="F845" s="89"/>
      <c r="G845" s="89"/>
      <c r="H845" s="246"/>
      <c r="I845" s="246"/>
      <c r="J845" s="246"/>
      <c r="K845" s="216"/>
      <c r="L845" s="246"/>
      <c r="M845" s="89"/>
      <c r="N845" s="89"/>
      <c r="O845" s="89"/>
      <c r="P845" s="89"/>
      <c r="Q845" s="89"/>
      <c r="R845" s="89"/>
      <c r="S845" s="246"/>
      <c r="T845" s="246"/>
      <c r="U845" s="246"/>
      <c r="V845" s="89"/>
      <c r="W845" s="246"/>
    </row>
    <row r="846" spans="2:23" ht="15.75" customHeight="1">
      <c r="B846" s="216"/>
      <c r="C846" s="89"/>
      <c r="D846" s="89"/>
      <c r="E846" s="89"/>
      <c r="F846" s="89"/>
      <c r="G846" s="89"/>
      <c r="H846" s="246"/>
      <c r="I846" s="246"/>
      <c r="J846" s="246"/>
      <c r="K846" s="216"/>
      <c r="L846" s="246"/>
      <c r="M846" s="89"/>
      <c r="N846" s="89"/>
      <c r="O846" s="89"/>
      <c r="P846" s="89"/>
      <c r="Q846" s="89"/>
      <c r="R846" s="89"/>
      <c r="S846" s="246"/>
      <c r="T846" s="246"/>
      <c r="U846" s="246"/>
      <c r="V846" s="89"/>
      <c r="W846" s="246"/>
    </row>
    <row r="847" spans="2:23" ht="15.75" customHeight="1">
      <c r="B847" s="216"/>
      <c r="C847" s="89"/>
      <c r="D847" s="89"/>
      <c r="E847" s="89"/>
      <c r="F847" s="89"/>
      <c r="G847" s="89"/>
      <c r="H847" s="246"/>
      <c r="I847" s="246"/>
      <c r="J847" s="246"/>
      <c r="K847" s="216"/>
      <c r="L847" s="246"/>
      <c r="M847" s="89"/>
      <c r="N847" s="89"/>
      <c r="O847" s="89"/>
      <c r="P847" s="89"/>
      <c r="Q847" s="89"/>
      <c r="R847" s="89"/>
      <c r="S847" s="246"/>
      <c r="T847" s="246"/>
      <c r="U847" s="246"/>
      <c r="V847" s="89"/>
      <c r="W847" s="246"/>
    </row>
    <row r="848" spans="2:23" ht="15.75" customHeight="1">
      <c r="B848" s="216"/>
      <c r="C848" s="89"/>
      <c r="D848" s="89"/>
      <c r="E848" s="89"/>
      <c r="F848" s="89"/>
      <c r="G848" s="89"/>
      <c r="H848" s="246"/>
      <c r="I848" s="246"/>
      <c r="J848" s="246"/>
      <c r="K848" s="216"/>
      <c r="L848" s="246"/>
      <c r="M848" s="89"/>
      <c r="N848" s="89"/>
      <c r="O848" s="89"/>
      <c r="P848" s="89"/>
      <c r="Q848" s="89"/>
      <c r="R848" s="89"/>
      <c r="S848" s="246"/>
      <c r="T848" s="246"/>
      <c r="U848" s="246"/>
      <c r="V848" s="89"/>
      <c r="W848" s="246"/>
    </row>
    <row r="849" spans="2:23" ht="15.75" customHeight="1">
      <c r="B849" s="216"/>
      <c r="C849" s="89"/>
      <c r="D849" s="89"/>
      <c r="E849" s="89"/>
      <c r="F849" s="89"/>
      <c r="G849" s="89"/>
      <c r="H849" s="246"/>
      <c r="I849" s="246"/>
      <c r="J849" s="246"/>
      <c r="K849" s="216"/>
      <c r="L849" s="246"/>
      <c r="M849" s="89"/>
      <c r="N849" s="89"/>
      <c r="O849" s="89"/>
      <c r="P849" s="89"/>
      <c r="Q849" s="89"/>
      <c r="R849" s="89"/>
      <c r="S849" s="246"/>
      <c r="T849" s="246"/>
      <c r="U849" s="246"/>
      <c r="V849" s="89"/>
      <c r="W849" s="246"/>
    </row>
    <row r="850" spans="2:23" ht="15.75" customHeight="1">
      <c r="B850" s="216"/>
      <c r="C850" s="89"/>
      <c r="D850" s="89"/>
      <c r="E850" s="89"/>
      <c r="F850" s="89"/>
      <c r="G850" s="89"/>
      <c r="H850" s="246"/>
      <c r="I850" s="246"/>
      <c r="J850" s="246"/>
      <c r="K850" s="216"/>
      <c r="L850" s="246"/>
      <c r="M850" s="89"/>
      <c r="N850" s="89"/>
      <c r="O850" s="89"/>
      <c r="P850" s="89"/>
      <c r="Q850" s="89"/>
      <c r="R850" s="89"/>
      <c r="S850" s="246"/>
      <c r="T850" s="246"/>
      <c r="U850" s="246"/>
      <c r="V850" s="89"/>
      <c r="W850" s="246"/>
    </row>
    <row r="851" spans="2:23" ht="15.75" customHeight="1">
      <c r="B851" s="216"/>
      <c r="C851" s="89"/>
      <c r="D851" s="89"/>
      <c r="E851" s="89"/>
      <c r="F851" s="89"/>
      <c r="G851" s="89"/>
      <c r="H851" s="246"/>
      <c r="I851" s="246"/>
      <c r="J851" s="246"/>
      <c r="K851" s="216"/>
      <c r="L851" s="246"/>
      <c r="M851" s="89"/>
      <c r="N851" s="89"/>
      <c r="O851" s="89"/>
      <c r="P851" s="89"/>
      <c r="Q851" s="89"/>
      <c r="R851" s="89"/>
      <c r="S851" s="246"/>
      <c r="T851" s="246"/>
      <c r="U851" s="246"/>
      <c r="V851" s="89"/>
      <c r="W851" s="246"/>
    </row>
    <row r="852" spans="2:23" ht="15.75" customHeight="1">
      <c r="B852" s="216"/>
      <c r="C852" s="89"/>
      <c r="D852" s="89"/>
      <c r="E852" s="89"/>
      <c r="F852" s="89"/>
      <c r="G852" s="89"/>
      <c r="H852" s="246"/>
      <c r="I852" s="246"/>
      <c r="J852" s="246"/>
      <c r="K852" s="216"/>
      <c r="L852" s="246"/>
      <c r="M852" s="89"/>
      <c r="N852" s="89"/>
      <c r="O852" s="89"/>
      <c r="P852" s="89"/>
      <c r="Q852" s="89"/>
      <c r="R852" s="89"/>
      <c r="S852" s="246"/>
      <c r="T852" s="246"/>
      <c r="U852" s="246"/>
      <c r="V852" s="89"/>
      <c r="W852" s="246"/>
    </row>
    <row r="853" spans="2:23" ht="15.75" customHeight="1">
      <c r="B853" s="216"/>
      <c r="C853" s="89"/>
      <c r="D853" s="89"/>
      <c r="E853" s="89"/>
      <c r="F853" s="89"/>
      <c r="G853" s="89"/>
      <c r="H853" s="246"/>
      <c r="I853" s="246"/>
      <c r="J853" s="246"/>
      <c r="K853" s="216"/>
      <c r="L853" s="246"/>
      <c r="M853" s="89"/>
      <c r="N853" s="89"/>
      <c r="O853" s="89"/>
      <c r="P853" s="89"/>
      <c r="Q853" s="89"/>
      <c r="R853" s="89"/>
      <c r="S853" s="246"/>
      <c r="T853" s="246"/>
      <c r="U853" s="246"/>
      <c r="V853" s="89"/>
      <c r="W853" s="246"/>
    </row>
    <row r="854" spans="2:23" ht="15.75" customHeight="1">
      <c r="B854" s="216"/>
      <c r="C854" s="89"/>
      <c r="D854" s="89"/>
      <c r="E854" s="89"/>
      <c r="F854" s="89"/>
      <c r="G854" s="89"/>
      <c r="H854" s="246"/>
      <c r="I854" s="246"/>
      <c r="J854" s="246"/>
      <c r="K854" s="216"/>
      <c r="L854" s="246"/>
      <c r="M854" s="89"/>
      <c r="N854" s="89"/>
      <c r="O854" s="89"/>
      <c r="P854" s="89"/>
      <c r="Q854" s="89"/>
      <c r="R854" s="89"/>
      <c r="S854" s="246"/>
      <c r="T854" s="246"/>
      <c r="U854" s="246"/>
      <c r="V854" s="89"/>
      <c r="W854" s="246"/>
    </row>
    <row r="855" spans="2:23" ht="15.75" customHeight="1">
      <c r="B855" s="216"/>
      <c r="C855" s="89"/>
      <c r="D855" s="89"/>
      <c r="E855" s="89"/>
      <c r="F855" s="89"/>
      <c r="G855" s="89"/>
      <c r="H855" s="246"/>
      <c r="I855" s="246"/>
      <c r="J855" s="246"/>
      <c r="K855" s="216"/>
      <c r="L855" s="246"/>
      <c r="M855" s="89"/>
      <c r="N855" s="89"/>
      <c r="O855" s="89"/>
      <c r="P855" s="89"/>
      <c r="Q855" s="89"/>
      <c r="R855" s="89"/>
      <c r="S855" s="246"/>
      <c r="T855" s="246"/>
      <c r="U855" s="246"/>
      <c r="V855" s="89"/>
      <c r="W855" s="246"/>
    </row>
    <row r="856" spans="2:23" ht="15.75" customHeight="1">
      <c r="B856" s="216"/>
      <c r="C856" s="89"/>
      <c r="D856" s="89"/>
      <c r="E856" s="89"/>
      <c r="F856" s="89"/>
      <c r="G856" s="89"/>
      <c r="H856" s="246"/>
      <c r="I856" s="246"/>
      <c r="J856" s="246"/>
      <c r="K856" s="216"/>
      <c r="L856" s="246"/>
      <c r="M856" s="89"/>
      <c r="N856" s="89"/>
      <c r="O856" s="89"/>
      <c r="P856" s="89"/>
      <c r="Q856" s="89"/>
      <c r="R856" s="89"/>
      <c r="S856" s="246"/>
      <c r="T856" s="246"/>
      <c r="U856" s="246"/>
      <c r="V856" s="89"/>
      <c r="W856" s="246"/>
    </row>
    <row r="857" spans="2:23" ht="15.75" customHeight="1">
      <c r="B857" s="216"/>
      <c r="C857" s="89"/>
      <c r="D857" s="89"/>
      <c r="E857" s="89"/>
      <c r="F857" s="89"/>
      <c r="G857" s="89"/>
      <c r="H857" s="246"/>
      <c r="I857" s="246"/>
      <c r="J857" s="246"/>
      <c r="K857" s="216"/>
      <c r="L857" s="246"/>
      <c r="M857" s="89"/>
      <c r="N857" s="89"/>
      <c r="O857" s="89"/>
      <c r="P857" s="89"/>
      <c r="Q857" s="89"/>
      <c r="R857" s="89"/>
      <c r="S857" s="246"/>
      <c r="T857" s="246"/>
      <c r="U857" s="246"/>
      <c r="V857" s="89"/>
      <c r="W857" s="246"/>
    </row>
    <row r="858" spans="2:23" ht="15.75" customHeight="1">
      <c r="B858" s="216"/>
      <c r="C858" s="89"/>
      <c r="D858" s="89"/>
      <c r="E858" s="89"/>
      <c r="F858" s="89"/>
      <c r="G858" s="89"/>
      <c r="H858" s="246"/>
      <c r="I858" s="246"/>
      <c r="J858" s="246"/>
      <c r="K858" s="216"/>
      <c r="L858" s="246"/>
      <c r="M858" s="89"/>
      <c r="N858" s="89"/>
      <c r="O858" s="89"/>
      <c r="P858" s="89"/>
      <c r="Q858" s="89"/>
      <c r="R858" s="89"/>
      <c r="S858" s="246"/>
      <c r="T858" s="246"/>
      <c r="U858" s="246"/>
      <c r="V858" s="89"/>
      <c r="W858" s="246"/>
    </row>
    <row r="859" spans="2:23" ht="15.75" customHeight="1">
      <c r="B859" s="216"/>
      <c r="C859" s="89"/>
      <c r="D859" s="89"/>
      <c r="E859" s="89"/>
      <c r="F859" s="89"/>
      <c r="G859" s="89"/>
      <c r="H859" s="246"/>
      <c r="I859" s="246"/>
      <c r="J859" s="246"/>
      <c r="K859" s="216"/>
      <c r="L859" s="246"/>
      <c r="M859" s="89"/>
      <c r="N859" s="89"/>
      <c r="O859" s="89"/>
      <c r="P859" s="89"/>
      <c r="Q859" s="89"/>
      <c r="R859" s="89"/>
      <c r="S859" s="246"/>
      <c r="T859" s="246"/>
      <c r="U859" s="246"/>
      <c r="V859" s="89"/>
      <c r="W859" s="246"/>
    </row>
    <row r="860" spans="2:23" ht="15.75" customHeight="1">
      <c r="B860" s="216"/>
      <c r="C860" s="89"/>
      <c r="D860" s="89"/>
      <c r="E860" s="89"/>
      <c r="F860" s="89"/>
      <c r="G860" s="89"/>
      <c r="H860" s="246"/>
      <c r="I860" s="246"/>
      <c r="J860" s="246"/>
      <c r="K860" s="216"/>
      <c r="L860" s="246"/>
      <c r="M860" s="89"/>
      <c r="N860" s="89"/>
      <c r="O860" s="89"/>
      <c r="P860" s="89"/>
      <c r="Q860" s="89"/>
      <c r="R860" s="89"/>
      <c r="S860" s="246"/>
      <c r="T860" s="246"/>
      <c r="U860" s="246"/>
      <c r="V860" s="89"/>
      <c r="W860" s="246"/>
    </row>
    <row r="861" spans="2:23" ht="15.75" customHeight="1">
      <c r="B861" s="216"/>
      <c r="C861" s="89"/>
      <c r="D861" s="89"/>
      <c r="E861" s="89"/>
      <c r="F861" s="89"/>
      <c r="G861" s="89"/>
      <c r="H861" s="246"/>
      <c r="I861" s="246"/>
      <c r="J861" s="246"/>
      <c r="K861" s="216"/>
      <c r="L861" s="246"/>
      <c r="M861" s="89"/>
      <c r="N861" s="89"/>
      <c r="O861" s="89"/>
      <c r="P861" s="89"/>
      <c r="Q861" s="89"/>
      <c r="R861" s="89"/>
      <c r="S861" s="246"/>
      <c r="T861" s="246"/>
      <c r="U861" s="246"/>
      <c r="V861" s="89"/>
      <c r="W861" s="246"/>
    </row>
    <row r="862" spans="2:23" ht="15.75" customHeight="1">
      <c r="B862" s="216"/>
      <c r="C862" s="89"/>
      <c r="D862" s="89"/>
      <c r="E862" s="89"/>
      <c r="F862" s="89"/>
      <c r="G862" s="89"/>
      <c r="H862" s="246"/>
      <c r="I862" s="246"/>
      <c r="J862" s="246"/>
      <c r="K862" s="216"/>
      <c r="L862" s="246"/>
      <c r="M862" s="89"/>
      <c r="N862" s="89"/>
      <c r="O862" s="89"/>
      <c r="P862" s="89"/>
      <c r="Q862" s="89"/>
      <c r="R862" s="89"/>
      <c r="S862" s="246"/>
      <c r="T862" s="246"/>
      <c r="U862" s="246"/>
      <c r="V862" s="89"/>
      <c r="W862" s="246"/>
    </row>
    <row r="863" spans="2:23" ht="15.75" customHeight="1">
      <c r="B863" s="216"/>
      <c r="C863" s="89"/>
      <c r="D863" s="89"/>
      <c r="E863" s="89"/>
      <c r="F863" s="89"/>
      <c r="G863" s="89"/>
      <c r="H863" s="246"/>
      <c r="I863" s="246"/>
      <c r="J863" s="246"/>
      <c r="K863" s="216"/>
      <c r="L863" s="246"/>
      <c r="M863" s="89"/>
      <c r="N863" s="89"/>
      <c r="O863" s="89"/>
      <c r="P863" s="89"/>
      <c r="Q863" s="89"/>
      <c r="R863" s="89"/>
      <c r="S863" s="246"/>
      <c r="T863" s="246"/>
      <c r="U863" s="246"/>
      <c r="V863" s="89"/>
      <c r="W863" s="246"/>
    </row>
    <row r="864" spans="2:23" ht="15.75" customHeight="1">
      <c r="B864" s="216"/>
      <c r="C864" s="89"/>
      <c r="D864" s="89"/>
      <c r="E864" s="89"/>
      <c r="F864" s="89"/>
      <c r="G864" s="89"/>
      <c r="H864" s="246"/>
      <c r="I864" s="246"/>
      <c r="J864" s="246"/>
      <c r="K864" s="216"/>
      <c r="L864" s="246"/>
      <c r="M864" s="89"/>
      <c r="N864" s="89"/>
      <c r="O864" s="89"/>
      <c r="P864" s="89"/>
      <c r="Q864" s="89"/>
      <c r="R864" s="89"/>
      <c r="S864" s="246"/>
      <c r="T864" s="246"/>
      <c r="U864" s="246"/>
      <c r="V864" s="89"/>
      <c r="W864" s="246"/>
    </row>
    <row r="865" spans="2:23" ht="15.75" customHeight="1">
      <c r="B865" s="216"/>
      <c r="C865" s="89"/>
      <c r="D865" s="89"/>
      <c r="E865" s="89"/>
      <c r="F865" s="89"/>
      <c r="G865" s="89"/>
      <c r="H865" s="246"/>
      <c r="I865" s="246"/>
      <c r="J865" s="246"/>
      <c r="K865" s="216"/>
      <c r="L865" s="246"/>
      <c r="M865" s="89"/>
      <c r="N865" s="89"/>
      <c r="O865" s="89"/>
      <c r="P865" s="89"/>
      <c r="Q865" s="89"/>
      <c r="R865" s="89"/>
      <c r="S865" s="246"/>
      <c r="T865" s="246"/>
      <c r="U865" s="246"/>
      <c r="V865" s="89"/>
      <c r="W865" s="246"/>
    </row>
    <row r="866" spans="2:23" ht="15.75" customHeight="1">
      <c r="B866" s="216"/>
      <c r="C866" s="89"/>
      <c r="D866" s="89"/>
      <c r="E866" s="89"/>
      <c r="F866" s="89"/>
      <c r="G866" s="89"/>
      <c r="H866" s="246"/>
      <c r="I866" s="246"/>
      <c r="J866" s="246"/>
      <c r="K866" s="216"/>
      <c r="L866" s="246"/>
      <c r="M866" s="89"/>
      <c r="N866" s="89"/>
      <c r="O866" s="89"/>
      <c r="P866" s="89"/>
      <c r="Q866" s="89"/>
      <c r="R866" s="89"/>
      <c r="S866" s="246"/>
      <c r="T866" s="246"/>
      <c r="U866" s="246"/>
      <c r="V866" s="89"/>
      <c r="W866" s="246"/>
    </row>
    <row r="867" spans="2:23" ht="15.75" customHeight="1">
      <c r="B867" s="216"/>
      <c r="C867" s="89"/>
      <c r="D867" s="89"/>
      <c r="E867" s="89"/>
      <c r="F867" s="89"/>
      <c r="G867" s="89"/>
      <c r="H867" s="246"/>
      <c r="I867" s="246"/>
      <c r="J867" s="246"/>
      <c r="K867" s="216"/>
      <c r="L867" s="246"/>
      <c r="M867" s="89"/>
      <c r="N867" s="89"/>
      <c r="O867" s="89"/>
      <c r="P867" s="89"/>
      <c r="Q867" s="89"/>
      <c r="R867" s="89"/>
      <c r="S867" s="246"/>
      <c r="T867" s="246"/>
      <c r="U867" s="246"/>
      <c r="V867" s="89"/>
      <c r="W867" s="246"/>
    </row>
    <row r="868" spans="2:23" ht="15.75" customHeight="1">
      <c r="B868" s="216"/>
      <c r="C868" s="89"/>
      <c r="D868" s="89"/>
      <c r="E868" s="89"/>
      <c r="F868" s="89"/>
      <c r="G868" s="89"/>
      <c r="H868" s="246"/>
      <c r="I868" s="246"/>
      <c r="J868" s="246"/>
      <c r="K868" s="216"/>
      <c r="L868" s="246"/>
      <c r="M868" s="89"/>
      <c r="N868" s="89"/>
      <c r="O868" s="89"/>
      <c r="P868" s="89"/>
      <c r="Q868" s="89"/>
      <c r="R868" s="89"/>
      <c r="S868" s="246"/>
      <c r="T868" s="246"/>
      <c r="U868" s="246"/>
      <c r="V868" s="89"/>
      <c r="W868" s="246"/>
    </row>
    <row r="869" spans="2:23" ht="15.75" customHeight="1">
      <c r="B869" s="216"/>
      <c r="C869" s="89"/>
      <c r="D869" s="89"/>
      <c r="E869" s="89"/>
      <c r="F869" s="89"/>
      <c r="G869" s="89"/>
      <c r="H869" s="246"/>
      <c r="I869" s="246"/>
      <c r="J869" s="246"/>
      <c r="K869" s="216"/>
      <c r="L869" s="246"/>
      <c r="M869" s="89"/>
      <c r="N869" s="89"/>
      <c r="O869" s="89"/>
      <c r="P869" s="89"/>
      <c r="Q869" s="89"/>
      <c r="R869" s="89"/>
      <c r="S869" s="246"/>
      <c r="T869" s="246"/>
      <c r="U869" s="246"/>
      <c r="V869" s="89"/>
      <c r="W869" s="246"/>
    </row>
    <row r="870" spans="2:23" ht="15.75" customHeight="1">
      <c r="B870" s="216"/>
      <c r="C870" s="89"/>
      <c r="D870" s="89"/>
      <c r="E870" s="89"/>
      <c r="F870" s="89"/>
      <c r="G870" s="89"/>
      <c r="H870" s="246"/>
      <c r="I870" s="246"/>
      <c r="J870" s="246"/>
      <c r="K870" s="216"/>
      <c r="L870" s="246"/>
      <c r="M870" s="89"/>
      <c r="N870" s="89"/>
      <c r="O870" s="89"/>
      <c r="P870" s="89"/>
      <c r="Q870" s="89"/>
      <c r="R870" s="89"/>
      <c r="S870" s="246"/>
      <c r="T870" s="246"/>
      <c r="U870" s="246"/>
      <c r="V870" s="89"/>
      <c r="W870" s="246"/>
    </row>
    <row r="871" spans="2:23" ht="15.75" customHeight="1">
      <c r="B871" s="216"/>
      <c r="C871" s="89"/>
      <c r="D871" s="89"/>
      <c r="E871" s="89"/>
      <c r="F871" s="89"/>
      <c r="G871" s="89"/>
      <c r="H871" s="246"/>
      <c r="I871" s="246"/>
      <c r="J871" s="246"/>
      <c r="K871" s="216"/>
      <c r="L871" s="246"/>
      <c r="M871" s="89"/>
      <c r="N871" s="89"/>
      <c r="O871" s="89"/>
      <c r="P871" s="89"/>
      <c r="Q871" s="89"/>
      <c r="R871" s="89"/>
      <c r="S871" s="246"/>
      <c r="T871" s="246"/>
      <c r="U871" s="246"/>
      <c r="V871" s="89"/>
      <c r="W871" s="246"/>
    </row>
    <row r="872" spans="2:23" ht="15.75" customHeight="1">
      <c r="B872" s="216"/>
      <c r="C872" s="89"/>
      <c r="D872" s="89"/>
      <c r="E872" s="89"/>
      <c r="F872" s="89"/>
      <c r="G872" s="89"/>
      <c r="H872" s="246"/>
      <c r="I872" s="246"/>
      <c r="J872" s="246"/>
      <c r="K872" s="216"/>
      <c r="L872" s="246"/>
      <c r="M872" s="89"/>
      <c r="N872" s="89"/>
      <c r="O872" s="89"/>
      <c r="P872" s="89"/>
      <c r="Q872" s="89"/>
      <c r="R872" s="89"/>
      <c r="S872" s="246"/>
      <c r="T872" s="246"/>
      <c r="U872" s="246"/>
      <c r="V872" s="89"/>
      <c r="W872" s="246"/>
    </row>
    <row r="873" spans="2:23" ht="15.75" customHeight="1">
      <c r="B873" s="216"/>
      <c r="C873" s="89"/>
      <c r="D873" s="89"/>
      <c r="E873" s="89"/>
      <c r="F873" s="89"/>
      <c r="G873" s="89"/>
      <c r="H873" s="246"/>
      <c r="I873" s="246"/>
      <c r="J873" s="246"/>
      <c r="K873" s="216"/>
      <c r="L873" s="246"/>
      <c r="M873" s="89"/>
      <c r="N873" s="89"/>
      <c r="O873" s="89"/>
      <c r="P873" s="89"/>
      <c r="Q873" s="89"/>
      <c r="R873" s="89"/>
      <c r="S873" s="246"/>
      <c r="T873" s="246"/>
      <c r="U873" s="246"/>
      <c r="V873" s="89"/>
      <c r="W873" s="246"/>
    </row>
    <row r="874" spans="2:23" ht="15.75" customHeight="1">
      <c r="B874" s="216"/>
      <c r="C874" s="89"/>
      <c r="D874" s="89"/>
      <c r="E874" s="89"/>
      <c r="F874" s="89"/>
      <c r="G874" s="89"/>
      <c r="H874" s="246"/>
      <c r="I874" s="246"/>
      <c r="J874" s="246"/>
      <c r="K874" s="216"/>
      <c r="L874" s="246"/>
      <c r="M874" s="89"/>
      <c r="N874" s="89"/>
      <c r="O874" s="89"/>
      <c r="P874" s="89"/>
      <c r="Q874" s="89"/>
      <c r="R874" s="89"/>
      <c r="S874" s="246"/>
      <c r="T874" s="246"/>
      <c r="U874" s="246"/>
      <c r="V874" s="89"/>
      <c r="W874" s="246"/>
    </row>
    <row r="875" spans="2:23" ht="15.75" customHeight="1">
      <c r="B875" s="216"/>
      <c r="C875" s="89"/>
      <c r="D875" s="89"/>
      <c r="E875" s="89"/>
      <c r="F875" s="89"/>
      <c r="G875" s="89"/>
      <c r="H875" s="246"/>
      <c r="I875" s="246"/>
      <c r="J875" s="246"/>
      <c r="K875" s="216"/>
      <c r="L875" s="246"/>
      <c r="M875" s="89"/>
      <c r="N875" s="89"/>
      <c r="O875" s="89"/>
      <c r="P875" s="89"/>
      <c r="Q875" s="89"/>
      <c r="R875" s="89"/>
      <c r="S875" s="246"/>
      <c r="T875" s="246"/>
      <c r="U875" s="246"/>
      <c r="V875" s="89"/>
      <c r="W875" s="246"/>
    </row>
    <row r="876" spans="2:23" ht="15.75" customHeight="1">
      <c r="B876" s="216"/>
      <c r="C876" s="89"/>
      <c r="D876" s="89"/>
      <c r="E876" s="89"/>
      <c r="F876" s="89"/>
      <c r="G876" s="89"/>
      <c r="H876" s="246"/>
      <c r="I876" s="246"/>
      <c r="J876" s="246"/>
      <c r="K876" s="216"/>
      <c r="L876" s="246"/>
      <c r="M876" s="89"/>
      <c r="N876" s="89"/>
      <c r="O876" s="89"/>
      <c r="P876" s="89"/>
      <c r="Q876" s="89"/>
      <c r="R876" s="89"/>
      <c r="S876" s="246"/>
      <c r="T876" s="246"/>
      <c r="U876" s="246"/>
      <c r="V876" s="89"/>
      <c r="W876" s="246"/>
    </row>
    <row r="877" spans="2:23" ht="15.75" customHeight="1">
      <c r="B877" s="216"/>
      <c r="C877" s="89"/>
      <c r="D877" s="89"/>
      <c r="E877" s="89"/>
      <c r="F877" s="89"/>
      <c r="G877" s="89"/>
      <c r="H877" s="246"/>
      <c r="I877" s="246"/>
      <c r="J877" s="246"/>
      <c r="K877" s="216"/>
      <c r="L877" s="246"/>
      <c r="M877" s="89"/>
      <c r="N877" s="89"/>
      <c r="O877" s="89"/>
      <c r="P877" s="89"/>
      <c r="Q877" s="89"/>
      <c r="R877" s="89"/>
      <c r="S877" s="246"/>
      <c r="T877" s="246"/>
      <c r="U877" s="246"/>
      <c r="V877" s="89"/>
      <c r="W877" s="246"/>
    </row>
    <row r="878" spans="2:23" ht="15.75" customHeight="1">
      <c r="B878" s="216"/>
      <c r="C878" s="89"/>
      <c r="D878" s="89"/>
      <c r="E878" s="89"/>
      <c r="F878" s="89"/>
      <c r="G878" s="89"/>
      <c r="H878" s="246"/>
      <c r="I878" s="246"/>
      <c r="J878" s="246"/>
      <c r="K878" s="216"/>
      <c r="L878" s="246"/>
      <c r="M878" s="89"/>
      <c r="N878" s="89"/>
      <c r="O878" s="89"/>
      <c r="P878" s="89"/>
      <c r="Q878" s="89"/>
      <c r="R878" s="89"/>
      <c r="S878" s="246"/>
      <c r="T878" s="246"/>
      <c r="U878" s="246"/>
      <c r="V878" s="89"/>
      <c r="W878" s="246"/>
    </row>
    <row r="879" spans="2:23" ht="15.75" customHeight="1">
      <c r="B879" s="216"/>
      <c r="C879" s="89"/>
      <c r="D879" s="89"/>
      <c r="E879" s="89"/>
      <c r="F879" s="89"/>
      <c r="G879" s="89"/>
      <c r="H879" s="246"/>
      <c r="I879" s="246"/>
      <c r="J879" s="246"/>
      <c r="K879" s="216"/>
      <c r="L879" s="246"/>
      <c r="M879" s="89"/>
      <c r="N879" s="89"/>
      <c r="O879" s="89"/>
      <c r="P879" s="89"/>
      <c r="Q879" s="89"/>
      <c r="R879" s="89"/>
      <c r="S879" s="246"/>
      <c r="T879" s="246"/>
      <c r="U879" s="246"/>
      <c r="V879" s="89"/>
      <c r="W879" s="246"/>
    </row>
    <row r="880" spans="2:23" ht="15.75" customHeight="1">
      <c r="B880" s="216"/>
      <c r="C880" s="89"/>
      <c r="D880" s="89"/>
      <c r="E880" s="89"/>
      <c r="F880" s="89"/>
      <c r="G880" s="89"/>
      <c r="H880" s="246"/>
      <c r="I880" s="246"/>
      <c r="J880" s="246"/>
      <c r="K880" s="216"/>
      <c r="L880" s="246"/>
      <c r="M880" s="89"/>
      <c r="N880" s="89"/>
      <c r="O880" s="89"/>
      <c r="P880" s="89"/>
      <c r="Q880" s="89"/>
      <c r="R880" s="89"/>
      <c r="S880" s="246"/>
      <c r="T880" s="246"/>
      <c r="U880" s="246"/>
      <c r="V880" s="89"/>
      <c r="W880" s="246"/>
    </row>
    <row r="881" spans="2:23" ht="15.75" customHeight="1">
      <c r="B881" s="216"/>
      <c r="C881" s="89"/>
      <c r="D881" s="89"/>
      <c r="E881" s="89"/>
      <c r="F881" s="89"/>
      <c r="G881" s="89"/>
      <c r="H881" s="246"/>
      <c r="I881" s="246"/>
      <c r="J881" s="246"/>
      <c r="K881" s="216"/>
      <c r="L881" s="246"/>
      <c r="M881" s="89"/>
      <c r="N881" s="89"/>
      <c r="O881" s="89"/>
      <c r="P881" s="89"/>
      <c r="Q881" s="89"/>
      <c r="R881" s="89"/>
      <c r="S881" s="246"/>
      <c r="T881" s="246"/>
      <c r="U881" s="246"/>
      <c r="V881" s="89"/>
      <c r="W881" s="246"/>
    </row>
    <row r="882" spans="2:23" ht="15.75" customHeight="1">
      <c r="B882" s="216"/>
      <c r="C882" s="89"/>
      <c r="D882" s="89"/>
      <c r="E882" s="89"/>
      <c r="F882" s="89"/>
      <c r="G882" s="89"/>
      <c r="H882" s="246"/>
      <c r="I882" s="246"/>
      <c r="J882" s="246"/>
      <c r="K882" s="216"/>
      <c r="L882" s="246"/>
      <c r="M882" s="89"/>
      <c r="N882" s="89"/>
      <c r="O882" s="89"/>
      <c r="P882" s="89"/>
      <c r="Q882" s="89"/>
      <c r="R882" s="89"/>
      <c r="S882" s="246"/>
      <c r="T882" s="246"/>
      <c r="U882" s="246"/>
      <c r="V882" s="89"/>
      <c r="W882" s="246"/>
    </row>
    <row r="883" spans="2:23" ht="15.75" customHeight="1">
      <c r="B883" s="216"/>
      <c r="C883" s="89"/>
      <c r="D883" s="89"/>
      <c r="E883" s="89"/>
      <c r="F883" s="89"/>
      <c r="G883" s="89"/>
      <c r="H883" s="246"/>
      <c r="I883" s="246"/>
      <c r="J883" s="246"/>
      <c r="K883" s="216"/>
      <c r="L883" s="246"/>
      <c r="M883" s="89"/>
      <c r="N883" s="89"/>
      <c r="O883" s="89"/>
      <c r="P883" s="89"/>
      <c r="Q883" s="89"/>
      <c r="R883" s="89"/>
      <c r="S883" s="246"/>
      <c r="T883" s="246"/>
      <c r="U883" s="246"/>
      <c r="V883" s="89"/>
      <c r="W883" s="246"/>
    </row>
    <row r="884" spans="2:23" ht="15.75" customHeight="1">
      <c r="B884" s="216"/>
      <c r="C884" s="89"/>
      <c r="D884" s="89"/>
      <c r="E884" s="89"/>
      <c r="F884" s="89"/>
      <c r="G884" s="89"/>
      <c r="H884" s="246"/>
      <c r="I884" s="246"/>
      <c r="J884" s="246"/>
      <c r="K884" s="216"/>
      <c r="L884" s="246"/>
      <c r="M884" s="89"/>
      <c r="N884" s="89"/>
      <c r="O884" s="89"/>
      <c r="P884" s="89"/>
      <c r="Q884" s="89"/>
      <c r="R884" s="89"/>
      <c r="S884" s="246"/>
      <c r="T884" s="246"/>
      <c r="U884" s="246"/>
      <c r="V884" s="89"/>
      <c r="W884" s="246"/>
    </row>
    <row r="885" spans="2:23" ht="15.75" customHeight="1">
      <c r="B885" s="216"/>
      <c r="C885" s="89"/>
      <c r="D885" s="89"/>
      <c r="E885" s="89"/>
      <c r="F885" s="89"/>
      <c r="G885" s="89"/>
      <c r="H885" s="246"/>
      <c r="I885" s="246"/>
      <c r="J885" s="246"/>
      <c r="K885" s="216"/>
      <c r="L885" s="246"/>
      <c r="M885" s="89"/>
      <c r="N885" s="89"/>
      <c r="O885" s="89"/>
      <c r="P885" s="89"/>
      <c r="Q885" s="89"/>
      <c r="R885" s="89"/>
      <c r="S885" s="246"/>
      <c r="T885" s="246"/>
      <c r="U885" s="246"/>
      <c r="V885" s="89"/>
      <c r="W885" s="246"/>
    </row>
    <row r="886" spans="2:23" ht="15.75" customHeight="1">
      <c r="B886" s="216"/>
      <c r="C886" s="89"/>
      <c r="D886" s="89"/>
      <c r="E886" s="89"/>
      <c r="F886" s="89"/>
      <c r="G886" s="89"/>
      <c r="H886" s="246"/>
      <c r="I886" s="246"/>
      <c r="J886" s="246"/>
      <c r="K886" s="216"/>
      <c r="L886" s="246"/>
      <c r="M886" s="89"/>
      <c r="N886" s="89"/>
      <c r="O886" s="89"/>
      <c r="P886" s="89"/>
      <c r="Q886" s="89"/>
      <c r="R886" s="89"/>
      <c r="S886" s="246"/>
      <c r="T886" s="246"/>
      <c r="U886" s="246"/>
      <c r="V886" s="89"/>
      <c r="W886" s="246"/>
    </row>
    <row r="887" spans="2:23" ht="15.75" customHeight="1">
      <c r="B887" s="216"/>
      <c r="C887" s="89"/>
      <c r="D887" s="89"/>
      <c r="E887" s="89"/>
      <c r="F887" s="89"/>
      <c r="G887" s="89"/>
      <c r="H887" s="246"/>
      <c r="I887" s="246"/>
      <c r="J887" s="246"/>
      <c r="K887" s="216"/>
      <c r="L887" s="246"/>
      <c r="M887" s="89"/>
      <c r="N887" s="89"/>
      <c r="O887" s="89"/>
      <c r="P887" s="89"/>
      <c r="Q887" s="89"/>
      <c r="R887" s="89"/>
      <c r="S887" s="246"/>
      <c r="T887" s="246"/>
      <c r="U887" s="246"/>
      <c r="V887" s="89"/>
      <c r="W887" s="246"/>
    </row>
    <row r="888" spans="2:23" ht="15.75" customHeight="1">
      <c r="B888" s="216"/>
      <c r="C888" s="89"/>
      <c r="D888" s="89"/>
      <c r="E888" s="89"/>
      <c r="F888" s="89"/>
      <c r="G888" s="89"/>
      <c r="H888" s="246"/>
      <c r="I888" s="246"/>
      <c r="J888" s="246"/>
      <c r="K888" s="216"/>
      <c r="L888" s="246"/>
      <c r="M888" s="89"/>
      <c r="N888" s="89"/>
      <c r="O888" s="89"/>
      <c r="P888" s="89"/>
      <c r="Q888" s="89"/>
      <c r="R888" s="89"/>
      <c r="S888" s="246"/>
      <c r="T888" s="246"/>
      <c r="U888" s="246"/>
      <c r="V888" s="89"/>
      <c r="W888" s="246"/>
    </row>
    <row r="889" spans="2:23" ht="15.75" customHeight="1">
      <c r="B889" s="216"/>
      <c r="C889" s="89"/>
      <c r="D889" s="89"/>
      <c r="E889" s="89"/>
      <c r="F889" s="89"/>
      <c r="G889" s="89"/>
      <c r="H889" s="246"/>
      <c r="I889" s="246"/>
      <c r="J889" s="246"/>
      <c r="K889" s="216"/>
      <c r="L889" s="246"/>
      <c r="M889" s="89"/>
      <c r="N889" s="89"/>
      <c r="O889" s="89"/>
      <c r="P889" s="89"/>
      <c r="Q889" s="89"/>
      <c r="R889" s="89"/>
      <c r="S889" s="246"/>
      <c r="T889" s="246"/>
      <c r="U889" s="246"/>
      <c r="V889" s="89"/>
      <c r="W889" s="246"/>
    </row>
    <row r="890" spans="2:23" ht="15.75" customHeight="1">
      <c r="B890" s="216"/>
      <c r="C890" s="89"/>
      <c r="D890" s="89"/>
      <c r="E890" s="89"/>
      <c r="F890" s="89"/>
      <c r="G890" s="89"/>
      <c r="H890" s="246"/>
      <c r="I890" s="246"/>
      <c r="J890" s="246"/>
      <c r="K890" s="216"/>
      <c r="L890" s="246"/>
      <c r="M890" s="89"/>
      <c r="N890" s="89"/>
      <c r="O890" s="89"/>
      <c r="P890" s="89"/>
      <c r="Q890" s="89"/>
      <c r="R890" s="89"/>
      <c r="S890" s="246"/>
      <c r="T890" s="246"/>
      <c r="U890" s="246"/>
      <c r="V890" s="89"/>
      <c r="W890" s="246"/>
    </row>
    <row r="891" spans="2:23" ht="15.75" customHeight="1">
      <c r="B891" s="216"/>
      <c r="C891" s="89"/>
      <c r="D891" s="89"/>
      <c r="E891" s="89"/>
      <c r="F891" s="89"/>
      <c r="G891" s="89"/>
      <c r="H891" s="246"/>
      <c r="I891" s="246"/>
      <c r="J891" s="246"/>
      <c r="K891" s="216"/>
      <c r="L891" s="246"/>
      <c r="M891" s="89"/>
      <c r="N891" s="89"/>
      <c r="O891" s="89"/>
      <c r="P891" s="89"/>
      <c r="Q891" s="89"/>
      <c r="R891" s="89"/>
      <c r="S891" s="246"/>
      <c r="T891" s="246"/>
      <c r="U891" s="246"/>
      <c r="V891" s="89"/>
      <c r="W891" s="246"/>
    </row>
    <row r="892" spans="2:23" ht="15.75" customHeight="1">
      <c r="B892" s="216"/>
      <c r="C892" s="89"/>
      <c r="D892" s="89"/>
      <c r="E892" s="89"/>
      <c r="F892" s="89"/>
      <c r="G892" s="89"/>
      <c r="H892" s="246"/>
      <c r="I892" s="246"/>
      <c r="J892" s="246"/>
      <c r="K892" s="216"/>
      <c r="L892" s="246"/>
      <c r="M892" s="89"/>
      <c r="N892" s="89"/>
      <c r="O892" s="89"/>
      <c r="P892" s="89"/>
      <c r="Q892" s="89"/>
      <c r="R892" s="89"/>
      <c r="S892" s="246"/>
      <c r="T892" s="246"/>
      <c r="U892" s="246"/>
      <c r="V892" s="89"/>
      <c r="W892" s="246"/>
    </row>
    <row r="893" spans="2:23" ht="15.75" customHeight="1">
      <c r="B893" s="216"/>
      <c r="C893" s="89"/>
      <c r="D893" s="89"/>
      <c r="E893" s="89"/>
      <c r="F893" s="89"/>
      <c r="G893" s="89"/>
      <c r="H893" s="246"/>
      <c r="I893" s="246"/>
      <c r="J893" s="246"/>
      <c r="K893" s="216"/>
      <c r="L893" s="246"/>
      <c r="M893" s="89"/>
      <c r="N893" s="89"/>
      <c r="O893" s="89"/>
      <c r="P893" s="89"/>
      <c r="Q893" s="89"/>
      <c r="R893" s="89"/>
      <c r="S893" s="246"/>
      <c r="T893" s="246"/>
      <c r="U893" s="246"/>
      <c r="V893" s="89"/>
      <c r="W893" s="246"/>
    </row>
    <row r="894" spans="2:23" ht="15.75" customHeight="1">
      <c r="B894" s="216"/>
      <c r="C894" s="89"/>
      <c r="D894" s="89"/>
      <c r="E894" s="89"/>
      <c r="F894" s="89"/>
      <c r="G894" s="89"/>
      <c r="H894" s="246"/>
      <c r="I894" s="246"/>
      <c r="J894" s="246"/>
      <c r="K894" s="216"/>
      <c r="L894" s="246"/>
      <c r="M894" s="89"/>
      <c r="N894" s="89"/>
      <c r="O894" s="89"/>
      <c r="P894" s="89"/>
      <c r="Q894" s="89"/>
      <c r="R894" s="89"/>
      <c r="S894" s="246"/>
      <c r="T894" s="246"/>
      <c r="U894" s="246"/>
      <c r="V894" s="89"/>
      <c r="W894" s="246"/>
    </row>
    <row r="895" spans="2:23" ht="15.75" customHeight="1">
      <c r="B895" s="216"/>
      <c r="C895" s="89"/>
      <c r="D895" s="89"/>
      <c r="E895" s="89"/>
      <c r="F895" s="89"/>
      <c r="G895" s="89"/>
      <c r="H895" s="246"/>
      <c r="I895" s="246"/>
      <c r="J895" s="246"/>
      <c r="K895" s="216"/>
      <c r="L895" s="246"/>
      <c r="M895" s="89"/>
      <c r="N895" s="89"/>
      <c r="O895" s="89"/>
      <c r="P895" s="89"/>
      <c r="Q895" s="89"/>
      <c r="R895" s="89"/>
      <c r="S895" s="246"/>
      <c r="T895" s="246"/>
      <c r="U895" s="246"/>
      <c r="V895" s="89"/>
      <c r="W895" s="246"/>
    </row>
    <row r="896" spans="2:23" ht="15.75" customHeight="1">
      <c r="B896" s="216"/>
      <c r="C896" s="89"/>
      <c r="D896" s="89"/>
      <c r="E896" s="89"/>
      <c r="F896" s="89"/>
      <c r="G896" s="89"/>
      <c r="H896" s="246"/>
      <c r="I896" s="246"/>
      <c r="J896" s="246"/>
      <c r="K896" s="216"/>
      <c r="L896" s="246"/>
      <c r="M896" s="89"/>
      <c r="N896" s="89"/>
      <c r="O896" s="89"/>
      <c r="P896" s="89"/>
      <c r="Q896" s="89"/>
      <c r="R896" s="89"/>
      <c r="S896" s="246"/>
      <c r="T896" s="246"/>
      <c r="U896" s="246"/>
      <c r="V896" s="89"/>
      <c r="W896" s="246"/>
    </row>
    <row r="897" spans="2:23" ht="15.75" customHeight="1">
      <c r="B897" s="216"/>
      <c r="C897" s="89"/>
      <c r="D897" s="89"/>
      <c r="E897" s="89"/>
      <c r="F897" s="89"/>
      <c r="G897" s="89"/>
      <c r="H897" s="246"/>
      <c r="I897" s="246"/>
      <c r="J897" s="246"/>
      <c r="K897" s="216"/>
      <c r="L897" s="246"/>
      <c r="M897" s="89"/>
      <c r="N897" s="89"/>
      <c r="O897" s="89"/>
      <c r="P897" s="89"/>
      <c r="Q897" s="89"/>
      <c r="R897" s="89"/>
      <c r="S897" s="246"/>
      <c r="T897" s="246"/>
      <c r="U897" s="246"/>
      <c r="V897" s="89"/>
      <c r="W897" s="246"/>
    </row>
    <row r="898" spans="2:23" ht="15.75" customHeight="1">
      <c r="B898" s="216"/>
      <c r="C898" s="89"/>
      <c r="D898" s="89"/>
      <c r="E898" s="89"/>
      <c r="F898" s="89"/>
      <c r="G898" s="89"/>
      <c r="H898" s="246"/>
      <c r="I898" s="246"/>
      <c r="J898" s="246"/>
      <c r="K898" s="216"/>
      <c r="L898" s="246"/>
      <c r="M898" s="89"/>
      <c r="N898" s="89"/>
      <c r="O898" s="89"/>
      <c r="P898" s="89"/>
      <c r="Q898" s="89"/>
      <c r="R898" s="89"/>
      <c r="S898" s="246"/>
      <c r="T898" s="246"/>
      <c r="U898" s="246"/>
      <c r="V898" s="89"/>
      <c r="W898" s="246"/>
    </row>
    <row r="899" spans="2:23" ht="15.75" customHeight="1">
      <c r="B899" s="216"/>
      <c r="C899" s="89"/>
      <c r="D899" s="89"/>
      <c r="E899" s="89"/>
      <c r="F899" s="89"/>
      <c r="G899" s="89"/>
      <c r="H899" s="246"/>
      <c r="I899" s="246"/>
      <c r="J899" s="246"/>
      <c r="K899" s="216"/>
      <c r="L899" s="246"/>
      <c r="M899" s="89"/>
      <c r="N899" s="89"/>
      <c r="O899" s="89"/>
      <c r="P899" s="89"/>
      <c r="Q899" s="89"/>
      <c r="R899" s="89"/>
      <c r="S899" s="246"/>
      <c r="T899" s="246"/>
      <c r="U899" s="246"/>
      <c r="V899" s="89"/>
      <c r="W899" s="246"/>
    </row>
    <row r="900" spans="2:23" ht="15.75" customHeight="1">
      <c r="B900" s="216"/>
      <c r="C900" s="89"/>
      <c r="D900" s="89"/>
      <c r="E900" s="89"/>
      <c r="F900" s="89"/>
      <c r="G900" s="89"/>
      <c r="H900" s="246"/>
      <c r="I900" s="246"/>
      <c r="J900" s="246"/>
      <c r="K900" s="216"/>
      <c r="L900" s="246"/>
      <c r="M900" s="89"/>
      <c r="N900" s="89"/>
      <c r="O900" s="89"/>
      <c r="P900" s="89"/>
      <c r="Q900" s="89"/>
      <c r="R900" s="89"/>
      <c r="S900" s="246"/>
      <c r="T900" s="246"/>
      <c r="U900" s="246"/>
      <c r="V900" s="89"/>
      <c r="W900" s="246"/>
    </row>
    <row r="901" spans="2:23" ht="15.75" customHeight="1">
      <c r="B901" s="216"/>
      <c r="C901" s="89"/>
      <c r="D901" s="89"/>
      <c r="E901" s="89"/>
      <c r="F901" s="89"/>
      <c r="G901" s="89"/>
      <c r="H901" s="246"/>
      <c r="I901" s="246"/>
      <c r="J901" s="246"/>
      <c r="K901" s="216"/>
      <c r="L901" s="246"/>
      <c r="M901" s="89"/>
      <c r="N901" s="89"/>
      <c r="O901" s="89"/>
      <c r="P901" s="89"/>
      <c r="Q901" s="89"/>
      <c r="R901" s="89"/>
      <c r="S901" s="246"/>
      <c r="T901" s="246"/>
      <c r="U901" s="246"/>
      <c r="V901" s="89"/>
      <c r="W901" s="246"/>
    </row>
    <row r="902" spans="2:23" ht="15.75" customHeight="1">
      <c r="B902" s="216"/>
      <c r="C902" s="89"/>
      <c r="D902" s="89"/>
      <c r="E902" s="89"/>
      <c r="F902" s="89"/>
      <c r="G902" s="89"/>
      <c r="H902" s="246"/>
      <c r="I902" s="246"/>
      <c r="J902" s="246"/>
      <c r="K902" s="216"/>
      <c r="L902" s="246"/>
      <c r="M902" s="89"/>
      <c r="N902" s="89"/>
      <c r="O902" s="89"/>
      <c r="P902" s="89"/>
      <c r="Q902" s="89"/>
      <c r="R902" s="89"/>
      <c r="S902" s="246"/>
      <c r="T902" s="246"/>
      <c r="U902" s="246"/>
      <c r="V902" s="89"/>
      <c r="W902" s="246"/>
    </row>
    <row r="903" spans="2:23" ht="15.75" customHeight="1">
      <c r="B903" s="216"/>
      <c r="C903" s="89"/>
      <c r="D903" s="89"/>
      <c r="E903" s="89"/>
      <c r="F903" s="89"/>
      <c r="G903" s="89"/>
      <c r="H903" s="246"/>
      <c r="I903" s="246"/>
      <c r="J903" s="246"/>
      <c r="K903" s="216"/>
      <c r="L903" s="246"/>
      <c r="M903" s="89"/>
      <c r="N903" s="89"/>
      <c r="O903" s="89"/>
      <c r="P903" s="89"/>
      <c r="Q903" s="89"/>
      <c r="R903" s="89"/>
      <c r="S903" s="246"/>
      <c r="T903" s="246"/>
      <c r="U903" s="246"/>
      <c r="V903" s="89"/>
      <c r="W903" s="246"/>
    </row>
    <row r="904" spans="2:23" ht="15.75" customHeight="1">
      <c r="B904" s="216"/>
      <c r="C904" s="89"/>
      <c r="D904" s="89"/>
      <c r="E904" s="89"/>
      <c r="F904" s="89"/>
      <c r="G904" s="89"/>
      <c r="H904" s="246"/>
      <c r="I904" s="246"/>
      <c r="J904" s="246"/>
      <c r="K904" s="216"/>
      <c r="L904" s="246"/>
      <c r="M904" s="89"/>
      <c r="N904" s="89"/>
      <c r="O904" s="89"/>
      <c r="P904" s="89"/>
      <c r="Q904" s="89"/>
      <c r="R904" s="89"/>
      <c r="S904" s="246"/>
      <c r="T904" s="246"/>
      <c r="U904" s="246"/>
      <c r="V904" s="89"/>
      <c r="W904" s="246"/>
    </row>
    <row r="905" spans="2:23" ht="15.75" customHeight="1">
      <c r="B905" s="216"/>
      <c r="C905" s="89"/>
      <c r="D905" s="89"/>
      <c r="E905" s="89"/>
      <c r="F905" s="89"/>
      <c r="G905" s="89"/>
      <c r="H905" s="246"/>
      <c r="I905" s="246"/>
      <c r="J905" s="246"/>
      <c r="K905" s="216"/>
      <c r="L905" s="246"/>
      <c r="M905" s="89"/>
      <c r="N905" s="89"/>
      <c r="O905" s="89"/>
      <c r="P905" s="89"/>
      <c r="Q905" s="89"/>
      <c r="R905" s="89"/>
      <c r="S905" s="246"/>
      <c r="T905" s="246"/>
      <c r="U905" s="246"/>
      <c r="V905" s="89"/>
      <c r="W905" s="246"/>
    </row>
    <row r="906" spans="2:23" ht="15.75" customHeight="1">
      <c r="B906" s="216"/>
      <c r="C906" s="89"/>
      <c r="D906" s="89"/>
      <c r="E906" s="89"/>
      <c r="F906" s="89"/>
      <c r="G906" s="89"/>
      <c r="H906" s="246"/>
      <c r="I906" s="246"/>
      <c r="J906" s="246"/>
      <c r="K906" s="216"/>
      <c r="L906" s="246"/>
      <c r="M906" s="89"/>
      <c r="N906" s="89"/>
      <c r="O906" s="89"/>
      <c r="P906" s="89"/>
      <c r="Q906" s="89"/>
      <c r="R906" s="89"/>
      <c r="S906" s="246"/>
      <c r="T906" s="246"/>
      <c r="U906" s="246"/>
      <c r="V906" s="89"/>
      <c r="W906" s="246"/>
    </row>
    <row r="907" spans="2:23" ht="15.75" customHeight="1">
      <c r="B907" s="216"/>
      <c r="C907" s="89"/>
      <c r="D907" s="89"/>
      <c r="E907" s="89"/>
      <c r="F907" s="89"/>
      <c r="G907" s="89"/>
      <c r="H907" s="246"/>
      <c r="I907" s="246"/>
      <c r="J907" s="246"/>
      <c r="K907" s="216"/>
      <c r="L907" s="246"/>
      <c r="M907" s="89"/>
      <c r="N907" s="89"/>
      <c r="O907" s="89"/>
      <c r="P907" s="89"/>
      <c r="Q907" s="89"/>
      <c r="R907" s="89"/>
      <c r="S907" s="246"/>
      <c r="T907" s="246"/>
      <c r="U907" s="246"/>
      <c r="V907" s="89"/>
      <c r="W907" s="246"/>
    </row>
    <row r="908" spans="2:23" ht="15.75" customHeight="1">
      <c r="B908" s="216"/>
      <c r="C908" s="89"/>
      <c r="D908" s="89"/>
      <c r="E908" s="89"/>
      <c r="F908" s="89"/>
      <c r="G908" s="89"/>
      <c r="H908" s="246"/>
      <c r="I908" s="246"/>
      <c r="J908" s="246"/>
      <c r="K908" s="216"/>
      <c r="L908" s="246"/>
      <c r="M908" s="89"/>
      <c r="N908" s="89"/>
      <c r="O908" s="89"/>
      <c r="P908" s="89"/>
      <c r="Q908" s="89"/>
      <c r="R908" s="89"/>
      <c r="S908" s="246"/>
      <c r="T908" s="246"/>
      <c r="U908" s="246"/>
      <c r="V908" s="89"/>
      <c r="W908" s="246"/>
    </row>
    <row r="909" spans="2:23" ht="15.75" customHeight="1">
      <c r="B909" s="216"/>
      <c r="C909" s="89"/>
      <c r="D909" s="89"/>
      <c r="E909" s="89"/>
      <c r="F909" s="89"/>
      <c r="G909" s="89"/>
      <c r="H909" s="246"/>
      <c r="I909" s="246"/>
      <c r="J909" s="246"/>
      <c r="K909" s="216"/>
      <c r="L909" s="246"/>
      <c r="M909" s="89"/>
      <c r="N909" s="89"/>
      <c r="O909" s="89"/>
      <c r="P909" s="89"/>
      <c r="Q909" s="89"/>
      <c r="R909" s="89"/>
      <c r="S909" s="246"/>
      <c r="T909" s="246"/>
      <c r="U909" s="246"/>
      <c r="V909" s="89"/>
      <c r="W909" s="246"/>
    </row>
    <row r="910" spans="2:23" ht="15.75" customHeight="1">
      <c r="B910" s="216"/>
      <c r="C910" s="89"/>
      <c r="D910" s="89"/>
      <c r="E910" s="89"/>
      <c r="F910" s="89"/>
      <c r="G910" s="89"/>
      <c r="H910" s="246"/>
      <c r="I910" s="246"/>
      <c r="J910" s="246"/>
      <c r="K910" s="216"/>
      <c r="L910" s="246"/>
      <c r="M910" s="89"/>
      <c r="N910" s="89"/>
      <c r="O910" s="89"/>
      <c r="P910" s="89"/>
      <c r="Q910" s="89"/>
      <c r="R910" s="89"/>
      <c r="S910" s="246"/>
      <c r="T910" s="246"/>
      <c r="U910" s="246"/>
      <c r="V910" s="89"/>
      <c r="W910" s="246"/>
    </row>
    <row r="911" spans="2:23" ht="15.75" customHeight="1">
      <c r="B911" s="216"/>
      <c r="C911" s="89"/>
      <c r="D911" s="89"/>
      <c r="E911" s="89"/>
      <c r="F911" s="89"/>
      <c r="G911" s="89"/>
      <c r="H911" s="246"/>
      <c r="I911" s="246"/>
      <c r="J911" s="246"/>
      <c r="K911" s="216"/>
      <c r="L911" s="246"/>
      <c r="M911" s="89"/>
      <c r="N911" s="89"/>
      <c r="O911" s="89"/>
      <c r="P911" s="89"/>
      <c r="Q911" s="89"/>
      <c r="R911" s="89"/>
      <c r="S911" s="246"/>
      <c r="T911" s="246"/>
      <c r="U911" s="246"/>
      <c r="V911" s="89"/>
      <c r="W911" s="246"/>
    </row>
    <row r="912" spans="2:23" ht="15.75" customHeight="1">
      <c r="B912" s="216"/>
      <c r="C912" s="89"/>
      <c r="D912" s="89"/>
      <c r="E912" s="89"/>
      <c r="F912" s="89"/>
      <c r="G912" s="89"/>
      <c r="H912" s="246"/>
      <c r="I912" s="246"/>
      <c r="J912" s="246"/>
      <c r="K912" s="216"/>
      <c r="L912" s="246"/>
      <c r="M912" s="89"/>
      <c r="N912" s="89"/>
      <c r="O912" s="89"/>
      <c r="P912" s="89"/>
      <c r="Q912" s="89"/>
      <c r="R912" s="89"/>
      <c r="S912" s="246"/>
      <c r="T912" s="246"/>
      <c r="U912" s="246"/>
      <c r="V912" s="89"/>
      <c r="W912" s="246"/>
    </row>
    <row r="913" spans="2:23" ht="15.75" customHeight="1">
      <c r="B913" s="216"/>
      <c r="C913" s="89"/>
      <c r="D913" s="89"/>
      <c r="E913" s="89"/>
      <c r="F913" s="89"/>
      <c r="G913" s="89"/>
      <c r="H913" s="246"/>
      <c r="I913" s="246"/>
      <c r="J913" s="246"/>
      <c r="K913" s="216"/>
      <c r="L913" s="246"/>
      <c r="M913" s="89"/>
      <c r="N913" s="89"/>
      <c r="O913" s="89"/>
      <c r="P913" s="89"/>
      <c r="Q913" s="89"/>
      <c r="R913" s="89"/>
      <c r="S913" s="246"/>
      <c r="T913" s="246"/>
      <c r="U913" s="246"/>
      <c r="V913" s="89"/>
      <c r="W913" s="246"/>
    </row>
    <row r="914" spans="2:23" ht="15.75" customHeight="1">
      <c r="B914" s="216"/>
      <c r="C914" s="89"/>
      <c r="D914" s="89"/>
      <c r="E914" s="89"/>
      <c r="F914" s="89"/>
      <c r="G914" s="89"/>
      <c r="H914" s="246"/>
      <c r="I914" s="246"/>
      <c r="J914" s="246"/>
      <c r="K914" s="216"/>
      <c r="L914" s="246"/>
      <c r="M914" s="89"/>
      <c r="N914" s="89"/>
      <c r="O914" s="89"/>
      <c r="P914" s="89"/>
      <c r="Q914" s="89"/>
      <c r="R914" s="89"/>
      <c r="S914" s="246"/>
      <c r="T914" s="246"/>
      <c r="U914" s="246"/>
      <c r="V914" s="89"/>
      <c r="W914" s="246"/>
    </row>
    <row r="915" spans="2:23" ht="15.75" customHeight="1">
      <c r="B915" s="216"/>
      <c r="C915" s="89"/>
      <c r="D915" s="89"/>
      <c r="E915" s="89"/>
      <c r="F915" s="89"/>
      <c r="G915" s="89"/>
      <c r="H915" s="246"/>
      <c r="I915" s="246"/>
      <c r="J915" s="246"/>
      <c r="K915" s="216"/>
      <c r="L915" s="246"/>
      <c r="M915" s="89"/>
      <c r="N915" s="89"/>
      <c r="O915" s="89"/>
      <c r="P915" s="89"/>
      <c r="Q915" s="89"/>
      <c r="R915" s="89"/>
      <c r="S915" s="246"/>
      <c r="T915" s="246"/>
      <c r="U915" s="246"/>
      <c r="V915" s="89"/>
      <c r="W915" s="246"/>
    </row>
    <row r="916" spans="2:23" ht="15.75" customHeight="1">
      <c r="B916" s="216"/>
      <c r="C916" s="89"/>
      <c r="D916" s="89"/>
      <c r="E916" s="89"/>
      <c r="F916" s="89"/>
      <c r="G916" s="89"/>
      <c r="H916" s="246"/>
      <c r="I916" s="246"/>
      <c r="J916" s="246"/>
      <c r="K916" s="216"/>
      <c r="L916" s="246"/>
      <c r="M916" s="89"/>
      <c r="N916" s="89"/>
      <c r="O916" s="89"/>
      <c r="P916" s="89"/>
      <c r="Q916" s="89"/>
      <c r="R916" s="89"/>
      <c r="S916" s="246"/>
      <c r="T916" s="246"/>
      <c r="U916" s="246"/>
      <c r="V916" s="89"/>
      <c r="W916" s="246"/>
    </row>
    <row r="917" spans="2:23" ht="15.75" customHeight="1">
      <c r="B917" s="216"/>
      <c r="C917" s="89"/>
      <c r="D917" s="89"/>
      <c r="E917" s="89"/>
      <c r="F917" s="89"/>
      <c r="G917" s="89"/>
      <c r="H917" s="246"/>
      <c r="I917" s="246"/>
      <c r="J917" s="246"/>
      <c r="K917" s="216"/>
      <c r="L917" s="246"/>
      <c r="M917" s="89"/>
      <c r="N917" s="89"/>
      <c r="O917" s="89"/>
      <c r="P917" s="89"/>
      <c r="Q917" s="89"/>
      <c r="R917" s="89"/>
      <c r="S917" s="246"/>
      <c r="T917" s="246"/>
      <c r="U917" s="246"/>
      <c r="V917" s="89"/>
      <c r="W917" s="246"/>
    </row>
    <row r="918" spans="2:23" ht="15.75" customHeight="1">
      <c r="B918" s="216"/>
      <c r="C918" s="89"/>
      <c r="D918" s="89"/>
      <c r="E918" s="89"/>
      <c r="F918" s="89"/>
      <c r="G918" s="89"/>
      <c r="H918" s="246"/>
      <c r="I918" s="246"/>
      <c r="J918" s="246"/>
      <c r="K918" s="216"/>
      <c r="L918" s="246"/>
      <c r="M918" s="89"/>
      <c r="N918" s="89"/>
      <c r="O918" s="89"/>
      <c r="P918" s="89"/>
      <c r="Q918" s="89"/>
      <c r="R918" s="89"/>
      <c r="S918" s="246"/>
      <c r="T918" s="246"/>
      <c r="U918" s="246"/>
      <c r="V918" s="89"/>
      <c r="W918" s="246"/>
    </row>
    <row r="919" spans="2:23" ht="15.75" customHeight="1">
      <c r="B919" s="216"/>
      <c r="C919" s="89"/>
      <c r="D919" s="89"/>
      <c r="E919" s="89"/>
      <c r="F919" s="89"/>
      <c r="G919" s="89"/>
      <c r="H919" s="246"/>
      <c r="I919" s="246"/>
      <c r="J919" s="246"/>
      <c r="K919" s="216"/>
      <c r="L919" s="246"/>
      <c r="M919" s="89"/>
      <c r="N919" s="89"/>
      <c r="O919" s="89"/>
      <c r="P919" s="89"/>
      <c r="Q919" s="89"/>
      <c r="R919" s="89"/>
      <c r="S919" s="246"/>
      <c r="T919" s="246"/>
      <c r="U919" s="246"/>
      <c r="V919" s="89"/>
      <c r="W919" s="246"/>
    </row>
    <row r="920" spans="2:23" ht="15.75" customHeight="1">
      <c r="B920" s="216"/>
      <c r="C920" s="89"/>
      <c r="D920" s="89"/>
      <c r="E920" s="89"/>
      <c r="F920" s="89"/>
      <c r="G920" s="89"/>
      <c r="H920" s="246"/>
      <c r="I920" s="246"/>
      <c r="J920" s="246"/>
      <c r="K920" s="216"/>
      <c r="L920" s="246"/>
      <c r="M920" s="89"/>
      <c r="N920" s="89"/>
      <c r="O920" s="89"/>
      <c r="P920" s="89"/>
      <c r="Q920" s="89"/>
      <c r="R920" s="89"/>
      <c r="S920" s="246"/>
      <c r="T920" s="246"/>
      <c r="U920" s="246"/>
      <c r="V920" s="89"/>
      <c r="W920" s="246"/>
    </row>
    <row r="921" spans="2:23" ht="15.75" customHeight="1">
      <c r="B921" s="216"/>
      <c r="C921" s="89"/>
      <c r="D921" s="89"/>
      <c r="E921" s="89"/>
      <c r="F921" s="89"/>
      <c r="G921" s="89"/>
      <c r="H921" s="246"/>
      <c r="I921" s="246"/>
      <c r="J921" s="246"/>
      <c r="K921" s="216"/>
      <c r="L921" s="246"/>
      <c r="M921" s="89"/>
      <c r="N921" s="89"/>
      <c r="O921" s="89"/>
      <c r="P921" s="89"/>
      <c r="Q921" s="89"/>
      <c r="R921" s="89"/>
      <c r="S921" s="246"/>
      <c r="T921" s="246"/>
      <c r="U921" s="246"/>
      <c r="V921" s="89"/>
      <c r="W921" s="246"/>
    </row>
    <row r="922" spans="2:23" ht="15.75" customHeight="1">
      <c r="B922" s="216"/>
      <c r="C922" s="89"/>
      <c r="D922" s="89"/>
      <c r="E922" s="89"/>
      <c r="F922" s="89"/>
      <c r="G922" s="89"/>
      <c r="H922" s="246"/>
      <c r="I922" s="246"/>
      <c r="J922" s="246"/>
      <c r="K922" s="216"/>
      <c r="L922" s="246"/>
      <c r="M922" s="89"/>
      <c r="N922" s="89"/>
      <c r="O922" s="89"/>
      <c r="P922" s="89"/>
      <c r="Q922" s="89"/>
      <c r="R922" s="89"/>
      <c r="S922" s="246"/>
      <c r="T922" s="246"/>
      <c r="U922" s="246"/>
      <c r="V922" s="89"/>
      <c r="W922" s="246"/>
    </row>
    <row r="923" spans="2:23" ht="15.75" customHeight="1">
      <c r="B923" s="216"/>
      <c r="C923" s="89"/>
      <c r="D923" s="89"/>
      <c r="E923" s="89"/>
      <c r="F923" s="89"/>
      <c r="G923" s="89"/>
      <c r="H923" s="246"/>
      <c r="I923" s="246"/>
      <c r="J923" s="246"/>
      <c r="K923" s="216"/>
      <c r="L923" s="246"/>
      <c r="M923" s="89"/>
      <c r="N923" s="89"/>
      <c r="O923" s="89"/>
      <c r="P923" s="89"/>
      <c r="Q923" s="89"/>
      <c r="R923" s="89"/>
      <c r="S923" s="246"/>
      <c r="T923" s="246"/>
      <c r="U923" s="246"/>
      <c r="V923" s="89"/>
      <c r="W923" s="246"/>
    </row>
    <row r="924" spans="2:23" ht="15.75" customHeight="1">
      <c r="B924" s="216"/>
      <c r="C924" s="89"/>
      <c r="D924" s="89"/>
      <c r="E924" s="89"/>
      <c r="F924" s="89"/>
      <c r="G924" s="89"/>
      <c r="H924" s="246"/>
      <c r="I924" s="246"/>
      <c r="J924" s="246"/>
      <c r="K924" s="216"/>
      <c r="L924" s="246"/>
      <c r="M924" s="89"/>
      <c r="N924" s="89"/>
      <c r="O924" s="89"/>
      <c r="P924" s="89"/>
      <c r="Q924" s="89"/>
      <c r="R924" s="89"/>
      <c r="S924" s="246"/>
      <c r="T924" s="246"/>
      <c r="U924" s="246"/>
      <c r="V924" s="89"/>
      <c r="W924" s="246"/>
    </row>
    <row r="925" spans="2:23" ht="15.75" customHeight="1">
      <c r="B925" s="216"/>
      <c r="C925" s="89"/>
      <c r="D925" s="89"/>
      <c r="E925" s="89"/>
      <c r="F925" s="89"/>
      <c r="G925" s="89"/>
      <c r="H925" s="246"/>
      <c r="I925" s="246"/>
      <c r="J925" s="246"/>
      <c r="K925" s="216"/>
      <c r="L925" s="246"/>
      <c r="M925" s="89"/>
      <c r="N925" s="89"/>
      <c r="O925" s="89"/>
      <c r="P925" s="89"/>
      <c r="Q925" s="89"/>
      <c r="R925" s="89"/>
      <c r="S925" s="246"/>
      <c r="T925" s="246"/>
      <c r="U925" s="246"/>
      <c r="V925" s="89"/>
      <c r="W925" s="246"/>
    </row>
    <row r="926" spans="2:23" ht="15.75" customHeight="1">
      <c r="B926" s="216"/>
      <c r="C926" s="89"/>
      <c r="D926" s="89"/>
      <c r="E926" s="89"/>
      <c r="F926" s="89"/>
      <c r="G926" s="89"/>
      <c r="H926" s="246"/>
      <c r="I926" s="246"/>
      <c r="J926" s="246"/>
      <c r="K926" s="216"/>
      <c r="L926" s="246"/>
      <c r="M926" s="89"/>
      <c r="N926" s="89"/>
      <c r="O926" s="89"/>
      <c r="P926" s="89"/>
      <c r="Q926" s="89"/>
      <c r="R926" s="89"/>
      <c r="S926" s="246"/>
      <c r="T926" s="246"/>
      <c r="U926" s="246"/>
      <c r="V926" s="89"/>
      <c r="W926" s="246"/>
    </row>
    <row r="927" spans="2:23" ht="15.75" customHeight="1">
      <c r="B927" s="216"/>
      <c r="C927" s="89"/>
      <c r="D927" s="89"/>
      <c r="E927" s="89"/>
      <c r="F927" s="89"/>
      <c r="G927" s="89"/>
      <c r="H927" s="246"/>
      <c r="I927" s="246"/>
      <c r="J927" s="246"/>
      <c r="K927" s="216"/>
      <c r="L927" s="246"/>
      <c r="M927" s="89"/>
      <c r="N927" s="89"/>
      <c r="O927" s="89"/>
      <c r="P927" s="89"/>
      <c r="Q927" s="89"/>
      <c r="R927" s="89"/>
      <c r="S927" s="246"/>
      <c r="T927" s="246"/>
      <c r="U927" s="246"/>
      <c r="V927" s="89"/>
      <c r="W927" s="246"/>
    </row>
    <row r="928" spans="2:23" ht="15.75" customHeight="1">
      <c r="B928" s="216"/>
      <c r="C928" s="89"/>
      <c r="D928" s="89"/>
      <c r="E928" s="89"/>
      <c r="F928" s="89"/>
      <c r="G928" s="89"/>
      <c r="H928" s="246"/>
      <c r="I928" s="246"/>
      <c r="J928" s="246"/>
      <c r="K928" s="216"/>
      <c r="L928" s="246"/>
      <c r="M928" s="89"/>
      <c r="N928" s="89"/>
      <c r="O928" s="89"/>
      <c r="P928" s="89"/>
      <c r="Q928" s="89"/>
      <c r="R928" s="89"/>
      <c r="S928" s="246"/>
      <c r="T928" s="246"/>
      <c r="U928" s="246"/>
      <c r="V928" s="89"/>
      <c r="W928" s="246"/>
    </row>
    <row r="929" spans="2:23" ht="15.75" customHeight="1">
      <c r="B929" s="216"/>
      <c r="C929" s="89"/>
      <c r="D929" s="89"/>
      <c r="E929" s="89"/>
      <c r="F929" s="89"/>
      <c r="G929" s="89"/>
      <c r="H929" s="246"/>
      <c r="I929" s="246"/>
      <c r="J929" s="246"/>
      <c r="K929" s="216"/>
      <c r="L929" s="246"/>
      <c r="M929" s="89"/>
      <c r="N929" s="89"/>
      <c r="O929" s="89"/>
      <c r="P929" s="89"/>
      <c r="Q929" s="89"/>
      <c r="R929" s="89"/>
      <c r="S929" s="246"/>
      <c r="T929" s="246"/>
      <c r="U929" s="246"/>
      <c r="V929" s="89"/>
      <c r="W929" s="246"/>
    </row>
    <row r="930" spans="2:23" ht="15.75" customHeight="1">
      <c r="B930" s="216"/>
      <c r="C930" s="89"/>
      <c r="D930" s="89"/>
      <c r="E930" s="89"/>
      <c r="F930" s="89"/>
      <c r="G930" s="89"/>
      <c r="H930" s="246"/>
      <c r="I930" s="246"/>
      <c r="J930" s="246"/>
      <c r="K930" s="216"/>
      <c r="L930" s="246"/>
      <c r="M930" s="89"/>
      <c r="N930" s="89"/>
      <c r="O930" s="89"/>
      <c r="P930" s="89"/>
      <c r="Q930" s="89"/>
      <c r="R930" s="89"/>
      <c r="S930" s="246"/>
      <c r="T930" s="246"/>
      <c r="U930" s="246"/>
      <c r="V930" s="89"/>
      <c r="W930" s="246"/>
    </row>
    <row r="931" spans="2:23" ht="15.75" customHeight="1">
      <c r="B931" s="216"/>
      <c r="C931" s="89"/>
      <c r="D931" s="89"/>
      <c r="E931" s="89"/>
      <c r="F931" s="89"/>
      <c r="G931" s="89"/>
      <c r="H931" s="246"/>
      <c r="I931" s="246"/>
      <c r="J931" s="246"/>
      <c r="K931" s="216"/>
      <c r="L931" s="246"/>
      <c r="M931" s="89"/>
      <c r="N931" s="89"/>
      <c r="O931" s="89"/>
      <c r="P931" s="89"/>
      <c r="Q931" s="89"/>
      <c r="R931" s="89"/>
      <c r="S931" s="246"/>
      <c r="T931" s="246"/>
      <c r="U931" s="246"/>
      <c r="V931" s="89"/>
      <c r="W931" s="246"/>
    </row>
    <row r="932" spans="2:23" ht="15.75" customHeight="1">
      <c r="B932" s="216"/>
      <c r="C932" s="89"/>
      <c r="D932" s="89"/>
      <c r="E932" s="89"/>
      <c r="F932" s="89"/>
      <c r="G932" s="89"/>
      <c r="H932" s="246"/>
      <c r="I932" s="246"/>
      <c r="J932" s="246"/>
      <c r="K932" s="216"/>
      <c r="L932" s="246"/>
      <c r="M932" s="89"/>
      <c r="N932" s="89"/>
      <c r="O932" s="89"/>
      <c r="P932" s="89"/>
      <c r="Q932" s="89"/>
      <c r="R932" s="89"/>
      <c r="S932" s="246"/>
      <c r="T932" s="246"/>
      <c r="U932" s="246"/>
      <c r="V932" s="89"/>
      <c r="W932" s="246"/>
    </row>
    <row r="933" spans="2:23" ht="15.75" customHeight="1">
      <c r="B933" s="216"/>
      <c r="C933" s="89"/>
      <c r="D933" s="89"/>
      <c r="E933" s="89"/>
      <c r="F933" s="89"/>
      <c r="G933" s="89"/>
      <c r="H933" s="246"/>
      <c r="I933" s="246"/>
      <c r="J933" s="246"/>
      <c r="K933" s="216"/>
      <c r="L933" s="246"/>
      <c r="M933" s="89"/>
      <c r="N933" s="89"/>
      <c r="O933" s="89"/>
      <c r="P933" s="89"/>
      <c r="Q933" s="89"/>
      <c r="R933" s="89"/>
      <c r="S933" s="246"/>
      <c r="T933" s="246"/>
      <c r="U933" s="246"/>
      <c r="V933" s="89"/>
      <c r="W933" s="246"/>
    </row>
    <row r="934" spans="2:23" ht="15.75" customHeight="1">
      <c r="B934" s="216"/>
      <c r="C934" s="89"/>
      <c r="D934" s="89"/>
      <c r="E934" s="89"/>
      <c r="F934" s="89"/>
      <c r="G934" s="89"/>
      <c r="H934" s="246"/>
      <c r="I934" s="246"/>
      <c r="J934" s="246"/>
      <c r="K934" s="216"/>
      <c r="L934" s="246"/>
      <c r="M934" s="89"/>
      <c r="N934" s="89"/>
      <c r="O934" s="89"/>
      <c r="P934" s="89"/>
      <c r="Q934" s="89"/>
      <c r="R934" s="89"/>
      <c r="S934" s="246"/>
      <c r="T934" s="246"/>
      <c r="U934" s="246"/>
      <c r="V934" s="89"/>
      <c r="W934" s="246"/>
    </row>
    <row r="935" spans="2:23" ht="15.75" customHeight="1">
      <c r="B935" s="216"/>
      <c r="C935" s="89"/>
      <c r="D935" s="89"/>
      <c r="E935" s="89"/>
      <c r="F935" s="89"/>
      <c r="G935" s="89"/>
      <c r="H935" s="246"/>
      <c r="I935" s="246"/>
      <c r="J935" s="246"/>
      <c r="K935" s="216"/>
      <c r="L935" s="246"/>
      <c r="M935" s="89"/>
      <c r="N935" s="89"/>
      <c r="O935" s="89"/>
      <c r="P935" s="89"/>
      <c r="Q935" s="89"/>
      <c r="R935" s="89"/>
      <c r="S935" s="246"/>
      <c r="T935" s="246"/>
      <c r="U935" s="246"/>
      <c r="V935" s="89"/>
      <c r="W935" s="246"/>
    </row>
    <row r="936" spans="2:23" ht="15.75" customHeight="1">
      <c r="B936" s="216"/>
      <c r="C936" s="89"/>
      <c r="D936" s="89"/>
      <c r="E936" s="89"/>
      <c r="F936" s="89"/>
      <c r="G936" s="89"/>
      <c r="H936" s="246"/>
      <c r="I936" s="246"/>
      <c r="J936" s="246"/>
      <c r="K936" s="216"/>
      <c r="L936" s="246"/>
      <c r="M936" s="89"/>
      <c r="N936" s="89"/>
      <c r="O936" s="89"/>
      <c r="P936" s="89"/>
      <c r="Q936" s="89"/>
      <c r="R936" s="89"/>
      <c r="S936" s="246"/>
      <c r="T936" s="246"/>
      <c r="U936" s="246"/>
      <c r="V936" s="89"/>
      <c r="W936" s="246"/>
    </row>
    <row r="937" spans="2:23" ht="15.75" customHeight="1">
      <c r="B937" s="216"/>
      <c r="C937" s="89"/>
      <c r="D937" s="89"/>
      <c r="E937" s="89"/>
      <c r="F937" s="89"/>
      <c r="G937" s="89"/>
      <c r="H937" s="246"/>
      <c r="I937" s="246"/>
      <c r="J937" s="246"/>
      <c r="K937" s="216"/>
      <c r="L937" s="246"/>
      <c r="M937" s="89"/>
      <c r="N937" s="89"/>
      <c r="O937" s="89"/>
      <c r="P937" s="89"/>
      <c r="Q937" s="89"/>
      <c r="R937" s="89"/>
      <c r="S937" s="246"/>
      <c r="T937" s="246"/>
      <c r="U937" s="246"/>
      <c r="V937" s="89"/>
      <c r="W937" s="246"/>
    </row>
    <row r="938" spans="2:23" ht="15.75" customHeight="1">
      <c r="B938" s="216"/>
      <c r="C938" s="89"/>
      <c r="D938" s="89"/>
      <c r="E938" s="89"/>
      <c r="F938" s="89"/>
      <c r="G938" s="89"/>
      <c r="H938" s="246"/>
      <c r="I938" s="246"/>
      <c r="J938" s="246"/>
      <c r="K938" s="216"/>
      <c r="L938" s="246"/>
      <c r="M938" s="89"/>
      <c r="N938" s="89"/>
      <c r="O938" s="89"/>
      <c r="P938" s="89"/>
      <c r="Q938" s="89"/>
      <c r="R938" s="89"/>
      <c r="S938" s="246"/>
      <c r="T938" s="246"/>
      <c r="U938" s="246"/>
      <c r="V938" s="89"/>
      <c r="W938" s="246"/>
    </row>
    <row r="939" spans="2:23" ht="15.75" customHeight="1">
      <c r="B939" s="216"/>
      <c r="C939" s="89"/>
      <c r="D939" s="89"/>
      <c r="E939" s="89"/>
      <c r="F939" s="89"/>
      <c r="G939" s="89"/>
      <c r="H939" s="246"/>
      <c r="I939" s="246"/>
      <c r="J939" s="246"/>
      <c r="K939" s="216"/>
      <c r="L939" s="246"/>
      <c r="M939" s="89"/>
      <c r="N939" s="89"/>
      <c r="O939" s="89"/>
      <c r="P939" s="89"/>
      <c r="Q939" s="89"/>
      <c r="R939" s="89"/>
      <c r="S939" s="246"/>
      <c r="T939" s="246"/>
      <c r="U939" s="246"/>
      <c r="V939" s="89"/>
      <c r="W939" s="246"/>
    </row>
    <row r="940" spans="2:23" ht="15.75" customHeight="1">
      <c r="B940" s="216"/>
      <c r="C940" s="89"/>
      <c r="D940" s="89"/>
      <c r="E940" s="89"/>
      <c r="F940" s="89"/>
      <c r="G940" s="89"/>
      <c r="H940" s="246"/>
      <c r="I940" s="246"/>
      <c r="J940" s="246"/>
      <c r="K940" s="216"/>
      <c r="L940" s="246"/>
      <c r="M940" s="89"/>
      <c r="N940" s="89"/>
      <c r="O940" s="89"/>
      <c r="P940" s="89"/>
      <c r="Q940" s="89"/>
      <c r="R940" s="89"/>
      <c r="S940" s="246"/>
      <c r="T940" s="246"/>
      <c r="U940" s="246"/>
      <c r="V940" s="89"/>
      <c r="W940" s="246"/>
    </row>
    <row r="941" spans="2:23" ht="15.75" customHeight="1">
      <c r="B941" s="216"/>
      <c r="C941" s="89"/>
      <c r="D941" s="89"/>
      <c r="E941" s="89"/>
      <c r="F941" s="89"/>
      <c r="G941" s="89"/>
      <c r="H941" s="246"/>
      <c r="I941" s="246"/>
      <c r="J941" s="246"/>
      <c r="K941" s="216"/>
      <c r="L941" s="246"/>
      <c r="M941" s="89"/>
      <c r="N941" s="89"/>
      <c r="O941" s="89"/>
      <c r="P941" s="89"/>
      <c r="Q941" s="89"/>
      <c r="R941" s="89"/>
      <c r="S941" s="246"/>
      <c r="T941" s="246"/>
      <c r="U941" s="246"/>
      <c r="V941" s="89"/>
      <c r="W941" s="246"/>
    </row>
    <row r="942" spans="2:23" ht="15.75" customHeight="1">
      <c r="B942" s="216"/>
      <c r="C942" s="89"/>
      <c r="D942" s="89"/>
      <c r="E942" s="89"/>
      <c r="F942" s="89"/>
      <c r="G942" s="89"/>
      <c r="H942" s="246"/>
      <c r="I942" s="246"/>
      <c r="J942" s="246"/>
      <c r="K942" s="216"/>
      <c r="L942" s="246"/>
      <c r="M942" s="89"/>
      <c r="N942" s="89"/>
      <c r="O942" s="89"/>
      <c r="P942" s="89"/>
      <c r="Q942" s="89"/>
      <c r="R942" s="89"/>
      <c r="S942" s="246"/>
      <c r="T942" s="246"/>
      <c r="U942" s="246"/>
      <c r="V942" s="89"/>
      <c r="W942" s="246"/>
    </row>
    <row r="943" spans="2:23" ht="15.75" customHeight="1">
      <c r="B943" s="216"/>
      <c r="C943" s="89"/>
      <c r="D943" s="89"/>
      <c r="E943" s="89"/>
      <c r="F943" s="89"/>
      <c r="G943" s="89"/>
      <c r="H943" s="246"/>
      <c r="I943" s="246"/>
      <c r="J943" s="246"/>
      <c r="K943" s="216"/>
      <c r="L943" s="246"/>
      <c r="M943" s="89"/>
      <c r="N943" s="89"/>
      <c r="O943" s="89"/>
      <c r="P943" s="89"/>
      <c r="Q943" s="89"/>
      <c r="R943" s="89"/>
      <c r="S943" s="246"/>
      <c r="T943" s="246"/>
      <c r="U943" s="246"/>
      <c r="V943" s="89"/>
      <c r="W943" s="246"/>
    </row>
    <row r="944" spans="2:23" ht="15.75" customHeight="1">
      <c r="B944" s="216"/>
      <c r="C944" s="89"/>
      <c r="D944" s="89"/>
      <c r="E944" s="89"/>
      <c r="F944" s="89"/>
      <c r="G944" s="89"/>
      <c r="H944" s="246"/>
      <c r="I944" s="246"/>
      <c r="J944" s="246"/>
      <c r="K944" s="216"/>
      <c r="L944" s="246"/>
      <c r="M944" s="89"/>
      <c r="N944" s="89"/>
      <c r="O944" s="89"/>
      <c r="P944" s="89"/>
      <c r="Q944" s="89"/>
      <c r="R944" s="89"/>
      <c r="S944" s="246"/>
      <c r="T944" s="246"/>
      <c r="U944" s="246"/>
      <c r="V944" s="89"/>
      <c r="W944" s="246"/>
    </row>
    <row r="945" spans="2:23" ht="15.75" customHeight="1">
      <c r="B945" s="216"/>
      <c r="C945" s="89"/>
      <c r="D945" s="89"/>
      <c r="E945" s="89"/>
      <c r="F945" s="89"/>
      <c r="G945" s="89"/>
      <c r="H945" s="246"/>
      <c r="I945" s="246"/>
      <c r="J945" s="246"/>
      <c r="K945" s="216"/>
      <c r="L945" s="246"/>
      <c r="M945" s="89"/>
      <c r="N945" s="89"/>
      <c r="O945" s="89"/>
      <c r="P945" s="89"/>
      <c r="Q945" s="89"/>
      <c r="R945" s="89"/>
      <c r="S945" s="246"/>
      <c r="T945" s="246"/>
      <c r="U945" s="246"/>
      <c r="V945" s="89"/>
      <c r="W945" s="246"/>
    </row>
    <row r="946" spans="2:23" ht="15.75" customHeight="1">
      <c r="B946" s="216"/>
      <c r="C946" s="89"/>
      <c r="D946" s="89"/>
      <c r="E946" s="89"/>
      <c r="F946" s="89"/>
      <c r="G946" s="89"/>
      <c r="H946" s="246"/>
      <c r="I946" s="246"/>
      <c r="J946" s="246"/>
      <c r="K946" s="216"/>
      <c r="L946" s="246"/>
      <c r="M946" s="89"/>
      <c r="N946" s="89"/>
      <c r="O946" s="89"/>
      <c r="P946" s="89"/>
      <c r="Q946" s="89"/>
      <c r="R946" s="89"/>
      <c r="S946" s="246"/>
      <c r="T946" s="246"/>
      <c r="U946" s="246"/>
      <c r="V946" s="89"/>
      <c r="W946" s="246"/>
    </row>
    <row r="947" spans="2:23" ht="15.75" customHeight="1">
      <c r="B947" s="216"/>
      <c r="C947" s="89"/>
      <c r="D947" s="89"/>
      <c r="E947" s="89"/>
      <c r="F947" s="89"/>
      <c r="G947" s="89"/>
      <c r="H947" s="246"/>
      <c r="I947" s="246"/>
      <c r="J947" s="246"/>
      <c r="K947" s="216"/>
      <c r="L947" s="246"/>
      <c r="M947" s="89"/>
      <c r="N947" s="89"/>
      <c r="O947" s="89"/>
      <c r="P947" s="89"/>
      <c r="Q947" s="89"/>
      <c r="R947" s="89"/>
      <c r="S947" s="246"/>
      <c r="T947" s="246"/>
      <c r="U947" s="246"/>
      <c r="V947" s="89"/>
      <c r="W947" s="246"/>
    </row>
    <row r="948" spans="2:23" ht="15.75" customHeight="1">
      <c r="B948" s="216"/>
      <c r="C948" s="89"/>
      <c r="D948" s="89"/>
      <c r="E948" s="89"/>
      <c r="F948" s="89"/>
      <c r="G948" s="89"/>
      <c r="H948" s="246"/>
      <c r="I948" s="246"/>
      <c r="J948" s="246"/>
      <c r="K948" s="216"/>
      <c r="L948" s="246"/>
      <c r="M948" s="89"/>
      <c r="N948" s="89"/>
      <c r="O948" s="89"/>
      <c r="P948" s="89"/>
      <c r="Q948" s="89"/>
      <c r="R948" s="89"/>
      <c r="S948" s="246"/>
      <c r="T948" s="246"/>
      <c r="U948" s="246"/>
      <c r="V948" s="89"/>
      <c r="W948" s="246"/>
    </row>
    <row r="949" spans="2:23" ht="15.75" customHeight="1">
      <c r="B949" s="216"/>
      <c r="C949" s="89"/>
      <c r="D949" s="89"/>
      <c r="E949" s="89"/>
      <c r="F949" s="89"/>
      <c r="G949" s="89"/>
      <c r="H949" s="246"/>
      <c r="I949" s="246"/>
      <c r="J949" s="246"/>
      <c r="K949" s="216"/>
      <c r="L949" s="246"/>
      <c r="M949" s="89"/>
      <c r="N949" s="89"/>
      <c r="O949" s="89"/>
      <c r="P949" s="89"/>
      <c r="Q949" s="89"/>
      <c r="R949" s="89"/>
      <c r="S949" s="246"/>
      <c r="T949" s="246"/>
      <c r="U949" s="246"/>
      <c r="V949" s="89"/>
      <c r="W949" s="246"/>
    </row>
    <row r="950" spans="2:23" ht="15.75" customHeight="1">
      <c r="B950" s="216"/>
      <c r="C950" s="89"/>
      <c r="D950" s="89"/>
      <c r="E950" s="89"/>
      <c r="F950" s="89"/>
      <c r="G950" s="89"/>
      <c r="H950" s="246"/>
      <c r="I950" s="246"/>
      <c r="J950" s="246"/>
      <c r="K950" s="216"/>
      <c r="L950" s="246"/>
      <c r="M950" s="89"/>
      <c r="N950" s="89"/>
      <c r="O950" s="89"/>
      <c r="P950" s="89"/>
      <c r="Q950" s="89"/>
      <c r="R950" s="89"/>
      <c r="S950" s="246"/>
      <c r="T950" s="246"/>
      <c r="U950" s="246"/>
      <c r="V950" s="89"/>
      <c r="W950" s="246"/>
    </row>
    <row r="951" spans="2:23" ht="15.75" customHeight="1">
      <c r="B951" s="216"/>
      <c r="C951" s="89"/>
      <c r="D951" s="89"/>
      <c r="E951" s="89"/>
      <c r="F951" s="89"/>
      <c r="G951" s="89"/>
      <c r="H951" s="246"/>
      <c r="I951" s="246"/>
      <c r="J951" s="246"/>
      <c r="K951" s="216"/>
      <c r="L951" s="246"/>
      <c r="M951" s="89"/>
      <c r="N951" s="89"/>
      <c r="O951" s="89"/>
      <c r="P951" s="89"/>
      <c r="Q951" s="89"/>
      <c r="R951" s="89"/>
      <c r="S951" s="246"/>
      <c r="T951" s="246"/>
      <c r="U951" s="246"/>
      <c r="V951" s="89"/>
      <c r="W951" s="246"/>
    </row>
    <row r="952" spans="2:23" ht="15.75" customHeight="1">
      <c r="B952" s="216"/>
      <c r="C952" s="89"/>
      <c r="D952" s="89"/>
      <c r="E952" s="89"/>
      <c r="F952" s="89"/>
      <c r="G952" s="89"/>
      <c r="H952" s="246"/>
      <c r="I952" s="246"/>
      <c r="J952" s="246"/>
      <c r="K952" s="216"/>
      <c r="L952" s="246"/>
      <c r="M952" s="89"/>
      <c r="N952" s="89"/>
      <c r="O952" s="89"/>
      <c r="P952" s="89"/>
      <c r="Q952" s="89"/>
      <c r="R952" s="89"/>
      <c r="S952" s="246"/>
      <c r="T952" s="246"/>
      <c r="U952" s="246"/>
      <c r="V952" s="89"/>
      <c r="W952" s="246"/>
    </row>
    <row r="953" spans="2:23" ht="15.75" customHeight="1">
      <c r="B953" s="216"/>
      <c r="C953" s="89"/>
      <c r="D953" s="89"/>
      <c r="E953" s="89"/>
      <c r="F953" s="89"/>
      <c r="G953" s="89"/>
      <c r="H953" s="246"/>
      <c r="I953" s="246"/>
      <c r="J953" s="246"/>
      <c r="K953" s="216"/>
      <c r="L953" s="246"/>
      <c r="M953" s="89"/>
      <c r="N953" s="89"/>
      <c r="O953" s="89"/>
      <c r="P953" s="89"/>
      <c r="Q953" s="89"/>
      <c r="R953" s="89"/>
      <c r="S953" s="246"/>
      <c r="T953" s="246"/>
      <c r="U953" s="246"/>
      <c r="V953" s="89"/>
      <c r="W953" s="246"/>
    </row>
    <row r="954" spans="2:23" ht="15.75" customHeight="1">
      <c r="B954" s="216"/>
      <c r="C954" s="89"/>
      <c r="D954" s="89"/>
      <c r="E954" s="89"/>
      <c r="F954" s="89"/>
      <c r="G954" s="89"/>
      <c r="H954" s="246"/>
      <c r="I954" s="246"/>
      <c r="J954" s="246"/>
      <c r="K954" s="216"/>
      <c r="L954" s="246"/>
      <c r="M954" s="89"/>
      <c r="N954" s="89"/>
      <c r="O954" s="89"/>
      <c r="P954" s="89"/>
      <c r="Q954" s="89"/>
      <c r="R954" s="89"/>
      <c r="S954" s="246"/>
      <c r="T954" s="246"/>
      <c r="U954" s="246"/>
      <c r="V954" s="89"/>
      <c r="W954" s="246"/>
    </row>
    <row r="955" spans="2:23" ht="15.75" customHeight="1">
      <c r="B955" s="216"/>
      <c r="C955" s="89"/>
      <c r="D955" s="89"/>
      <c r="E955" s="89"/>
      <c r="F955" s="89"/>
      <c r="G955" s="89"/>
      <c r="H955" s="246"/>
      <c r="I955" s="246"/>
      <c r="J955" s="246"/>
      <c r="K955" s="216"/>
      <c r="L955" s="246"/>
      <c r="M955" s="89"/>
      <c r="N955" s="89"/>
      <c r="O955" s="89"/>
      <c r="P955" s="89"/>
      <c r="Q955" s="89"/>
      <c r="R955" s="89"/>
      <c r="S955" s="246"/>
      <c r="T955" s="246"/>
      <c r="U955" s="246"/>
      <c r="V955" s="89"/>
      <c r="W955" s="246"/>
    </row>
    <row r="956" spans="2:23" ht="15.75" customHeight="1">
      <c r="B956" s="216"/>
      <c r="C956" s="89"/>
      <c r="D956" s="89"/>
      <c r="E956" s="89"/>
      <c r="F956" s="89"/>
      <c r="G956" s="89"/>
      <c r="H956" s="246"/>
      <c r="I956" s="246"/>
      <c r="J956" s="246"/>
      <c r="K956" s="216"/>
      <c r="L956" s="246"/>
      <c r="M956" s="89"/>
      <c r="N956" s="89"/>
      <c r="O956" s="89"/>
      <c r="P956" s="89"/>
      <c r="Q956" s="89"/>
      <c r="R956" s="89"/>
      <c r="S956" s="246"/>
      <c r="T956" s="246"/>
      <c r="U956" s="246"/>
      <c r="V956" s="89"/>
      <c r="W956" s="246"/>
    </row>
    <row r="957" spans="2:23" ht="15.75" customHeight="1">
      <c r="B957" s="216"/>
      <c r="C957" s="89"/>
      <c r="D957" s="89"/>
      <c r="E957" s="89"/>
      <c r="F957" s="89"/>
      <c r="G957" s="89"/>
      <c r="H957" s="246"/>
      <c r="I957" s="246"/>
      <c r="J957" s="246"/>
      <c r="K957" s="216"/>
      <c r="L957" s="246"/>
      <c r="M957" s="89"/>
      <c r="N957" s="89"/>
      <c r="O957" s="89"/>
      <c r="P957" s="89"/>
      <c r="Q957" s="89"/>
      <c r="R957" s="89"/>
      <c r="S957" s="246"/>
      <c r="T957" s="246"/>
      <c r="U957" s="246"/>
      <c r="V957" s="89"/>
      <c r="W957" s="246"/>
    </row>
    <row r="958" spans="2:23" ht="15.75" customHeight="1">
      <c r="B958" s="216"/>
      <c r="C958" s="89"/>
      <c r="D958" s="89"/>
      <c r="E958" s="89"/>
      <c r="F958" s="89"/>
      <c r="G958" s="89"/>
      <c r="H958" s="246"/>
      <c r="I958" s="246"/>
      <c r="J958" s="246"/>
      <c r="K958" s="216"/>
      <c r="L958" s="246"/>
      <c r="M958" s="89"/>
      <c r="N958" s="89"/>
      <c r="O958" s="89"/>
      <c r="P958" s="89"/>
      <c r="Q958" s="89"/>
      <c r="R958" s="89"/>
      <c r="S958" s="246"/>
      <c r="T958" s="246"/>
      <c r="U958" s="246"/>
      <c r="V958" s="89"/>
      <c r="W958" s="246"/>
    </row>
    <row r="959" spans="2:23" ht="15.75" customHeight="1">
      <c r="B959" s="216"/>
      <c r="C959" s="89"/>
      <c r="D959" s="89"/>
      <c r="E959" s="89"/>
      <c r="F959" s="89"/>
      <c r="G959" s="89"/>
      <c r="H959" s="246"/>
      <c r="I959" s="246"/>
      <c r="J959" s="246"/>
      <c r="K959" s="216"/>
      <c r="L959" s="246"/>
      <c r="M959" s="89"/>
      <c r="N959" s="89"/>
      <c r="O959" s="89"/>
      <c r="P959" s="89"/>
      <c r="Q959" s="89"/>
      <c r="R959" s="89"/>
      <c r="S959" s="246"/>
      <c r="T959" s="246"/>
      <c r="U959" s="246"/>
      <c r="V959" s="89"/>
      <c r="W959" s="246"/>
    </row>
    <row r="960" spans="2:23" ht="15.75" customHeight="1">
      <c r="B960" s="216"/>
      <c r="C960" s="89"/>
      <c r="D960" s="89"/>
      <c r="E960" s="89"/>
      <c r="F960" s="89"/>
      <c r="G960" s="89"/>
      <c r="H960" s="246"/>
      <c r="I960" s="246"/>
      <c r="J960" s="246"/>
      <c r="K960" s="216"/>
      <c r="L960" s="246"/>
      <c r="M960" s="89"/>
      <c r="N960" s="89"/>
      <c r="O960" s="89"/>
      <c r="P960" s="89"/>
      <c r="Q960" s="89"/>
      <c r="R960" s="89"/>
      <c r="S960" s="246"/>
      <c r="T960" s="246"/>
      <c r="U960" s="246"/>
      <c r="V960" s="89"/>
      <c r="W960" s="246"/>
    </row>
    <row r="961" spans="2:23" ht="15.75" customHeight="1">
      <c r="B961" s="216"/>
      <c r="C961" s="89"/>
      <c r="D961" s="89"/>
      <c r="E961" s="89"/>
      <c r="F961" s="89"/>
      <c r="G961" s="89"/>
      <c r="H961" s="246"/>
      <c r="I961" s="246"/>
      <c r="J961" s="246"/>
      <c r="K961" s="216"/>
      <c r="L961" s="246"/>
      <c r="M961" s="89"/>
      <c r="N961" s="89"/>
      <c r="O961" s="89"/>
      <c r="P961" s="89"/>
      <c r="Q961" s="89"/>
      <c r="R961" s="89"/>
      <c r="S961" s="246"/>
      <c r="T961" s="246"/>
      <c r="U961" s="246"/>
      <c r="V961" s="89"/>
      <c r="W961" s="246"/>
    </row>
    <row r="962" spans="2:23" ht="15.75" customHeight="1">
      <c r="B962" s="216"/>
      <c r="C962" s="89"/>
      <c r="D962" s="89"/>
      <c r="E962" s="89"/>
      <c r="F962" s="89"/>
      <c r="G962" s="89"/>
      <c r="H962" s="246"/>
      <c r="I962" s="246"/>
      <c r="J962" s="246"/>
      <c r="K962" s="216"/>
      <c r="L962" s="246"/>
      <c r="M962" s="89"/>
      <c r="N962" s="89"/>
      <c r="O962" s="89"/>
      <c r="P962" s="89"/>
      <c r="Q962" s="89"/>
      <c r="R962" s="89"/>
      <c r="S962" s="246"/>
      <c r="T962" s="246"/>
      <c r="U962" s="246"/>
      <c r="V962" s="89"/>
      <c r="W962" s="246"/>
    </row>
    <row r="963" spans="2:23" ht="15.75" customHeight="1">
      <c r="B963" s="216"/>
      <c r="C963" s="89"/>
      <c r="D963" s="89"/>
      <c r="E963" s="89"/>
      <c r="F963" s="89"/>
      <c r="G963" s="89"/>
      <c r="H963" s="246"/>
      <c r="I963" s="246"/>
      <c r="J963" s="246"/>
      <c r="K963" s="216"/>
      <c r="L963" s="246"/>
      <c r="M963" s="89"/>
      <c r="N963" s="89"/>
      <c r="O963" s="89"/>
      <c r="P963" s="89"/>
      <c r="Q963" s="89"/>
      <c r="R963" s="89"/>
      <c r="S963" s="246"/>
      <c r="T963" s="246"/>
      <c r="U963" s="246"/>
      <c r="V963" s="89"/>
      <c r="W963" s="246"/>
    </row>
    <row r="964" spans="2:23" ht="15.75" customHeight="1">
      <c r="B964" s="216"/>
      <c r="C964" s="89"/>
      <c r="D964" s="89"/>
      <c r="E964" s="89"/>
      <c r="F964" s="89"/>
      <c r="G964" s="89"/>
      <c r="H964" s="246"/>
      <c r="I964" s="246"/>
      <c r="J964" s="246"/>
      <c r="K964" s="216"/>
      <c r="L964" s="246"/>
      <c r="M964" s="89"/>
      <c r="N964" s="89"/>
      <c r="O964" s="89"/>
      <c r="P964" s="89"/>
      <c r="Q964" s="89"/>
      <c r="R964" s="89"/>
      <c r="S964" s="246"/>
      <c r="T964" s="246"/>
      <c r="U964" s="246"/>
      <c r="V964" s="89"/>
      <c r="W964" s="246"/>
    </row>
    <row r="965" spans="2:23" ht="15.75" customHeight="1">
      <c r="B965" s="216"/>
      <c r="C965" s="89"/>
      <c r="D965" s="89"/>
      <c r="E965" s="89"/>
      <c r="F965" s="89"/>
      <c r="G965" s="89"/>
      <c r="H965" s="246"/>
      <c r="I965" s="246"/>
      <c r="J965" s="246"/>
      <c r="K965" s="216"/>
      <c r="L965" s="246"/>
      <c r="M965" s="89"/>
      <c r="N965" s="89"/>
      <c r="O965" s="89"/>
      <c r="P965" s="89"/>
      <c r="Q965" s="89"/>
      <c r="R965" s="89"/>
      <c r="S965" s="246"/>
      <c r="T965" s="246"/>
      <c r="U965" s="246"/>
      <c r="V965" s="89"/>
      <c r="W965" s="246"/>
    </row>
    <row r="966" spans="2:23" ht="15.75" customHeight="1">
      <c r="B966" s="216"/>
      <c r="C966" s="89"/>
      <c r="D966" s="89"/>
      <c r="E966" s="89"/>
      <c r="F966" s="89"/>
      <c r="G966" s="89"/>
      <c r="H966" s="246"/>
      <c r="I966" s="246"/>
      <c r="J966" s="246"/>
      <c r="K966" s="216"/>
      <c r="L966" s="246"/>
      <c r="M966" s="89"/>
      <c r="N966" s="89"/>
      <c r="O966" s="89"/>
      <c r="P966" s="89"/>
      <c r="Q966" s="89"/>
      <c r="R966" s="89"/>
      <c r="S966" s="246"/>
      <c r="T966" s="246"/>
      <c r="U966" s="246"/>
      <c r="V966" s="89"/>
      <c r="W966" s="246"/>
    </row>
    <row r="967" spans="2:23" ht="15.75" customHeight="1">
      <c r="B967" s="216"/>
      <c r="C967" s="89"/>
      <c r="D967" s="89"/>
      <c r="E967" s="89"/>
      <c r="F967" s="89"/>
      <c r="G967" s="89"/>
      <c r="H967" s="246"/>
      <c r="I967" s="246"/>
      <c r="J967" s="246"/>
      <c r="K967" s="216"/>
      <c r="L967" s="246"/>
      <c r="M967" s="89"/>
      <c r="N967" s="89"/>
      <c r="O967" s="89"/>
      <c r="P967" s="89"/>
      <c r="Q967" s="89"/>
      <c r="R967" s="89"/>
      <c r="S967" s="246"/>
      <c r="T967" s="246"/>
      <c r="U967" s="246"/>
      <c r="V967" s="89"/>
      <c r="W967" s="246"/>
    </row>
    <row r="968" spans="2:23" ht="15.75" customHeight="1">
      <c r="B968" s="216"/>
      <c r="C968" s="89"/>
      <c r="D968" s="89"/>
      <c r="E968" s="89"/>
      <c r="F968" s="89"/>
      <c r="G968" s="89"/>
      <c r="H968" s="246"/>
      <c r="I968" s="246"/>
      <c r="J968" s="246"/>
      <c r="K968" s="216"/>
      <c r="L968" s="246"/>
      <c r="M968" s="89"/>
      <c r="N968" s="89"/>
      <c r="O968" s="89"/>
      <c r="P968" s="89"/>
      <c r="Q968" s="89"/>
      <c r="R968" s="89"/>
      <c r="S968" s="246"/>
      <c r="T968" s="246"/>
      <c r="U968" s="246"/>
      <c r="V968" s="89"/>
      <c r="W968" s="246"/>
    </row>
    <row r="969" spans="2:23" ht="15.75" customHeight="1">
      <c r="B969" s="216"/>
      <c r="C969" s="89"/>
      <c r="D969" s="89"/>
      <c r="E969" s="89"/>
      <c r="F969" s="89"/>
      <c r="G969" s="89"/>
      <c r="H969" s="246"/>
      <c r="I969" s="246"/>
      <c r="J969" s="246"/>
      <c r="K969" s="216"/>
      <c r="L969" s="246"/>
      <c r="M969" s="89"/>
      <c r="N969" s="89"/>
      <c r="O969" s="89"/>
      <c r="P969" s="89"/>
      <c r="Q969" s="89"/>
      <c r="R969" s="89"/>
      <c r="S969" s="246"/>
      <c r="T969" s="246"/>
      <c r="U969" s="246"/>
      <c r="V969" s="89"/>
      <c r="W969" s="246"/>
    </row>
    <row r="970" spans="2:23" ht="15.75" customHeight="1">
      <c r="B970" s="216"/>
      <c r="C970" s="89"/>
      <c r="D970" s="89"/>
      <c r="E970" s="89"/>
      <c r="F970" s="89"/>
      <c r="G970" s="89"/>
      <c r="H970" s="246"/>
      <c r="I970" s="246"/>
      <c r="J970" s="246"/>
      <c r="K970" s="216"/>
      <c r="L970" s="246"/>
      <c r="M970" s="89"/>
      <c r="N970" s="89"/>
      <c r="O970" s="89"/>
      <c r="P970" s="89"/>
      <c r="Q970" s="89"/>
      <c r="R970" s="89"/>
      <c r="S970" s="246"/>
      <c r="T970" s="246"/>
      <c r="U970" s="246"/>
      <c r="V970" s="89"/>
      <c r="W970" s="246"/>
    </row>
    <row r="971" spans="2:23" ht="15.75" customHeight="1">
      <c r="B971" s="216"/>
      <c r="C971" s="89"/>
      <c r="D971" s="89"/>
      <c r="E971" s="89"/>
      <c r="F971" s="89"/>
      <c r="G971" s="89"/>
      <c r="H971" s="246"/>
      <c r="I971" s="246"/>
      <c r="J971" s="246"/>
      <c r="K971" s="216"/>
      <c r="L971" s="246"/>
      <c r="M971" s="89"/>
      <c r="N971" s="89"/>
      <c r="O971" s="89"/>
      <c r="P971" s="89"/>
      <c r="Q971" s="89"/>
      <c r="R971" s="89"/>
      <c r="S971" s="246"/>
      <c r="T971" s="246"/>
      <c r="U971" s="246"/>
      <c r="V971" s="89"/>
      <c r="W971" s="246"/>
    </row>
    <row r="972" spans="2:23" ht="15.75" customHeight="1">
      <c r="B972" s="216"/>
      <c r="C972" s="89"/>
      <c r="D972" s="89"/>
      <c r="E972" s="89"/>
      <c r="F972" s="89"/>
      <c r="G972" s="89"/>
      <c r="H972" s="246"/>
      <c r="I972" s="246"/>
      <c r="J972" s="246"/>
      <c r="K972" s="216"/>
      <c r="L972" s="246"/>
      <c r="M972" s="89"/>
      <c r="N972" s="89"/>
      <c r="O972" s="89"/>
      <c r="P972" s="89"/>
      <c r="Q972" s="89"/>
      <c r="R972" s="89"/>
      <c r="S972" s="246"/>
      <c r="T972" s="246"/>
      <c r="U972" s="246"/>
      <c r="V972" s="89"/>
      <c r="W972" s="246"/>
    </row>
    <row r="973" spans="2:23" ht="15.75" customHeight="1">
      <c r="B973" s="216"/>
      <c r="C973" s="89"/>
      <c r="D973" s="89"/>
      <c r="E973" s="89"/>
      <c r="F973" s="89"/>
      <c r="G973" s="89"/>
      <c r="H973" s="246"/>
      <c r="I973" s="246"/>
      <c r="J973" s="246"/>
      <c r="K973" s="216"/>
      <c r="L973" s="246"/>
      <c r="M973" s="89"/>
      <c r="N973" s="89"/>
      <c r="O973" s="89"/>
      <c r="P973" s="89"/>
      <c r="Q973" s="89"/>
      <c r="R973" s="89"/>
      <c r="S973" s="246"/>
      <c r="T973" s="246"/>
      <c r="U973" s="246"/>
      <c r="V973" s="89"/>
      <c r="W973" s="246"/>
    </row>
    <row r="974" spans="2:23" ht="15.75" customHeight="1">
      <c r="B974" s="216"/>
      <c r="C974" s="89"/>
      <c r="D974" s="89"/>
      <c r="E974" s="89"/>
      <c r="F974" s="89"/>
      <c r="G974" s="89"/>
      <c r="H974" s="246"/>
      <c r="I974" s="246"/>
      <c r="J974" s="246"/>
      <c r="K974" s="216"/>
      <c r="L974" s="246"/>
      <c r="M974" s="89"/>
      <c r="N974" s="89"/>
      <c r="O974" s="89"/>
      <c r="P974" s="89"/>
      <c r="Q974" s="89"/>
      <c r="R974" s="89"/>
      <c r="S974" s="246"/>
      <c r="T974" s="246"/>
      <c r="U974" s="246"/>
      <c r="V974" s="89"/>
      <c r="W974" s="246"/>
    </row>
    <row r="975" spans="2:23" ht="15.75" customHeight="1">
      <c r="B975" s="216"/>
      <c r="C975" s="89"/>
      <c r="D975" s="89"/>
      <c r="E975" s="89"/>
      <c r="F975" s="89"/>
      <c r="G975" s="89"/>
      <c r="H975" s="246"/>
      <c r="I975" s="246"/>
      <c r="J975" s="246"/>
      <c r="K975" s="216"/>
      <c r="L975" s="246"/>
      <c r="M975" s="89"/>
      <c r="N975" s="89"/>
      <c r="O975" s="89"/>
      <c r="P975" s="89"/>
      <c r="Q975" s="89"/>
      <c r="R975" s="89"/>
      <c r="S975" s="246"/>
      <c r="T975" s="246"/>
      <c r="U975" s="246"/>
      <c r="V975" s="89"/>
      <c r="W975" s="246"/>
    </row>
    <row r="976" spans="2:23" ht="15.75" customHeight="1">
      <c r="B976" s="216"/>
      <c r="C976" s="89"/>
      <c r="D976" s="89"/>
      <c r="E976" s="89"/>
      <c r="F976" s="89"/>
      <c r="G976" s="89"/>
      <c r="H976" s="246"/>
      <c r="I976" s="246"/>
      <c r="J976" s="246"/>
      <c r="K976" s="216"/>
      <c r="L976" s="246"/>
      <c r="M976" s="89"/>
      <c r="N976" s="89"/>
      <c r="O976" s="89"/>
      <c r="P976" s="89"/>
      <c r="Q976" s="89"/>
      <c r="R976" s="89"/>
      <c r="S976" s="246"/>
      <c r="T976" s="246"/>
      <c r="U976" s="246"/>
      <c r="V976" s="89"/>
      <c r="W976" s="246"/>
    </row>
    <row r="977" spans="2:23" ht="15.75" customHeight="1">
      <c r="B977" s="216"/>
      <c r="C977" s="89"/>
      <c r="D977" s="89"/>
      <c r="E977" s="89"/>
      <c r="F977" s="89"/>
      <c r="G977" s="89"/>
      <c r="H977" s="246"/>
      <c r="I977" s="246"/>
      <c r="J977" s="246"/>
      <c r="K977" s="216"/>
      <c r="L977" s="246"/>
      <c r="M977" s="89"/>
      <c r="N977" s="89"/>
      <c r="O977" s="89"/>
      <c r="P977" s="89"/>
      <c r="Q977" s="89"/>
      <c r="R977" s="89"/>
      <c r="S977" s="246"/>
      <c r="T977" s="246"/>
      <c r="U977" s="246"/>
      <c r="V977" s="89"/>
      <c r="W977" s="246"/>
    </row>
    <row r="978" spans="2:23" ht="15.75" customHeight="1">
      <c r="B978" s="216"/>
      <c r="C978" s="89"/>
      <c r="D978" s="89"/>
      <c r="E978" s="89"/>
      <c r="F978" s="89"/>
      <c r="G978" s="89"/>
      <c r="H978" s="246"/>
      <c r="I978" s="246"/>
      <c r="J978" s="246"/>
      <c r="K978" s="216"/>
      <c r="L978" s="246"/>
      <c r="M978" s="89"/>
      <c r="N978" s="89"/>
      <c r="O978" s="89"/>
      <c r="P978" s="89"/>
      <c r="Q978" s="89"/>
      <c r="R978" s="89"/>
      <c r="S978" s="246"/>
      <c r="T978" s="246"/>
      <c r="U978" s="246"/>
      <c r="V978" s="89"/>
      <c r="W978" s="246"/>
    </row>
    <row r="979" spans="2:23" ht="15.75" customHeight="1">
      <c r="B979" s="216"/>
      <c r="C979" s="89"/>
      <c r="D979" s="89"/>
      <c r="E979" s="89"/>
      <c r="F979" s="89"/>
      <c r="G979" s="89"/>
      <c r="H979" s="246"/>
      <c r="I979" s="246"/>
      <c r="J979" s="246"/>
      <c r="K979" s="216"/>
      <c r="L979" s="246"/>
      <c r="M979" s="89"/>
      <c r="N979" s="89"/>
      <c r="O979" s="89"/>
      <c r="P979" s="89"/>
      <c r="Q979" s="89"/>
      <c r="R979" s="89"/>
      <c r="S979" s="246"/>
      <c r="T979" s="246"/>
      <c r="U979" s="246"/>
      <c r="V979" s="89"/>
      <c r="W979" s="246"/>
    </row>
    <row r="980" spans="2:23" ht="15.75" customHeight="1">
      <c r="B980" s="216"/>
      <c r="C980" s="89"/>
      <c r="D980" s="89"/>
      <c r="E980" s="89"/>
      <c r="F980" s="89"/>
      <c r="G980" s="89"/>
      <c r="H980" s="246"/>
      <c r="I980" s="246"/>
      <c r="J980" s="246"/>
      <c r="K980" s="216"/>
      <c r="L980" s="246"/>
      <c r="M980" s="89"/>
      <c r="N980" s="89"/>
      <c r="O980" s="89"/>
      <c r="P980" s="89"/>
      <c r="Q980" s="89"/>
      <c r="R980" s="89"/>
      <c r="S980" s="246"/>
      <c r="T980" s="246"/>
      <c r="U980" s="246"/>
      <c r="V980" s="89"/>
      <c r="W980" s="246"/>
    </row>
    <row r="981" spans="2:23" ht="15.75" customHeight="1">
      <c r="B981" s="216"/>
      <c r="C981" s="89"/>
      <c r="D981" s="89"/>
      <c r="E981" s="89"/>
      <c r="F981" s="89"/>
      <c r="G981" s="89"/>
      <c r="H981" s="246"/>
      <c r="I981" s="246"/>
      <c r="J981" s="246"/>
      <c r="K981" s="216"/>
      <c r="L981" s="246"/>
      <c r="M981" s="89"/>
      <c r="N981" s="89"/>
      <c r="O981" s="89"/>
      <c r="P981" s="89"/>
      <c r="Q981" s="89"/>
      <c r="R981" s="89"/>
      <c r="S981" s="246"/>
      <c r="T981" s="246"/>
      <c r="U981" s="246"/>
      <c r="V981" s="89"/>
      <c r="W981" s="246"/>
    </row>
    <row r="982" spans="2:23" ht="15.75" customHeight="1">
      <c r="B982" s="216"/>
      <c r="C982" s="89"/>
      <c r="D982" s="89"/>
      <c r="E982" s="89"/>
      <c r="F982" s="89"/>
      <c r="G982" s="89"/>
      <c r="H982" s="246"/>
      <c r="I982" s="246"/>
      <c r="J982" s="246"/>
      <c r="K982" s="216"/>
      <c r="L982" s="246"/>
      <c r="M982" s="89"/>
      <c r="N982" s="89"/>
      <c r="O982" s="89"/>
      <c r="P982" s="89"/>
      <c r="Q982" s="89"/>
      <c r="R982" s="89"/>
      <c r="S982" s="246"/>
      <c r="T982" s="246"/>
      <c r="U982" s="246"/>
      <c r="V982" s="89"/>
      <c r="W982" s="246"/>
    </row>
    <row r="983" spans="2:23" ht="15.75" customHeight="1">
      <c r="B983" s="216"/>
      <c r="C983" s="89"/>
      <c r="D983" s="89"/>
      <c r="E983" s="89"/>
      <c r="F983" s="89"/>
      <c r="G983" s="89"/>
      <c r="H983" s="246"/>
      <c r="I983" s="246"/>
      <c r="J983" s="246"/>
      <c r="K983" s="216"/>
      <c r="L983" s="246"/>
      <c r="M983" s="89"/>
      <c r="N983" s="89"/>
      <c r="O983" s="89"/>
      <c r="P983" s="89"/>
      <c r="Q983" s="89"/>
      <c r="R983" s="89"/>
      <c r="S983" s="246"/>
      <c r="T983" s="246"/>
      <c r="U983" s="246"/>
      <c r="V983" s="89"/>
      <c r="W983" s="246"/>
    </row>
    <row r="984" spans="2:23" ht="15.75" customHeight="1">
      <c r="B984" s="216"/>
      <c r="C984" s="89"/>
      <c r="D984" s="89"/>
      <c r="E984" s="89"/>
      <c r="F984" s="89"/>
      <c r="G984" s="89"/>
      <c r="H984" s="246"/>
      <c r="I984" s="246"/>
      <c r="J984" s="246"/>
      <c r="K984" s="216"/>
      <c r="L984" s="246"/>
      <c r="M984" s="89"/>
      <c r="N984" s="89"/>
      <c r="O984" s="89"/>
      <c r="P984" s="89"/>
      <c r="Q984" s="89"/>
      <c r="R984" s="89"/>
      <c r="S984" s="246"/>
      <c r="T984" s="246"/>
      <c r="U984" s="246"/>
      <c r="V984" s="89"/>
      <c r="W984" s="246"/>
    </row>
    <row r="985" spans="2:23" ht="15.75" customHeight="1">
      <c r="B985" s="216"/>
      <c r="C985" s="89"/>
      <c r="D985" s="89"/>
      <c r="E985" s="89"/>
      <c r="F985" s="89"/>
      <c r="G985" s="89"/>
      <c r="H985" s="246"/>
      <c r="I985" s="246"/>
      <c r="J985" s="246"/>
      <c r="K985" s="216"/>
      <c r="L985" s="246"/>
      <c r="M985" s="89"/>
      <c r="N985" s="89"/>
      <c r="O985" s="89"/>
      <c r="P985" s="89"/>
      <c r="Q985" s="89"/>
      <c r="R985" s="89"/>
      <c r="S985" s="246"/>
      <c r="T985" s="246"/>
      <c r="U985" s="246"/>
      <c r="V985" s="89"/>
      <c r="W985" s="246"/>
    </row>
    <row r="986" spans="2:23" ht="15.75" customHeight="1">
      <c r="B986" s="216"/>
      <c r="C986" s="89"/>
      <c r="D986" s="89"/>
      <c r="E986" s="89"/>
      <c r="F986" s="89"/>
      <c r="G986" s="89"/>
      <c r="H986" s="246"/>
      <c r="I986" s="246"/>
      <c r="J986" s="246"/>
      <c r="K986" s="216"/>
      <c r="L986" s="246"/>
      <c r="M986" s="89"/>
      <c r="N986" s="89"/>
      <c r="O986" s="89"/>
      <c r="P986" s="89"/>
      <c r="Q986" s="89"/>
      <c r="R986" s="89"/>
      <c r="S986" s="246"/>
      <c r="T986" s="246"/>
      <c r="U986" s="246"/>
      <c r="V986" s="89"/>
      <c r="W986" s="246"/>
    </row>
    <row r="987" spans="2:23" ht="15.75" customHeight="1">
      <c r="B987" s="216"/>
      <c r="C987" s="89"/>
      <c r="D987" s="89"/>
      <c r="E987" s="89"/>
      <c r="F987" s="89"/>
      <c r="G987" s="89"/>
      <c r="H987" s="246"/>
      <c r="I987" s="246"/>
      <c r="J987" s="246"/>
      <c r="K987" s="216"/>
      <c r="L987" s="246"/>
      <c r="M987" s="89"/>
      <c r="N987" s="89"/>
      <c r="O987" s="89"/>
      <c r="P987" s="89"/>
      <c r="Q987" s="89"/>
      <c r="R987" s="89"/>
      <c r="S987" s="246"/>
      <c r="T987" s="246"/>
      <c r="U987" s="246"/>
      <c r="V987" s="89"/>
      <c r="W987" s="246"/>
    </row>
    <row r="988" spans="2:23" ht="15.75" customHeight="1">
      <c r="B988" s="216"/>
      <c r="C988" s="89"/>
      <c r="D988" s="89"/>
      <c r="E988" s="89"/>
      <c r="F988" s="89"/>
      <c r="G988" s="89"/>
      <c r="H988" s="246"/>
      <c r="I988" s="246"/>
      <c r="J988" s="246"/>
      <c r="K988" s="216"/>
      <c r="L988" s="246"/>
      <c r="M988" s="89"/>
      <c r="N988" s="89"/>
      <c r="O988" s="89"/>
      <c r="P988" s="89"/>
      <c r="Q988" s="89"/>
      <c r="R988" s="89"/>
      <c r="S988" s="246"/>
      <c r="T988" s="246"/>
      <c r="U988" s="246"/>
      <c r="V988" s="89"/>
      <c r="W988" s="246"/>
    </row>
    <row r="989" spans="2:23" ht="15.75" customHeight="1">
      <c r="B989" s="216"/>
      <c r="C989" s="89"/>
      <c r="D989" s="89"/>
      <c r="E989" s="89"/>
      <c r="F989" s="89"/>
      <c r="G989" s="89"/>
      <c r="H989" s="246"/>
      <c r="I989" s="246"/>
      <c r="J989" s="246"/>
      <c r="K989" s="216"/>
      <c r="L989" s="246"/>
      <c r="M989" s="89"/>
      <c r="N989" s="89"/>
      <c r="O989" s="89"/>
      <c r="P989" s="89"/>
      <c r="Q989" s="89"/>
      <c r="R989" s="89"/>
      <c r="S989" s="246"/>
      <c r="T989" s="246"/>
      <c r="U989" s="246"/>
      <c r="V989" s="89"/>
      <c r="W989" s="246"/>
    </row>
    <row r="990" spans="2:23" ht="15.75" customHeight="1">
      <c r="B990" s="216"/>
      <c r="C990" s="89"/>
      <c r="D990" s="89"/>
      <c r="E990" s="89"/>
      <c r="F990" s="89"/>
      <c r="G990" s="89"/>
      <c r="H990" s="246"/>
      <c r="I990" s="246"/>
      <c r="J990" s="246"/>
      <c r="K990" s="216"/>
      <c r="L990" s="246"/>
      <c r="M990" s="89"/>
      <c r="N990" s="89"/>
      <c r="O990" s="89"/>
      <c r="P990" s="89"/>
      <c r="Q990" s="89"/>
      <c r="R990" s="89"/>
      <c r="S990" s="246"/>
      <c r="T990" s="246"/>
      <c r="U990" s="246"/>
      <c r="V990" s="89"/>
      <c r="W990" s="246"/>
    </row>
    <row r="991" spans="2:23" ht="15.75" customHeight="1">
      <c r="B991" s="216"/>
      <c r="C991" s="89"/>
      <c r="D991" s="89"/>
      <c r="E991" s="89"/>
      <c r="F991" s="89"/>
      <c r="G991" s="89"/>
      <c r="H991" s="246"/>
      <c r="I991" s="246"/>
      <c r="J991" s="246"/>
      <c r="K991" s="216"/>
      <c r="L991" s="246"/>
      <c r="M991" s="89"/>
      <c r="N991" s="89"/>
      <c r="O991" s="89"/>
      <c r="P991" s="89"/>
      <c r="Q991" s="89"/>
      <c r="R991" s="89"/>
      <c r="S991" s="246"/>
      <c r="T991" s="246"/>
      <c r="U991" s="246"/>
      <c r="V991" s="89"/>
      <c r="W991" s="246"/>
    </row>
    <row r="992" spans="2:23" ht="15.75" customHeight="1">
      <c r="B992" s="216"/>
      <c r="C992" s="89"/>
      <c r="D992" s="89"/>
      <c r="E992" s="89"/>
      <c r="F992" s="89"/>
      <c r="G992" s="89"/>
      <c r="H992" s="246"/>
      <c r="I992" s="246"/>
      <c r="J992" s="246"/>
      <c r="K992" s="216"/>
      <c r="L992" s="246"/>
      <c r="M992" s="89"/>
      <c r="N992" s="89"/>
      <c r="O992" s="89"/>
      <c r="P992" s="89"/>
      <c r="Q992" s="89"/>
      <c r="R992" s="89"/>
      <c r="S992" s="246"/>
      <c r="T992" s="246"/>
      <c r="U992" s="246"/>
      <c r="V992" s="89"/>
      <c r="W992" s="246"/>
    </row>
    <row r="993" spans="2:23" ht="15.75" customHeight="1">
      <c r="B993" s="216"/>
      <c r="C993" s="89"/>
      <c r="D993" s="89"/>
      <c r="E993" s="89"/>
      <c r="F993" s="89"/>
      <c r="G993" s="89"/>
      <c r="H993" s="246"/>
      <c r="I993" s="246"/>
      <c r="J993" s="246"/>
      <c r="K993" s="216"/>
      <c r="L993" s="246"/>
      <c r="M993" s="89"/>
      <c r="N993" s="89"/>
      <c r="O993" s="89"/>
      <c r="P993" s="89"/>
      <c r="Q993" s="89"/>
      <c r="R993" s="89"/>
      <c r="S993" s="246"/>
      <c r="T993" s="246"/>
      <c r="U993" s="246"/>
      <c r="V993" s="89"/>
      <c r="W993" s="246"/>
    </row>
    <row r="994" spans="2:23" ht="15.75" customHeight="1">
      <c r="B994" s="216"/>
      <c r="C994" s="89"/>
      <c r="D994" s="89"/>
      <c r="E994" s="89"/>
      <c r="F994" s="89"/>
      <c r="G994" s="89"/>
      <c r="H994" s="246"/>
      <c r="I994" s="246"/>
      <c r="J994" s="246"/>
      <c r="K994" s="216"/>
      <c r="L994" s="246"/>
      <c r="M994" s="89"/>
      <c r="N994" s="89"/>
      <c r="O994" s="89"/>
      <c r="P994" s="89"/>
      <c r="Q994" s="89"/>
      <c r="R994" s="89"/>
      <c r="S994" s="246"/>
      <c r="T994" s="246"/>
      <c r="U994" s="246"/>
      <c r="V994" s="89"/>
      <c r="W994" s="246"/>
    </row>
    <row r="995" spans="2:23" ht="15.75" customHeight="1">
      <c r="B995" s="216"/>
      <c r="C995" s="89"/>
      <c r="D995" s="89"/>
      <c r="E995" s="89"/>
      <c r="F995" s="89"/>
      <c r="G995" s="89"/>
      <c r="H995" s="246"/>
      <c r="I995" s="246"/>
      <c r="J995" s="246"/>
      <c r="K995" s="216"/>
      <c r="L995" s="246"/>
      <c r="M995" s="89"/>
      <c r="N995" s="89"/>
      <c r="O995" s="89"/>
      <c r="P995" s="89"/>
      <c r="Q995" s="89"/>
      <c r="R995" s="89"/>
      <c r="S995" s="246"/>
      <c r="T995" s="246"/>
      <c r="U995" s="246"/>
      <c r="V995" s="89"/>
      <c r="W995" s="246"/>
    </row>
    <row r="996" spans="2:23" ht="15.75" customHeight="1">
      <c r="B996" s="216"/>
      <c r="C996" s="89"/>
      <c r="D996" s="89"/>
      <c r="E996" s="89"/>
      <c r="F996" s="89"/>
      <c r="G996" s="89"/>
      <c r="H996" s="246"/>
      <c r="I996" s="246"/>
      <c r="J996" s="246"/>
      <c r="K996" s="216"/>
      <c r="L996" s="246"/>
      <c r="M996" s="89"/>
      <c r="N996" s="89"/>
      <c r="O996" s="89"/>
      <c r="P996" s="89"/>
      <c r="Q996" s="89"/>
      <c r="R996" s="89"/>
      <c r="S996" s="246"/>
      <c r="T996" s="246"/>
      <c r="U996" s="246"/>
      <c r="V996" s="89"/>
      <c r="W996" s="246"/>
    </row>
    <row r="997" spans="2:23" ht="15.75" customHeight="1">
      <c r="B997" s="216"/>
      <c r="C997" s="89"/>
      <c r="D997" s="89"/>
      <c r="E997" s="89"/>
      <c r="F997" s="89"/>
      <c r="G997" s="89"/>
      <c r="H997" s="246"/>
      <c r="I997" s="246"/>
      <c r="J997" s="246"/>
      <c r="K997" s="216"/>
      <c r="L997" s="246"/>
      <c r="M997" s="89"/>
      <c r="N997" s="89"/>
      <c r="O997" s="89"/>
      <c r="P997" s="89"/>
      <c r="Q997" s="89"/>
      <c r="R997" s="89"/>
      <c r="S997" s="246"/>
      <c r="T997" s="246"/>
      <c r="U997" s="246"/>
      <c r="V997" s="89"/>
      <c r="W997" s="246"/>
    </row>
    <row r="998" spans="2:23" ht="15.75" customHeight="1">
      <c r="B998" s="216"/>
      <c r="C998" s="89"/>
      <c r="D998" s="89"/>
      <c r="E998" s="89"/>
      <c r="F998" s="89"/>
      <c r="G998" s="89"/>
      <c r="H998" s="246"/>
      <c r="I998" s="246"/>
      <c r="J998" s="246"/>
      <c r="K998" s="216"/>
      <c r="L998" s="246"/>
      <c r="M998" s="89"/>
      <c r="N998" s="89"/>
      <c r="O998" s="89"/>
      <c r="P998" s="89"/>
      <c r="Q998" s="89"/>
      <c r="R998" s="89"/>
      <c r="S998" s="246"/>
      <c r="T998" s="246"/>
      <c r="U998" s="246"/>
      <c r="V998" s="89"/>
      <c r="W998" s="246"/>
    </row>
    <row r="999" spans="2:23" ht="15.75" customHeight="1">
      <c r="B999" s="216"/>
      <c r="C999" s="89"/>
      <c r="D999" s="89"/>
      <c r="E999" s="89"/>
      <c r="F999" s="89"/>
      <c r="G999" s="89"/>
      <c r="H999" s="246"/>
      <c r="I999" s="246"/>
      <c r="J999" s="246"/>
      <c r="K999" s="216"/>
      <c r="L999" s="246"/>
      <c r="M999" s="89"/>
      <c r="N999" s="89"/>
      <c r="O999" s="89"/>
      <c r="P999" s="89"/>
      <c r="Q999" s="89"/>
      <c r="R999" s="89"/>
      <c r="S999" s="246"/>
      <c r="T999" s="246"/>
      <c r="U999" s="246"/>
      <c r="V999" s="89"/>
      <c r="W999" s="246"/>
    </row>
    <row r="1000" spans="2:23" ht="15.75" customHeight="1">
      <c r="B1000" s="216"/>
      <c r="C1000" s="89"/>
      <c r="D1000" s="89"/>
      <c r="E1000" s="89"/>
      <c r="F1000" s="89"/>
      <c r="G1000" s="89"/>
      <c r="H1000" s="246"/>
      <c r="I1000" s="246"/>
      <c r="J1000" s="246"/>
      <c r="K1000" s="216"/>
      <c r="L1000" s="246"/>
      <c r="M1000" s="89"/>
      <c r="N1000" s="89"/>
      <c r="O1000" s="89"/>
      <c r="P1000" s="89"/>
      <c r="Q1000" s="89"/>
      <c r="R1000" s="89"/>
      <c r="S1000" s="246"/>
      <c r="T1000" s="246"/>
      <c r="U1000" s="246"/>
      <c r="V1000" s="89"/>
      <c r="W1000" s="246"/>
    </row>
  </sheetData>
  <mergeCells count="7">
    <mergeCell ref="A8:V8"/>
    <mergeCell ref="A9:V9"/>
    <mergeCell ref="A2:V2"/>
    <mergeCell ref="A4:V4"/>
    <mergeCell ref="A5:V5"/>
    <mergeCell ref="A6:V6"/>
    <mergeCell ref="A7:V7"/>
  </mergeCells>
  <hyperlinks>
    <hyperlink ref="I12" r:id="rId1" xr:uid="{00000000-0004-0000-0100-000000000000}"/>
    <hyperlink ref="J12" r:id="rId2" xr:uid="{00000000-0004-0000-0100-000001000000}"/>
    <hyperlink ref="H13" r:id="rId3" xr:uid="{00000000-0004-0000-0100-000002000000}"/>
    <hyperlink ref="I14" r:id="rId4" xr:uid="{00000000-0004-0000-0100-000003000000}"/>
    <hyperlink ref="H15" r:id="rId5" xr:uid="{00000000-0004-0000-0100-000004000000}"/>
    <hyperlink ref="I15" r:id="rId6" xr:uid="{00000000-0004-0000-0100-000005000000}"/>
    <hyperlink ref="H16" r:id="rId7" xr:uid="{00000000-0004-0000-0100-000006000000}"/>
    <hyperlink ref="I16" r:id="rId8" xr:uid="{00000000-0004-0000-0100-000007000000}"/>
    <hyperlink ref="H17" r:id="rId9" xr:uid="{00000000-0004-0000-0100-000008000000}"/>
    <hyperlink ref="I17" r:id="rId10" xr:uid="{00000000-0004-0000-0100-000009000000}"/>
    <hyperlink ref="H18" r:id="rId11" xr:uid="{00000000-0004-0000-0100-00000A000000}"/>
    <hyperlink ref="I18" r:id="rId12" xr:uid="{00000000-0004-0000-0100-00000B000000}"/>
    <hyperlink ref="H19" r:id="rId13" xr:uid="{00000000-0004-0000-0100-00000C000000}"/>
    <hyperlink ref="I19" r:id="rId14" xr:uid="{00000000-0004-0000-0100-00000D000000}"/>
    <hyperlink ref="H20" r:id="rId15" xr:uid="{00000000-0004-0000-0100-00000E000000}"/>
    <hyperlink ref="I20" r:id="rId16" xr:uid="{00000000-0004-0000-0100-00000F000000}"/>
    <hyperlink ref="H21" r:id="rId17" xr:uid="{00000000-0004-0000-0100-000010000000}"/>
    <hyperlink ref="I21" r:id="rId18" xr:uid="{00000000-0004-0000-0100-000011000000}"/>
    <hyperlink ref="H22" r:id="rId19" xr:uid="{00000000-0004-0000-0100-000012000000}"/>
    <hyperlink ref="I22" r:id="rId20" xr:uid="{00000000-0004-0000-0100-000013000000}"/>
    <hyperlink ref="H23" r:id="rId21" xr:uid="{00000000-0004-0000-0100-000014000000}"/>
    <hyperlink ref="I23" r:id="rId22" xr:uid="{00000000-0004-0000-0100-000015000000}"/>
    <hyperlink ref="H24" r:id="rId23" xr:uid="{00000000-0004-0000-0100-000016000000}"/>
    <hyperlink ref="I24" r:id="rId24" xr:uid="{00000000-0004-0000-0100-000017000000}"/>
    <hyperlink ref="H25" r:id="rId25" xr:uid="{00000000-0004-0000-0100-000018000000}"/>
    <hyperlink ref="I25" r:id="rId26" xr:uid="{00000000-0004-0000-0100-000019000000}"/>
    <hyperlink ref="H26" r:id="rId27" xr:uid="{00000000-0004-0000-0100-00001A000000}"/>
    <hyperlink ref="I26" r:id="rId28" xr:uid="{00000000-0004-0000-0100-00001B000000}"/>
    <hyperlink ref="H27" r:id="rId29" xr:uid="{00000000-0004-0000-0100-00001C000000}"/>
    <hyperlink ref="I27" r:id="rId30" xr:uid="{00000000-0004-0000-0100-00001D000000}"/>
    <hyperlink ref="H28" r:id="rId31" xr:uid="{00000000-0004-0000-0100-00001E000000}"/>
    <hyperlink ref="I28" r:id="rId32" xr:uid="{00000000-0004-0000-0100-00001F000000}"/>
    <hyperlink ref="H29" r:id="rId33" xr:uid="{00000000-0004-0000-0100-000020000000}"/>
    <hyperlink ref="I29" r:id="rId34" xr:uid="{00000000-0004-0000-0100-000021000000}"/>
    <hyperlink ref="H30" r:id="rId35" xr:uid="{00000000-0004-0000-0100-000022000000}"/>
    <hyperlink ref="I30" r:id="rId36" xr:uid="{00000000-0004-0000-0100-000023000000}"/>
    <hyperlink ref="H31" r:id="rId37" xr:uid="{00000000-0004-0000-0100-000024000000}"/>
    <hyperlink ref="I31" r:id="rId38" xr:uid="{00000000-0004-0000-0100-000025000000}"/>
    <hyperlink ref="H32" r:id="rId39" xr:uid="{00000000-0004-0000-0100-000026000000}"/>
    <hyperlink ref="I32" r:id="rId40" xr:uid="{00000000-0004-0000-0100-000027000000}"/>
    <hyperlink ref="H33" r:id="rId41" xr:uid="{00000000-0004-0000-0100-000028000000}"/>
    <hyperlink ref="H34" r:id="rId42" xr:uid="{00000000-0004-0000-0100-000029000000}"/>
    <hyperlink ref="I34" r:id="rId43" xr:uid="{00000000-0004-0000-0100-00002A000000}"/>
    <hyperlink ref="J34" r:id="rId44" xr:uid="{00000000-0004-0000-0100-00002B000000}"/>
    <hyperlink ref="H35" r:id="rId45" xr:uid="{00000000-0004-0000-0100-00002C000000}"/>
    <hyperlink ref="H37" r:id="rId46" xr:uid="{00000000-0004-0000-0100-00002D000000}"/>
    <hyperlink ref="I37" r:id="rId47" xr:uid="{00000000-0004-0000-0100-00002E000000}"/>
    <hyperlink ref="H38" r:id="rId48" xr:uid="{00000000-0004-0000-0100-00002F000000}"/>
    <hyperlink ref="I38" r:id="rId49" xr:uid="{00000000-0004-0000-0100-000030000000}"/>
    <hyperlink ref="J38" r:id="rId50" xr:uid="{00000000-0004-0000-0100-000031000000}"/>
    <hyperlink ref="H39" r:id="rId51" xr:uid="{00000000-0004-0000-0100-000032000000}"/>
    <hyperlink ref="I39" r:id="rId52" xr:uid="{00000000-0004-0000-0100-000033000000}"/>
    <hyperlink ref="J39" r:id="rId53" xr:uid="{00000000-0004-0000-0100-000034000000}"/>
    <hyperlink ref="H40" r:id="rId54" xr:uid="{00000000-0004-0000-0100-000035000000}"/>
    <hyperlink ref="I40" r:id="rId55" xr:uid="{00000000-0004-0000-0100-000036000000}"/>
    <hyperlink ref="J40" r:id="rId56" xr:uid="{00000000-0004-0000-0100-000037000000}"/>
    <hyperlink ref="H41" r:id="rId57" xr:uid="{00000000-0004-0000-0100-000038000000}"/>
    <hyperlink ref="I41" r:id="rId58" xr:uid="{00000000-0004-0000-0100-000039000000}"/>
    <hyperlink ref="H42" r:id="rId59" xr:uid="{00000000-0004-0000-0100-00003A000000}"/>
    <hyperlink ref="I42" r:id="rId60" xr:uid="{00000000-0004-0000-0100-00003B000000}"/>
    <hyperlink ref="J42" r:id="rId61" xr:uid="{00000000-0004-0000-0100-00003C000000}"/>
    <hyperlink ref="H43" r:id="rId62" xr:uid="{00000000-0004-0000-0100-00003D000000}"/>
    <hyperlink ref="I43" r:id="rId63" xr:uid="{00000000-0004-0000-0100-00003E000000}"/>
    <hyperlink ref="J43" r:id="rId64" xr:uid="{00000000-0004-0000-0100-00003F000000}"/>
    <hyperlink ref="H44" r:id="rId65" xr:uid="{00000000-0004-0000-0100-000040000000}"/>
    <hyperlink ref="I44" r:id="rId66" xr:uid="{00000000-0004-0000-0100-000041000000}"/>
    <hyperlink ref="J44" r:id="rId67" xr:uid="{00000000-0004-0000-0100-000042000000}"/>
    <hyperlink ref="H46" r:id="rId68" xr:uid="{00000000-0004-0000-0100-000043000000}"/>
    <hyperlink ref="I46" r:id="rId69" xr:uid="{00000000-0004-0000-0100-000044000000}"/>
    <hyperlink ref="H47" r:id="rId70" xr:uid="{00000000-0004-0000-0100-000045000000}"/>
    <hyperlink ref="I47" r:id="rId71" xr:uid="{00000000-0004-0000-0100-000046000000}"/>
    <hyperlink ref="H48" r:id="rId72" xr:uid="{00000000-0004-0000-0100-000047000000}"/>
    <hyperlink ref="I48" r:id="rId73" xr:uid="{00000000-0004-0000-0100-000048000000}"/>
    <hyperlink ref="J48" r:id="rId74" xr:uid="{00000000-0004-0000-0100-000049000000}"/>
    <hyperlink ref="H49" r:id="rId75" xr:uid="{00000000-0004-0000-0100-00004A000000}"/>
    <hyperlink ref="I49" r:id="rId76" xr:uid="{00000000-0004-0000-0100-00004B000000}"/>
    <hyperlink ref="J49" r:id="rId77" xr:uid="{00000000-0004-0000-0100-00004C000000}"/>
    <hyperlink ref="H50" r:id="rId78" xr:uid="{00000000-0004-0000-0100-00004D000000}"/>
    <hyperlink ref="I50" r:id="rId79" xr:uid="{00000000-0004-0000-0100-00004E000000}"/>
    <hyperlink ref="J50" r:id="rId80" xr:uid="{00000000-0004-0000-0100-00004F000000}"/>
    <hyperlink ref="H51" r:id="rId81" xr:uid="{00000000-0004-0000-0100-000050000000}"/>
    <hyperlink ref="I51" r:id="rId82" location="citeas" xr:uid="{00000000-0004-0000-0100-000051000000}"/>
    <hyperlink ref="H52" r:id="rId83" xr:uid="{00000000-0004-0000-0100-000052000000}"/>
    <hyperlink ref="I52" r:id="rId84" xr:uid="{00000000-0004-0000-0100-000053000000}"/>
    <hyperlink ref="H53" r:id="rId85" xr:uid="{00000000-0004-0000-0100-000054000000}"/>
    <hyperlink ref="I53" r:id="rId86" xr:uid="{00000000-0004-0000-0100-000055000000}"/>
    <hyperlink ref="H54" r:id="rId87" xr:uid="{00000000-0004-0000-0100-000056000000}"/>
    <hyperlink ref="I54" r:id="rId88" xr:uid="{00000000-0004-0000-0100-000057000000}"/>
    <hyperlink ref="I55" r:id="rId89" xr:uid="{00000000-0004-0000-0100-000058000000}"/>
    <hyperlink ref="H56" r:id="rId90" xr:uid="{00000000-0004-0000-0100-000059000000}"/>
    <hyperlink ref="I56" r:id="rId91" xr:uid="{00000000-0004-0000-0100-00005A000000}"/>
    <hyperlink ref="H57" r:id="rId92" xr:uid="{00000000-0004-0000-0100-00005B000000}"/>
    <hyperlink ref="I57" r:id="rId93" xr:uid="{00000000-0004-0000-0100-00005C000000}"/>
    <hyperlink ref="J57" r:id="rId94" xr:uid="{00000000-0004-0000-0100-00005D000000}"/>
    <hyperlink ref="H58" r:id="rId95" xr:uid="{00000000-0004-0000-0100-00005E000000}"/>
    <hyperlink ref="I58" r:id="rId96" xr:uid="{00000000-0004-0000-0100-00005F000000}"/>
    <hyperlink ref="H59" r:id="rId97" xr:uid="{00000000-0004-0000-0100-000060000000}"/>
    <hyperlink ref="I59" r:id="rId98" xr:uid="{00000000-0004-0000-0100-000061000000}"/>
    <hyperlink ref="H60" r:id="rId99" xr:uid="{00000000-0004-0000-0100-000062000000}"/>
    <hyperlink ref="I60" r:id="rId100" xr:uid="{00000000-0004-0000-0100-000063000000}"/>
    <hyperlink ref="J60" r:id="rId101" xr:uid="{00000000-0004-0000-0100-000064000000}"/>
    <hyperlink ref="H61" r:id="rId102" xr:uid="{00000000-0004-0000-0100-000065000000}"/>
    <hyperlink ref="I61" r:id="rId103" xr:uid="{00000000-0004-0000-0100-000066000000}"/>
    <hyperlink ref="H62" r:id="rId104" xr:uid="{00000000-0004-0000-0100-000067000000}"/>
    <hyperlink ref="I62" r:id="rId105" xr:uid="{00000000-0004-0000-0100-000068000000}"/>
    <hyperlink ref="H63" r:id="rId106" xr:uid="{00000000-0004-0000-0100-000069000000}"/>
    <hyperlink ref="I63" r:id="rId107" xr:uid="{00000000-0004-0000-0100-00006A000000}"/>
    <hyperlink ref="H64" r:id="rId108" xr:uid="{00000000-0004-0000-0100-00006B000000}"/>
    <hyperlink ref="I64" r:id="rId109" xr:uid="{00000000-0004-0000-0100-00006C000000}"/>
    <hyperlink ref="H65" r:id="rId110" xr:uid="{00000000-0004-0000-0100-00006D000000}"/>
    <hyperlink ref="I65" r:id="rId111" xr:uid="{00000000-0004-0000-0100-00006E000000}"/>
    <hyperlink ref="H66" r:id="rId112" xr:uid="{00000000-0004-0000-0100-00006F000000}"/>
    <hyperlink ref="I66" r:id="rId113" xr:uid="{00000000-0004-0000-0100-000070000000}"/>
    <hyperlink ref="H67" r:id="rId114" xr:uid="{00000000-0004-0000-0100-000071000000}"/>
    <hyperlink ref="I67" r:id="rId115" xr:uid="{00000000-0004-0000-0100-000072000000}"/>
    <hyperlink ref="H68" r:id="rId116" xr:uid="{00000000-0004-0000-0100-000073000000}"/>
    <hyperlink ref="I68" r:id="rId117" xr:uid="{00000000-0004-0000-0100-000074000000}"/>
    <hyperlink ref="H69" r:id="rId118" xr:uid="{00000000-0004-0000-0100-000075000000}"/>
    <hyperlink ref="I69" r:id="rId119" xr:uid="{00000000-0004-0000-0100-000076000000}"/>
    <hyperlink ref="H70" r:id="rId120" xr:uid="{00000000-0004-0000-0100-000077000000}"/>
    <hyperlink ref="I70" r:id="rId121" xr:uid="{00000000-0004-0000-0100-000078000000}"/>
    <hyperlink ref="H71" r:id="rId122" xr:uid="{00000000-0004-0000-0100-000079000000}"/>
    <hyperlink ref="I71" r:id="rId123" xr:uid="{00000000-0004-0000-0100-00007A000000}"/>
    <hyperlink ref="H72" r:id="rId124" xr:uid="{00000000-0004-0000-0100-00007B000000}"/>
    <hyperlink ref="H73" r:id="rId125" xr:uid="{00000000-0004-0000-0100-00007C000000}"/>
    <hyperlink ref="I73" r:id="rId126" xr:uid="{00000000-0004-0000-0100-00007D000000}"/>
    <hyperlink ref="H74" r:id="rId127" xr:uid="{00000000-0004-0000-0100-00007E000000}"/>
    <hyperlink ref="I74" r:id="rId128" xr:uid="{00000000-0004-0000-0100-00007F000000}"/>
    <hyperlink ref="H75" r:id="rId129" xr:uid="{00000000-0004-0000-0100-000080000000}"/>
    <hyperlink ref="I75" r:id="rId130" xr:uid="{00000000-0004-0000-0100-000081000000}"/>
    <hyperlink ref="H76" r:id="rId131" xr:uid="{00000000-0004-0000-0100-000082000000}"/>
    <hyperlink ref="I76" r:id="rId132" xr:uid="{00000000-0004-0000-0100-000083000000}"/>
    <hyperlink ref="H77" r:id="rId133" xr:uid="{00000000-0004-0000-0100-000084000000}"/>
    <hyperlink ref="I77" r:id="rId134" xr:uid="{00000000-0004-0000-0100-000085000000}"/>
    <hyperlink ref="H78" r:id="rId135" xr:uid="{00000000-0004-0000-0100-000086000000}"/>
    <hyperlink ref="I78" r:id="rId136" xr:uid="{00000000-0004-0000-0100-000087000000}"/>
    <hyperlink ref="H79" r:id="rId137" xr:uid="{00000000-0004-0000-0100-000088000000}"/>
    <hyperlink ref="I79" r:id="rId138" xr:uid="{00000000-0004-0000-0100-000089000000}"/>
    <hyperlink ref="H80" r:id="rId139" xr:uid="{00000000-0004-0000-0100-00008A000000}"/>
    <hyperlink ref="I80" r:id="rId140" xr:uid="{00000000-0004-0000-0100-00008B000000}"/>
    <hyperlink ref="H81" r:id="rId141" xr:uid="{00000000-0004-0000-0100-00008C000000}"/>
    <hyperlink ref="I81" r:id="rId142" xr:uid="{00000000-0004-0000-0100-00008D000000}"/>
    <hyperlink ref="H82" r:id="rId143" xr:uid="{00000000-0004-0000-0100-00008E000000}"/>
    <hyperlink ref="I82" r:id="rId144" xr:uid="{00000000-0004-0000-0100-00008F000000}"/>
    <hyperlink ref="H83" r:id="rId145" xr:uid="{00000000-0004-0000-0100-000090000000}"/>
    <hyperlink ref="I83" r:id="rId146" xr:uid="{00000000-0004-0000-0100-000091000000}"/>
    <hyperlink ref="H84" r:id="rId147" xr:uid="{00000000-0004-0000-0100-000092000000}"/>
    <hyperlink ref="I84" r:id="rId148" xr:uid="{00000000-0004-0000-0100-000093000000}"/>
    <hyperlink ref="I85" r:id="rId149" xr:uid="{00000000-0004-0000-0100-000094000000}"/>
    <hyperlink ref="J85" r:id="rId150" xr:uid="{00000000-0004-0000-0100-000095000000}"/>
    <hyperlink ref="I86" r:id="rId151" xr:uid="{00000000-0004-0000-0100-000096000000}"/>
    <hyperlink ref="J86" r:id="rId152" xr:uid="{00000000-0004-0000-0100-000097000000}"/>
    <hyperlink ref="H88" r:id="rId153" xr:uid="{00000000-0004-0000-0100-000098000000}"/>
    <hyperlink ref="I88" r:id="rId154" xr:uid="{00000000-0004-0000-0100-000099000000}"/>
    <hyperlink ref="J88" r:id="rId155" xr:uid="{00000000-0004-0000-0100-00009A000000}"/>
    <hyperlink ref="H89" r:id="rId156" xr:uid="{00000000-0004-0000-0100-00009B000000}"/>
    <hyperlink ref="H90" r:id="rId157" xr:uid="{00000000-0004-0000-0100-00009C000000}"/>
    <hyperlink ref="I91" r:id="rId158" xr:uid="{00000000-0004-0000-0100-00009D000000}"/>
    <hyperlink ref="H92" r:id="rId159" xr:uid="{00000000-0004-0000-0100-00009E000000}"/>
    <hyperlink ref="I92" r:id="rId160" xr:uid="{00000000-0004-0000-0100-00009F000000}"/>
    <hyperlink ref="J92" r:id="rId161" xr:uid="{00000000-0004-0000-0100-0000A0000000}"/>
    <hyperlink ref="H93" r:id="rId162" xr:uid="{00000000-0004-0000-0100-0000A1000000}"/>
    <hyperlink ref="I93" r:id="rId163" xr:uid="{00000000-0004-0000-0100-0000A2000000}"/>
    <hyperlink ref="J93" r:id="rId164" xr:uid="{00000000-0004-0000-0100-0000A3000000}"/>
    <hyperlink ref="H94" r:id="rId165" xr:uid="{00000000-0004-0000-0100-0000A4000000}"/>
    <hyperlink ref="I94" r:id="rId166" xr:uid="{00000000-0004-0000-0100-0000A5000000}"/>
    <hyperlink ref="J94" r:id="rId167" xr:uid="{00000000-0004-0000-0100-0000A6000000}"/>
    <hyperlink ref="H95" r:id="rId168" xr:uid="{00000000-0004-0000-0100-0000A7000000}"/>
    <hyperlink ref="I96" r:id="rId169" xr:uid="{00000000-0004-0000-0100-0000A8000000}"/>
    <hyperlink ref="H97" r:id="rId170" xr:uid="{00000000-0004-0000-0100-0000A9000000}"/>
    <hyperlink ref="I97" r:id="rId171" xr:uid="{00000000-0004-0000-0100-0000AA000000}"/>
    <hyperlink ref="H98" r:id="rId172" xr:uid="{00000000-0004-0000-0100-0000AB000000}"/>
    <hyperlink ref="I98" r:id="rId173" xr:uid="{00000000-0004-0000-0100-0000AC000000}"/>
    <hyperlink ref="H99" r:id="rId174" xr:uid="{00000000-0004-0000-0100-0000AD000000}"/>
    <hyperlink ref="I99" r:id="rId175" xr:uid="{00000000-0004-0000-0100-0000AE000000}"/>
    <hyperlink ref="H100" r:id="rId176" xr:uid="{00000000-0004-0000-0100-0000AF000000}"/>
    <hyperlink ref="I100" r:id="rId177" xr:uid="{00000000-0004-0000-0100-0000B0000000}"/>
    <hyperlink ref="H101" r:id="rId178" xr:uid="{00000000-0004-0000-0100-0000B1000000}"/>
    <hyperlink ref="I101" r:id="rId179" xr:uid="{00000000-0004-0000-0100-0000B2000000}"/>
    <hyperlink ref="H102" r:id="rId180" xr:uid="{00000000-0004-0000-0100-0000B3000000}"/>
    <hyperlink ref="I102" r:id="rId181" xr:uid="{00000000-0004-0000-0100-0000B4000000}"/>
    <hyperlink ref="H103" r:id="rId182" xr:uid="{00000000-0004-0000-0100-0000B5000000}"/>
    <hyperlink ref="I103" r:id="rId183" xr:uid="{00000000-0004-0000-0100-0000B6000000}"/>
    <hyperlink ref="H104" r:id="rId184" xr:uid="{00000000-0004-0000-0100-0000B7000000}"/>
    <hyperlink ref="I104" r:id="rId185" xr:uid="{00000000-0004-0000-0100-0000B8000000}"/>
    <hyperlink ref="H105" r:id="rId186" xr:uid="{00000000-0004-0000-0100-0000B9000000}"/>
    <hyperlink ref="I105" r:id="rId187" xr:uid="{00000000-0004-0000-0100-0000BA000000}"/>
    <hyperlink ref="H106" r:id="rId188" xr:uid="{00000000-0004-0000-0100-0000BB000000}"/>
    <hyperlink ref="I106" r:id="rId189" xr:uid="{00000000-0004-0000-0100-0000BC000000}"/>
    <hyperlink ref="H107" r:id="rId190" xr:uid="{00000000-0004-0000-0100-0000BD000000}"/>
    <hyperlink ref="I107" r:id="rId191" xr:uid="{00000000-0004-0000-0100-0000BE000000}"/>
    <hyperlink ref="H108" r:id="rId192" xr:uid="{00000000-0004-0000-0100-0000BF000000}"/>
    <hyperlink ref="I108" r:id="rId193" xr:uid="{00000000-0004-0000-0100-0000C0000000}"/>
    <hyperlink ref="H109" r:id="rId194" xr:uid="{00000000-0004-0000-0100-0000C1000000}"/>
    <hyperlink ref="I109" r:id="rId195" xr:uid="{00000000-0004-0000-0100-0000C2000000}"/>
    <hyperlink ref="H110" r:id="rId196" xr:uid="{00000000-0004-0000-0100-0000C3000000}"/>
    <hyperlink ref="I110" r:id="rId197" xr:uid="{00000000-0004-0000-0100-0000C4000000}"/>
    <hyperlink ref="H111" r:id="rId198" xr:uid="{00000000-0004-0000-0100-0000C5000000}"/>
    <hyperlink ref="I111" r:id="rId199" xr:uid="{00000000-0004-0000-0100-0000C6000000}"/>
    <hyperlink ref="H112" r:id="rId200" xr:uid="{00000000-0004-0000-0100-0000C7000000}"/>
    <hyperlink ref="I112" r:id="rId201" xr:uid="{00000000-0004-0000-0100-0000C8000000}"/>
    <hyperlink ref="J112" r:id="rId202" xr:uid="{00000000-0004-0000-0100-0000C9000000}"/>
    <hyperlink ref="H113" r:id="rId203" xr:uid="{00000000-0004-0000-0100-0000CA000000}"/>
    <hyperlink ref="I113" r:id="rId204" xr:uid="{00000000-0004-0000-0100-0000CB000000}"/>
    <hyperlink ref="J113" r:id="rId205" xr:uid="{00000000-0004-0000-0100-0000CC000000}"/>
    <hyperlink ref="H114" r:id="rId206" xr:uid="{00000000-0004-0000-0100-0000CD000000}"/>
    <hyperlink ref="H115" r:id="rId207" xr:uid="{00000000-0004-0000-0100-0000CE000000}"/>
    <hyperlink ref="I115" r:id="rId208" xr:uid="{00000000-0004-0000-0100-0000CF000000}"/>
    <hyperlink ref="J115" r:id="rId209" xr:uid="{00000000-0004-0000-0100-0000D0000000}"/>
    <hyperlink ref="I116" r:id="rId210" xr:uid="{00000000-0004-0000-0100-0000D1000000}"/>
    <hyperlink ref="H117" r:id="rId211" xr:uid="{00000000-0004-0000-0100-0000D2000000}"/>
    <hyperlink ref="I117" r:id="rId212" xr:uid="{00000000-0004-0000-0100-0000D3000000}"/>
    <hyperlink ref="J117" r:id="rId213" xr:uid="{00000000-0004-0000-0100-0000D4000000}"/>
    <hyperlink ref="H118" r:id="rId214" xr:uid="{00000000-0004-0000-0100-0000D5000000}"/>
    <hyperlink ref="I118" r:id="rId215" xr:uid="{00000000-0004-0000-0100-0000D6000000}"/>
    <hyperlink ref="J118" r:id="rId216" xr:uid="{00000000-0004-0000-0100-0000D7000000}"/>
    <hyperlink ref="H119" r:id="rId217" xr:uid="{00000000-0004-0000-0100-0000D8000000}"/>
    <hyperlink ref="I119" r:id="rId218" xr:uid="{00000000-0004-0000-0100-0000D9000000}"/>
    <hyperlink ref="J119" r:id="rId219" xr:uid="{00000000-0004-0000-0100-0000DA000000}"/>
    <hyperlink ref="I120" r:id="rId220" xr:uid="{00000000-0004-0000-0100-0000DB000000}"/>
    <hyperlink ref="H121" r:id="rId221" xr:uid="{00000000-0004-0000-0100-0000DC000000}"/>
    <hyperlink ref="I121" r:id="rId222" xr:uid="{00000000-0004-0000-0100-0000DD000000}"/>
    <hyperlink ref="J121" r:id="rId223" xr:uid="{00000000-0004-0000-0100-0000DE000000}"/>
    <hyperlink ref="H122" r:id="rId224" xr:uid="{00000000-0004-0000-0100-0000DF000000}"/>
    <hyperlink ref="I122" r:id="rId225" xr:uid="{00000000-0004-0000-0100-0000E0000000}"/>
    <hyperlink ref="J122" r:id="rId226" xr:uid="{00000000-0004-0000-0100-0000E1000000}"/>
    <hyperlink ref="H123" r:id="rId227" xr:uid="{00000000-0004-0000-0100-0000E2000000}"/>
    <hyperlink ref="I123" r:id="rId228" xr:uid="{00000000-0004-0000-0100-0000E3000000}"/>
    <hyperlink ref="J123" r:id="rId229" xr:uid="{00000000-0004-0000-0100-0000E4000000}"/>
    <hyperlink ref="H124" r:id="rId230" xr:uid="{00000000-0004-0000-0100-0000E5000000}"/>
    <hyperlink ref="I124" r:id="rId231" xr:uid="{00000000-0004-0000-0100-0000E6000000}"/>
    <hyperlink ref="J124" r:id="rId232" xr:uid="{00000000-0004-0000-0100-0000E7000000}"/>
    <hyperlink ref="I125" r:id="rId233" xr:uid="{00000000-0004-0000-0100-0000E8000000}"/>
    <hyperlink ref="J125" r:id="rId234" xr:uid="{00000000-0004-0000-0100-0000E9000000}"/>
    <hyperlink ref="H126" r:id="rId235" xr:uid="{00000000-0004-0000-0100-0000EA000000}"/>
    <hyperlink ref="H129" r:id="rId236" xr:uid="{00000000-0004-0000-0100-0000EB000000}"/>
    <hyperlink ref="I129" r:id="rId237" xr:uid="{00000000-0004-0000-0100-0000EC000000}"/>
    <hyperlink ref="J129" r:id="rId238" xr:uid="{00000000-0004-0000-0100-0000ED000000}"/>
    <hyperlink ref="H130" r:id="rId239" xr:uid="{00000000-0004-0000-0100-0000EE000000}"/>
    <hyperlink ref="I130" r:id="rId240" xr:uid="{00000000-0004-0000-0100-0000EF000000}"/>
    <hyperlink ref="H131" r:id="rId241" xr:uid="{00000000-0004-0000-0100-0000F0000000}"/>
    <hyperlink ref="I131" r:id="rId242" xr:uid="{00000000-0004-0000-0100-0000F1000000}"/>
    <hyperlink ref="I132" r:id="rId243" location="citeas" xr:uid="{00000000-0004-0000-0100-0000F2000000}"/>
    <hyperlink ref="H133" r:id="rId244" xr:uid="{00000000-0004-0000-0100-0000F3000000}"/>
    <hyperlink ref="I133" r:id="rId245" xr:uid="{00000000-0004-0000-0100-0000F4000000}"/>
    <hyperlink ref="J133" r:id="rId246" xr:uid="{00000000-0004-0000-0100-0000F5000000}"/>
    <hyperlink ref="H134" r:id="rId247" xr:uid="{00000000-0004-0000-0100-0000F6000000}"/>
    <hyperlink ref="I134" r:id="rId248" xr:uid="{00000000-0004-0000-0100-0000F7000000}"/>
    <hyperlink ref="J134" r:id="rId249" xr:uid="{00000000-0004-0000-0100-0000F8000000}"/>
    <hyperlink ref="H136" r:id="rId250" xr:uid="{00000000-0004-0000-0100-0000F9000000}"/>
    <hyperlink ref="H137" r:id="rId251" xr:uid="{00000000-0004-0000-0100-0000FA000000}"/>
    <hyperlink ref="I137" r:id="rId252" xr:uid="{00000000-0004-0000-0100-0000FB000000}"/>
    <hyperlink ref="J137" r:id="rId253" xr:uid="{00000000-0004-0000-0100-0000FC000000}"/>
    <hyperlink ref="H138" r:id="rId254" xr:uid="{00000000-0004-0000-0100-0000FD000000}"/>
    <hyperlink ref="I138" r:id="rId255" xr:uid="{00000000-0004-0000-0100-0000FE000000}"/>
    <hyperlink ref="J138" r:id="rId256" xr:uid="{00000000-0004-0000-0100-0000FF000000}"/>
    <hyperlink ref="H139" r:id="rId257" xr:uid="{00000000-0004-0000-0100-000000010000}"/>
    <hyperlink ref="I139" r:id="rId258" xr:uid="{00000000-0004-0000-0100-000001010000}"/>
    <hyperlink ref="H140" r:id="rId259" xr:uid="{00000000-0004-0000-0100-000002010000}"/>
    <hyperlink ref="I140" r:id="rId260" xr:uid="{00000000-0004-0000-0100-000003010000}"/>
    <hyperlink ref="J140" r:id="rId261" xr:uid="{00000000-0004-0000-0100-000004010000}"/>
    <hyperlink ref="H141" r:id="rId262" xr:uid="{00000000-0004-0000-0100-000005010000}"/>
    <hyperlink ref="I141" r:id="rId263" xr:uid="{00000000-0004-0000-0100-000006010000}"/>
    <hyperlink ref="J141" r:id="rId264" xr:uid="{00000000-0004-0000-0100-000007010000}"/>
    <hyperlink ref="H142" r:id="rId265" xr:uid="{00000000-0004-0000-0100-000008010000}"/>
    <hyperlink ref="I142" r:id="rId266" xr:uid="{00000000-0004-0000-0100-000009010000}"/>
    <hyperlink ref="J142" r:id="rId267" xr:uid="{00000000-0004-0000-0100-00000A010000}"/>
    <hyperlink ref="I143" r:id="rId268" xr:uid="{00000000-0004-0000-0100-00000B010000}"/>
    <hyperlink ref="J143" r:id="rId269" xr:uid="{00000000-0004-0000-0100-00000C010000}"/>
    <hyperlink ref="H144" r:id="rId270" xr:uid="{00000000-0004-0000-0100-00000D010000}"/>
    <hyperlink ref="J144" r:id="rId271" xr:uid="{00000000-0004-0000-0100-00000E010000}"/>
    <hyperlink ref="H145" r:id="rId272" xr:uid="{00000000-0004-0000-0100-00000F010000}"/>
    <hyperlink ref="I145" r:id="rId273" xr:uid="{00000000-0004-0000-0100-000010010000}"/>
    <hyperlink ref="J145" r:id="rId274" xr:uid="{00000000-0004-0000-0100-000011010000}"/>
    <hyperlink ref="H146" r:id="rId275" xr:uid="{00000000-0004-0000-0100-000012010000}"/>
    <hyperlink ref="I146" r:id="rId276" xr:uid="{00000000-0004-0000-0100-000013010000}"/>
    <hyperlink ref="J146" r:id="rId277" xr:uid="{00000000-0004-0000-0100-000014010000}"/>
    <hyperlink ref="H147" r:id="rId278" xr:uid="{00000000-0004-0000-0100-000015010000}"/>
    <hyperlink ref="I147" r:id="rId279" xr:uid="{00000000-0004-0000-0100-000016010000}"/>
    <hyperlink ref="J147" r:id="rId280" xr:uid="{00000000-0004-0000-0100-000017010000}"/>
    <hyperlink ref="H148" r:id="rId281" xr:uid="{00000000-0004-0000-0100-000018010000}"/>
    <hyperlink ref="H149" r:id="rId282" xr:uid="{00000000-0004-0000-0100-000019010000}"/>
    <hyperlink ref="I150" r:id="rId283" xr:uid="{00000000-0004-0000-0100-00001A010000}"/>
    <hyperlink ref="J150" r:id="rId284" xr:uid="{00000000-0004-0000-0100-00001B010000}"/>
    <hyperlink ref="I151" r:id="rId285" xr:uid="{00000000-0004-0000-0100-00001C010000}"/>
    <hyperlink ref="J154" r:id="rId286" xr:uid="{00000000-0004-0000-0100-00001D010000}"/>
    <hyperlink ref="I155" r:id="rId287" xr:uid="{00000000-0004-0000-0100-00001E010000}"/>
    <hyperlink ref="J155" r:id="rId288" xr:uid="{00000000-0004-0000-0100-00001F010000}"/>
    <hyperlink ref="J156" r:id="rId289" xr:uid="{00000000-0004-0000-0100-000020010000}"/>
    <hyperlink ref="J157" r:id="rId290" xr:uid="{00000000-0004-0000-0100-000021010000}"/>
    <hyperlink ref="I159" r:id="rId291" xr:uid="{00000000-0004-0000-0100-000022010000}"/>
    <hyperlink ref="J159" r:id="rId292" xr:uid="{00000000-0004-0000-0100-000023010000}"/>
    <hyperlink ref="J161" r:id="rId293" xr:uid="{00000000-0004-0000-0100-000024010000}"/>
    <hyperlink ref="I162" r:id="rId294" location="citeas" xr:uid="{00000000-0004-0000-0100-000025010000}"/>
    <hyperlink ref="J162" r:id="rId295" xr:uid="{00000000-0004-0000-0100-000026010000}"/>
    <hyperlink ref="A166" r:id="rId296" xr:uid="{00000000-0004-0000-0100-000027010000}"/>
    <hyperlink ref="J166" r:id="rId297" xr:uid="{00000000-0004-0000-0100-00002801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AD1000"/>
  <sheetViews>
    <sheetView workbookViewId="0"/>
  </sheetViews>
  <sheetFormatPr defaultColWidth="14.3984375" defaultRowHeight="15" customHeight="1"/>
  <cols>
    <col min="1" max="1" width="22" customWidth="1"/>
    <col min="2" max="2" width="18.265625" customWidth="1"/>
    <col min="3" max="3" width="19" customWidth="1"/>
    <col min="4" max="4" width="19.86328125" customWidth="1"/>
    <col min="5" max="5" width="18.1328125" customWidth="1"/>
    <col min="6" max="6" width="26.3984375" customWidth="1"/>
    <col min="7" max="7" width="11.3984375" customWidth="1"/>
    <col min="8" max="12" width="10.86328125" customWidth="1"/>
    <col min="13" max="13" width="13.265625" customWidth="1"/>
    <col min="14" max="30" width="8" customWidth="1"/>
  </cols>
  <sheetData>
    <row r="1" spans="1:30" ht="14.25">
      <c r="A1" s="64"/>
      <c r="B1" s="65"/>
      <c r="C1" s="65"/>
      <c r="D1" s="1"/>
      <c r="E1" s="1"/>
      <c r="F1" s="1"/>
      <c r="G1" s="1"/>
      <c r="H1" s="1"/>
      <c r="I1" s="1"/>
      <c r="J1" s="1"/>
      <c r="K1" s="1"/>
      <c r="L1" s="1"/>
    </row>
    <row r="2" spans="1:30" ht="15.75" customHeight="1">
      <c r="A2" s="1234" t="s">
        <v>7345</v>
      </c>
      <c r="B2" s="1227"/>
      <c r="C2" s="1227"/>
      <c r="D2" s="1227"/>
      <c r="E2" s="1227"/>
      <c r="F2" s="1227"/>
      <c r="G2" s="1227"/>
      <c r="H2" s="1227"/>
      <c r="I2" s="1227"/>
      <c r="J2" s="1227"/>
      <c r="K2" s="1227"/>
      <c r="L2" s="1228"/>
      <c r="M2" s="69"/>
      <c r="N2" s="69"/>
      <c r="O2" s="69"/>
      <c r="P2" s="69"/>
      <c r="Q2" s="69"/>
      <c r="R2" s="69"/>
      <c r="S2" s="69"/>
      <c r="T2" s="69"/>
      <c r="U2" s="69"/>
      <c r="V2" s="69"/>
      <c r="W2" s="69"/>
      <c r="X2" s="69"/>
      <c r="Y2" s="69"/>
      <c r="Z2" s="69"/>
      <c r="AA2" s="69"/>
      <c r="AB2" s="69"/>
      <c r="AC2" s="69"/>
      <c r="AD2" s="69"/>
    </row>
    <row r="3" spans="1:30" ht="15.4">
      <c r="A3" s="375"/>
      <c r="B3" s="375"/>
      <c r="C3" s="375"/>
      <c r="D3" s="375"/>
      <c r="E3" s="375"/>
      <c r="F3" s="375"/>
      <c r="G3" s="375"/>
      <c r="H3" s="375"/>
      <c r="I3" s="375"/>
      <c r="J3" s="375"/>
      <c r="K3" s="375"/>
      <c r="L3" s="375"/>
      <c r="M3" s="69"/>
      <c r="N3" s="69"/>
      <c r="O3" s="69"/>
      <c r="P3" s="69"/>
      <c r="Q3" s="69"/>
      <c r="R3" s="69"/>
      <c r="S3" s="69"/>
      <c r="T3" s="69"/>
      <c r="U3" s="69"/>
      <c r="V3" s="69"/>
      <c r="W3" s="69"/>
      <c r="X3" s="69"/>
      <c r="Y3" s="69"/>
      <c r="Z3" s="69"/>
      <c r="AA3" s="69"/>
      <c r="AB3" s="69"/>
      <c r="AC3" s="69"/>
      <c r="AD3" s="69"/>
    </row>
    <row r="4" spans="1:30" ht="26.25" customHeight="1">
      <c r="A4" s="1226" t="s">
        <v>7346</v>
      </c>
      <c r="B4" s="1227"/>
      <c r="C4" s="1227"/>
      <c r="D4" s="1227"/>
      <c r="E4" s="1227"/>
      <c r="F4" s="1227"/>
      <c r="G4" s="1227"/>
      <c r="H4" s="1227"/>
      <c r="I4" s="1227"/>
      <c r="J4" s="1227"/>
      <c r="K4" s="1227"/>
      <c r="L4" s="1228"/>
      <c r="M4" s="69"/>
      <c r="N4" s="69"/>
      <c r="O4" s="69"/>
      <c r="P4" s="69"/>
      <c r="Q4" s="69"/>
      <c r="R4" s="69"/>
      <c r="S4" s="69"/>
      <c r="T4" s="69"/>
      <c r="U4" s="69"/>
      <c r="V4" s="69"/>
      <c r="W4" s="69"/>
      <c r="X4" s="69"/>
      <c r="Y4" s="69"/>
      <c r="Z4" s="69"/>
      <c r="AA4" s="69"/>
      <c r="AB4" s="69"/>
      <c r="AC4" s="69"/>
      <c r="AD4" s="69"/>
    </row>
    <row r="5" spans="1:30" ht="14.25">
      <c r="A5" s="1226" t="s">
        <v>7347</v>
      </c>
      <c r="B5" s="1227"/>
      <c r="C5" s="1227"/>
      <c r="D5" s="1227"/>
      <c r="E5" s="1227"/>
      <c r="F5" s="1227"/>
      <c r="G5" s="1227"/>
      <c r="H5" s="1227"/>
      <c r="I5" s="1227"/>
      <c r="J5" s="1227"/>
      <c r="K5" s="1227"/>
      <c r="L5" s="1228"/>
      <c r="M5" s="69"/>
      <c r="N5" s="69"/>
      <c r="O5" s="69"/>
      <c r="P5" s="69"/>
      <c r="Q5" s="69"/>
      <c r="R5" s="69"/>
      <c r="S5" s="69"/>
      <c r="T5" s="69"/>
      <c r="U5" s="69"/>
      <c r="V5" s="69"/>
      <c r="W5" s="69"/>
      <c r="X5" s="69"/>
      <c r="Y5" s="69"/>
      <c r="Z5" s="69"/>
      <c r="AA5" s="69"/>
      <c r="AB5" s="69"/>
      <c r="AC5" s="69"/>
      <c r="AD5" s="69"/>
    </row>
    <row r="6" spans="1:30" ht="15.75" customHeight="1">
      <c r="A6" s="1226" t="s">
        <v>7348</v>
      </c>
      <c r="B6" s="1227"/>
      <c r="C6" s="1227"/>
      <c r="D6" s="1227"/>
      <c r="E6" s="1227"/>
      <c r="F6" s="1227"/>
      <c r="G6" s="1227"/>
      <c r="H6" s="1227"/>
      <c r="I6" s="1227"/>
      <c r="J6" s="1227"/>
      <c r="K6" s="1227"/>
      <c r="L6" s="1228"/>
      <c r="M6" s="69"/>
      <c r="N6" s="69"/>
      <c r="O6" s="69"/>
      <c r="P6" s="69"/>
      <c r="Q6" s="69"/>
      <c r="R6" s="69"/>
      <c r="S6" s="69"/>
      <c r="T6" s="69"/>
      <c r="U6" s="69"/>
      <c r="V6" s="69"/>
      <c r="W6" s="69"/>
      <c r="X6" s="69"/>
      <c r="Y6" s="69"/>
      <c r="Z6" s="69"/>
      <c r="AA6" s="69"/>
      <c r="AB6" s="69"/>
      <c r="AC6" s="69"/>
      <c r="AD6" s="69"/>
    </row>
    <row r="7" spans="1:30" ht="30" customHeight="1">
      <c r="A7" s="1226" t="s">
        <v>7349</v>
      </c>
      <c r="B7" s="1227"/>
      <c r="C7" s="1227"/>
      <c r="D7" s="1227"/>
      <c r="E7" s="1227"/>
      <c r="F7" s="1227"/>
      <c r="G7" s="1227"/>
      <c r="H7" s="1227"/>
      <c r="I7" s="1227"/>
      <c r="J7" s="1227"/>
      <c r="K7" s="1227"/>
      <c r="L7" s="1228"/>
      <c r="M7" s="69"/>
      <c r="N7" s="69"/>
      <c r="O7" s="69"/>
      <c r="P7" s="69"/>
      <c r="Q7" s="69"/>
      <c r="R7" s="69"/>
      <c r="S7" s="69"/>
      <c r="T7" s="69"/>
      <c r="U7" s="69"/>
      <c r="V7" s="69"/>
      <c r="W7" s="69"/>
      <c r="X7" s="69"/>
      <c r="Y7" s="69"/>
      <c r="Z7" s="69"/>
      <c r="AA7" s="69"/>
      <c r="AB7" s="69"/>
      <c r="AC7" s="69"/>
      <c r="AD7" s="69"/>
    </row>
    <row r="8" spans="1:30" ht="80.25" customHeight="1">
      <c r="A8" s="1226" t="s">
        <v>7350</v>
      </c>
      <c r="B8" s="1227"/>
      <c r="C8" s="1227"/>
      <c r="D8" s="1227"/>
      <c r="E8" s="1227"/>
      <c r="F8" s="1227"/>
      <c r="G8" s="1227"/>
      <c r="H8" s="1227"/>
      <c r="I8" s="1227"/>
      <c r="J8" s="1227"/>
      <c r="K8" s="1227"/>
      <c r="L8" s="1228"/>
      <c r="M8" s="69"/>
      <c r="N8" s="69"/>
      <c r="O8" s="69"/>
      <c r="P8" s="69"/>
      <c r="Q8" s="69"/>
      <c r="R8" s="69"/>
      <c r="S8" s="69"/>
      <c r="T8" s="69"/>
      <c r="U8" s="69"/>
      <c r="V8" s="69"/>
      <c r="W8" s="69"/>
      <c r="X8" s="69"/>
      <c r="Y8" s="69"/>
      <c r="Z8" s="69"/>
      <c r="AA8" s="69"/>
      <c r="AB8" s="69"/>
      <c r="AC8" s="69"/>
      <c r="AD8" s="69"/>
    </row>
    <row r="9" spans="1:30" ht="14.25">
      <c r="A9" s="77"/>
      <c r="B9" s="78"/>
      <c r="C9" s="78"/>
      <c r="D9" s="77"/>
      <c r="E9" s="77"/>
      <c r="F9" s="77"/>
      <c r="G9" s="77"/>
      <c r="H9" s="77"/>
      <c r="I9" s="77"/>
      <c r="J9" s="77"/>
      <c r="K9" s="77"/>
      <c r="L9" s="77"/>
      <c r="M9" s="69"/>
      <c r="N9" s="69"/>
      <c r="O9" s="69"/>
      <c r="P9" s="69"/>
      <c r="Q9" s="69"/>
      <c r="R9" s="69"/>
      <c r="S9" s="69"/>
      <c r="T9" s="69"/>
      <c r="U9" s="69"/>
      <c r="V9" s="69"/>
      <c r="W9" s="69"/>
      <c r="X9" s="69"/>
      <c r="Y9" s="69"/>
      <c r="Z9" s="69"/>
      <c r="AA9" s="69"/>
      <c r="AB9" s="69"/>
      <c r="AC9" s="69"/>
      <c r="AD9" s="69"/>
    </row>
    <row r="10" spans="1:30" ht="51" customHeight="1">
      <c r="A10" s="350" t="s">
        <v>6</v>
      </c>
      <c r="B10" s="350" t="s">
        <v>1214</v>
      </c>
      <c r="C10" s="350" t="s">
        <v>1215</v>
      </c>
      <c r="D10" s="350" t="s">
        <v>1216</v>
      </c>
      <c r="E10" s="350" t="s">
        <v>1217</v>
      </c>
      <c r="F10" s="83" t="s">
        <v>7</v>
      </c>
      <c r="G10" s="350" t="s">
        <v>1218</v>
      </c>
      <c r="H10" s="350" t="s">
        <v>1219</v>
      </c>
      <c r="I10" s="350" t="s">
        <v>1220</v>
      </c>
      <c r="J10" s="350" t="s">
        <v>1221</v>
      </c>
      <c r="K10" s="350" t="s">
        <v>1222</v>
      </c>
      <c r="L10" s="83" t="s">
        <v>210</v>
      </c>
      <c r="M10" s="336" t="s">
        <v>211</v>
      </c>
      <c r="N10" s="69"/>
      <c r="O10" s="69"/>
      <c r="P10" s="69"/>
      <c r="Q10" s="69"/>
      <c r="R10" s="69"/>
      <c r="S10" s="69"/>
      <c r="T10" s="69"/>
      <c r="U10" s="69"/>
      <c r="V10" s="69"/>
      <c r="W10" s="69"/>
      <c r="X10" s="69"/>
      <c r="Y10" s="69"/>
      <c r="Z10" s="69"/>
      <c r="AA10" s="69"/>
      <c r="AB10" s="69"/>
      <c r="AC10" s="69"/>
      <c r="AD10" s="69"/>
    </row>
    <row r="11" spans="1:30" ht="128.25">
      <c r="A11" s="134" t="s">
        <v>7351</v>
      </c>
      <c r="B11" s="133" t="s">
        <v>7352</v>
      </c>
      <c r="C11" s="99" t="s">
        <v>7353</v>
      </c>
      <c r="D11" s="99" t="s">
        <v>1233</v>
      </c>
      <c r="E11" s="134" t="s">
        <v>7351</v>
      </c>
      <c r="F11" s="133" t="s">
        <v>141</v>
      </c>
      <c r="G11" s="407" t="s">
        <v>7354</v>
      </c>
      <c r="H11" s="100">
        <v>2022</v>
      </c>
      <c r="I11" s="100">
        <v>2022</v>
      </c>
      <c r="J11" s="188" t="s">
        <v>7355</v>
      </c>
      <c r="K11" s="188">
        <v>300</v>
      </c>
      <c r="L11" s="114">
        <v>300</v>
      </c>
      <c r="M11" s="69" t="s">
        <v>798</v>
      </c>
      <c r="N11" s="69"/>
      <c r="O11" s="69"/>
      <c r="P11" s="69"/>
      <c r="Q11" s="69"/>
      <c r="R11" s="69"/>
      <c r="S11" s="69"/>
      <c r="T11" s="69"/>
      <c r="U11" s="69"/>
      <c r="V11" s="69"/>
      <c r="W11" s="69"/>
      <c r="X11" s="69"/>
      <c r="Y11" s="69"/>
      <c r="Z11" s="69"/>
      <c r="AA11" s="69"/>
      <c r="AB11" s="69"/>
      <c r="AC11" s="69"/>
      <c r="AD11" s="69"/>
    </row>
    <row r="13" spans="1:30" ht="15" customHeight="1">
      <c r="A13" s="332" t="s">
        <v>169</v>
      </c>
      <c r="L13" s="332">
        <f>SUM(L10:L12)</f>
        <v>300</v>
      </c>
    </row>
    <row r="15" spans="1:30" ht="15" customHeight="1">
      <c r="A15" s="1231" t="s">
        <v>1156</v>
      </c>
      <c r="B15" s="1232"/>
      <c r="C15" s="1232"/>
      <c r="D15" s="1232"/>
      <c r="E15" s="1232"/>
      <c r="F15" s="1232"/>
      <c r="G15" s="1232"/>
      <c r="H15" s="123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L8"/>
    <mergeCell ref="A15:H15"/>
    <mergeCell ref="A2:L2"/>
    <mergeCell ref="A4:L4"/>
    <mergeCell ref="A5:L5"/>
    <mergeCell ref="A6:L6"/>
    <mergeCell ref="A7:L7"/>
  </mergeCells>
  <hyperlinks>
    <hyperlink ref="G11" r:id="rId1"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Z1000"/>
  <sheetViews>
    <sheetView workbookViewId="0"/>
  </sheetViews>
  <sheetFormatPr defaultColWidth="14.3984375" defaultRowHeight="15" customHeight="1"/>
  <cols>
    <col min="1" max="1" width="23.73046875" customWidth="1"/>
    <col min="2" max="2" width="23.3984375" customWidth="1"/>
    <col min="3" max="3" width="20.265625" customWidth="1"/>
    <col min="4" max="4" width="22.3984375" customWidth="1"/>
    <col min="5" max="5" width="20.265625" customWidth="1"/>
    <col min="6" max="6" width="22.265625" customWidth="1"/>
    <col min="7" max="8" width="8" customWidth="1"/>
    <col min="9" max="9" width="12.265625" customWidth="1"/>
    <col min="10" max="26" width="8" customWidth="1"/>
  </cols>
  <sheetData>
    <row r="1" spans="1:26" ht="14.25">
      <c r="A1" s="64"/>
      <c r="B1" s="65"/>
      <c r="C1" s="65"/>
      <c r="D1" s="65"/>
      <c r="E1" s="1"/>
      <c r="F1" s="1"/>
    </row>
    <row r="2" spans="1:26" ht="18.75" customHeight="1">
      <c r="A2" s="1234" t="s">
        <v>7356</v>
      </c>
      <c r="B2" s="1227"/>
      <c r="C2" s="1227"/>
      <c r="D2" s="1227"/>
      <c r="E2" s="1227"/>
      <c r="F2" s="1227"/>
      <c r="G2" s="1227"/>
      <c r="H2" s="1228"/>
      <c r="I2" s="216"/>
      <c r="J2" s="216"/>
      <c r="K2" s="69"/>
      <c r="L2" s="69"/>
      <c r="M2" s="69"/>
      <c r="N2" s="69"/>
      <c r="O2" s="69"/>
      <c r="P2" s="69"/>
      <c r="Q2" s="69"/>
      <c r="R2" s="69"/>
      <c r="S2" s="69"/>
      <c r="T2" s="69"/>
      <c r="U2" s="69"/>
      <c r="V2" s="69"/>
      <c r="W2" s="69"/>
      <c r="X2" s="69"/>
      <c r="Y2" s="69"/>
      <c r="Z2" s="69"/>
    </row>
    <row r="3" spans="1:26" ht="14.25">
      <c r="A3" s="1105"/>
      <c r="B3" s="1105"/>
      <c r="C3" s="1105"/>
      <c r="D3" s="1105"/>
      <c r="E3" s="1105"/>
      <c r="F3" s="1106"/>
      <c r="G3" s="789"/>
      <c r="H3" s="789"/>
      <c r="I3" s="69"/>
      <c r="J3" s="69"/>
      <c r="K3" s="69"/>
      <c r="L3" s="69"/>
      <c r="M3" s="69"/>
      <c r="N3" s="69"/>
      <c r="O3" s="69"/>
      <c r="P3" s="69"/>
      <c r="Q3" s="69"/>
      <c r="R3" s="69"/>
      <c r="S3" s="69"/>
      <c r="T3" s="69"/>
      <c r="U3" s="69"/>
      <c r="V3" s="69"/>
      <c r="W3" s="69"/>
      <c r="X3" s="69"/>
      <c r="Y3" s="69"/>
      <c r="Z3" s="69"/>
    </row>
    <row r="4" spans="1:26" ht="42" customHeight="1">
      <c r="A4" s="1226" t="s">
        <v>7357</v>
      </c>
      <c r="B4" s="1227"/>
      <c r="C4" s="1227"/>
      <c r="D4" s="1227"/>
      <c r="E4" s="1227"/>
      <c r="F4" s="1227"/>
      <c r="G4" s="1227"/>
      <c r="H4" s="1228"/>
      <c r="I4" s="216"/>
      <c r="J4" s="216"/>
      <c r="K4" s="69"/>
      <c r="L4" s="69"/>
      <c r="M4" s="69"/>
      <c r="N4" s="69"/>
      <c r="O4" s="69"/>
      <c r="P4" s="69"/>
      <c r="Q4" s="69"/>
      <c r="R4" s="69"/>
      <c r="S4" s="69"/>
      <c r="T4" s="69"/>
      <c r="U4" s="69"/>
      <c r="V4" s="69"/>
      <c r="W4" s="69"/>
      <c r="X4" s="69"/>
      <c r="Y4" s="69"/>
      <c r="Z4" s="69"/>
    </row>
    <row r="5" spans="1:26" ht="27" customHeight="1">
      <c r="A5" s="1226" t="s">
        <v>7358</v>
      </c>
      <c r="B5" s="1227"/>
      <c r="C5" s="1227"/>
      <c r="D5" s="1227"/>
      <c r="E5" s="1227"/>
      <c r="F5" s="1227"/>
      <c r="G5" s="1227"/>
      <c r="H5" s="1228"/>
      <c r="I5" s="216"/>
      <c r="J5" s="216"/>
      <c r="K5" s="69"/>
      <c r="L5" s="69"/>
      <c r="M5" s="69"/>
      <c r="N5" s="69"/>
      <c r="O5" s="69"/>
      <c r="P5" s="69"/>
      <c r="Q5" s="69"/>
      <c r="R5" s="69"/>
      <c r="S5" s="69"/>
      <c r="T5" s="69"/>
      <c r="U5" s="69"/>
      <c r="V5" s="69"/>
      <c r="W5" s="69"/>
      <c r="X5" s="69"/>
      <c r="Y5" s="69"/>
      <c r="Z5" s="69"/>
    </row>
    <row r="6" spans="1:26" ht="28.5" customHeight="1">
      <c r="A6" s="1226" t="s">
        <v>7359</v>
      </c>
      <c r="B6" s="1227"/>
      <c r="C6" s="1227"/>
      <c r="D6" s="1227"/>
      <c r="E6" s="1227"/>
      <c r="F6" s="1227"/>
      <c r="G6" s="1227"/>
      <c r="H6" s="1228"/>
      <c r="I6" s="216"/>
      <c r="J6" s="216"/>
      <c r="K6" s="69"/>
      <c r="L6" s="69"/>
      <c r="M6" s="69"/>
      <c r="N6" s="69"/>
      <c r="O6" s="69"/>
      <c r="P6" s="69"/>
      <c r="Q6" s="69"/>
      <c r="R6" s="69"/>
      <c r="S6" s="69"/>
      <c r="T6" s="69"/>
      <c r="U6" s="69"/>
      <c r="V6" s="69"/>
      <c r="W6" s="69"/>
      <c r="X6" s="69"/>
      <c r="Y6" s="69"/>
      <c r="Z6" s="69"/>
    </row>
    <row r="7" spans="1:26" ht="25.5" customHeight="1">
      <c r="A7" s="1226" t="s">
        <v>7360</v>
      </c>
      <c r="B7" s="1227"/>
      <c r="C7" s="1227"/>
      <c r="D7" s="1227"/>
      <c r="E7" s="1227"/>
      <c r="F7" s="1227"/>
      <c r="G7" s="1227"/>
      <c r="H7" s="1228"/>
      <c r="I7" s="216"/>
      <c r="J7" s="216"/>
      <c r="K7" s="69"/>
      <c r="L7" s="69"/>
      <c r="M7" s="69"/>
      <c r="N7" s="69"/>
      <c r="O7" s="69"/>
      <c r="P7" s="69"/>
      <c r="Q7" s="69"/>
      <c r="R7" s="69"/>
      <c r="S7" s="69"/>
      <c r="T7" s="69"/>
      <c r="U7" s="69"/>
      <c r="V7" s="69"/>
      <c r="W7" s="69"/>
      <c r="X7" s="69"/>
      <c r="Y7" s="69"/>
      <c r="Z7" s="69"/>
    </row>
    <row r="8" spans="1:26" ht="26.25" customHeight="1">
      <c r="A8" s="1226" t="s">
        <v>7361</v>
      </c>
      <c r="B8" s="1227"/>
      <c r="C8" s="1227"/>
      <c r="D8" s="1227"/>
      <c r="E8" s="1227"/>
      <c r="F8" s="1227"/>
      <c r="G8" s="1227"/>
      <c r="H8" s="1228"/>
      <c r="I8" s="216"/>
      <c r="J8" s="216"/>
      <c r="K8" s="69"/>
      <c r="L8" s="69"/>
      <c r="M8" s="69"/>
      <c r="N8" s="69"/>
      <c r="O8" s="69"/>
      <c r="P8" s="69"/>
      <c r="Q8" s="69"/>
      <c r="R8" s="69"/>
      <c r="S8" s="69"/>
      <c r="T8" s="69"/>
      <c r="U8" s="69"/>
      <c r="V8" s="69"/>
      <c r="W8" s="69"/>
      <c r="X8" s="69"/>
      <c r="Y8" s="69"/>
      <c r="Z8" s="69"/>
    </row>
    <row r="9" spans="1:26" ht="92.25" customHeight="1">
      <c r="A9" s="1229" t="s">
        <v>7362</v>
      </c>
      <c r="B9" s="1227"/>
      <c r="C9" s="1227"/>
      <c r="D9" s="1227"/>
      <c r="E9" s="1227"/>
      <c r="F9" s="1227"/>
      <c r="G9" s="1227"/>
      <c r="H9" s="1228"/>
      <c r="I9" s="216"/>
      <c r="J9" s="216"/>
      <c r="K9" s="69"/>
      <c r="L9" s="69"/>
      <c r="M9" s="69"/>
      <c r="N9" s="69"/>
      <c r="O9" s="69"/>
      <c r="P9" s="69"/>
      <c r="Q9" s="69"/>
      <c r="R9" s="69"/>
      <c r="S9" s="69"/>
      <c r="T9" s="69"/>
      <c r="U9" s="69"/>
      <c r="V9" s="69"/>
      <c r="W9" s="69"/>
      <c r="X9" s="69"/>
      <c r="Y9" s="69"/>
      <c r="Z9" s="69"/>
    </row>
    <row r="10" spans="1:26" ht="14.25">
      <c r="A10" s="64"/>
      <c r="B10" s="65"/>
      <c r="C10" s="65"/>
      <c r="D10" s="65"/>
      <c r="E10" s="1"/>
      <c r="F10" s="1"/>
      <c r="G10" s="69"/>
      <c r="H10" s="69"/>
      <c r="I10" s="69"/>
      <c r="J10" s="69"/>
      <c r="K10" s="69"/>
      <c r="L10" s="69"/>
      <c r="M10" s="69"/>
      <c r="N10" s="69"/>
      <c r="O10" s="69"/>
      <c r="P10" s="69"/>
      <c r="Q10" s="69"/>
      <c r="R10" s="69"/>
      <c r="S10" s="69"/>
      <c r="T10" s="69"/>
      <c r="U10" s="69"/>
      <c r="V10" s="69"/>
      <c r="W10" s="69"/>
      <c r="X10" s="69"/>
      <c r="Y10" s="69"/>
      <c r="Z10" s="69"/>
    </row>
    <row r="11" spans="1:26" ht="38.25" customHeight="1">
      <c r="A11" s="377" t="s">
        <v>6</v>
      </c>
      <c r="B11" s="83" t="s">
        <v>7</v>
      </c>
      <c r="C11" s="85" t="s">
        <v>7363</v>
      </c>
      <c r="D11" s="85" t="s">
        <v>7364</v>
      </c>
      <c r="E11" s="85" t="s">
        <v>7365</v>
      </c>
      <c r="F11" s="83" t="s">
        <v>7366</v>
      </c>
      <c r="G11" s="81" t="s">
        <v>1222</v>
      </c>
      <c r="H11" s="81" t="s">
        <v>210</v>
      </c>
      <c r="I11" s="336" t="s">
        <v>211</v>
      </c>
    </row>
    <row r="12" spans="1:26" ht="15" customHeight="1">
      <c r="A12" s="134" t="s">
        <v>7367</v>
      </c>
      <c r="B12" s="134" t="s">
        <v>51</v>
      </c>
      <c r="C12" s="99" t="s">
        <v>7368</v>
      </c>
      <c r="D12" s="238"/>
      <c r="E12" s="125" t="s">
        <v>7369</v>
      </c>
      <c r="F12" s="761" t="s">
        <v>7370</v>
      </c>
      <c r="G12" s="31">
        <v>200</v>
      </c>
      <c r="H12" s="31">
        <v>200</v>
      </c>
      <c r="I12" s="338" t="s">
        <v>1315</v>
      </c>
    </row>
    <row r="13" spans="1:26" ht="15" customHeight="1">
      <c r="A13" s="134" t="s">
        <v>7371</v>
      </c>
      <c r="B13" s="134" t="s">
        <v>51</v>
      </c>
      <c r="C13" s="99" t="s">
        <v>7372</v>
      </c>
      <c r="D13" s="238"/>
      <c r="E13" s="125" t="s">
        <v>7373</v>
      </c>
      <c r="F13" s="761" t="s">
        <v>7374</v>
      </c>
      <c r="G13" s="31">
        <v>100</v>
      </c>
      <c r="H13" s="31">
        <v>100</v>
      </c>
      <c r="I13" s="338" t="s">
        <v>7371</v>
      </c>
    </row>
    <row r="14" spans="1:26" ht="15" customHeight="1">
      <c r="A14" s="134" t="s">
        <v>7371</v>
      </c>
      <c r="B14" s="134" t="s">
        <v>51</v>
      </c>
      <c r="C14" s="99" t="s">
        <v>7375</v>
      </c>
      <c r="D14" s="238"/>
      <c r="E14" s="1107" t="s">
        <v>7373</v>
      </c>
      <c r="F14" s="761" t="s">
        <v>7376</v>
      </c>
      <c r="G14" s="31">
        <v>100</v>
      </c>
      <c r="H14" s="31">
        <v>100</v>
      </c>
      <c r="I14" s="338" t="s">
        <v>7371</v>
      </c>
    </row>
    <row r="15" spans="1:26" ht="15" customHeight="1">
      <c r="A15" s="134" t="s">
        <v>1331</v>
      </c>
      <c r="B15" s="134" t="s">
        <v>51</v>
      </c>
      <c r="C15" s="99" t="s">
        <v>7377</v>
      </c>
      <c r="D15" s="238"/>
      <c r="E15" s="125" t="s">
        <v>1331</v>
      </c>
      <c r="F15" s="761" t="s">
        <v>7378</v>
      </c>
      <c r="G15" s="31">
        <v>100</v>
      </c>
      <c r="H15" s="31">
        <v>300</v>
      </c>
      <c r="I15" s="338" t="s">
        <v>1331</v>
      </c>
    </row>
    <row r="16" spans="1:26" ht="15" customHeight="1">
      <c r="A16" s="134" t="s">
        <v>7379</v>
      </c>
      <c r="B16" s="134" t="s">
        <v>51</v>
      </c>
      <c r="C16" s="99" t="s">
        <v>7380</v>
      </c>
      <c r="D16" s="238"/>
      <c r="E16" s="125"/>
      <c r="F16" s="761" t="s">
        <v>7381</v>
      </c>
      <c r="G16" s="31">
        <v>100</v>
      </c>
      <c r="H16" s="31">
        <f>G16</f>
        <v>100</v>
      </c>
      <c r="I16" s="338" t="s">
        <v>384</v>
      </c>
    </row>
    <row r="17" spans="1:26" ht="15" customHeight="1">
      <c r="A17" s="134" t="s">
        <v>7382</v>
      </c>
      <c r="B17" s="99" t="s">
        <v>51</v>
      </c>
      <c r="C17" s="99" t="s">
        <v>7383</v>
      </c>
      <c r="D17" s="238" t="s">
        <v>7384</v>
      </c>
      <c r="E17" s="125" t="s">
        <v>7385</v>
      </c>
      <c r="F17" s="761" t="s">
        <v>7386</v>
      </c>
      <c r="G17" s="31">
        <v>100</v>
      </c>
      <c r="H17" s="31">
        <v>100</v>
      </c>
      <c r="I17" s="338" t="s">
        <v>2260</v>
      </c>
    </row>
    <row r="18" spans="1:26" ht="15" customHeight="1">
      <c r="A18" s="99" t="s">
        <v>6415</v>
      </c>
      <c r="B18" s="99" t="s">
        <v>51</v>
      </c>
      <c r="C18" s="99" t="s">
        <v>7375</v>
      </c>
      <c r="D18" s="238"/>
      <c r="E18" s="99" t="s">
        <v>6415</v>
      </c>
      <c r="F18" s="768" t="s">
        <v>7387</v>
      </c>
      <c r="G18" s="99">
        <v>100</v>
      </c>
      <c r="H18" s="119">
        <f>G18</f>
        <v>100</v>
      </c>
      <c r="I18" s="338" t="s">
        <v>482</v>
      </c>
    </row>
    <row r="19" spans="1:26" ht="15" customHeight="1">
      <c r="A19" s="99" t="s">
        <v>6415</v>
      </c>
      <c r="B19" s="99" t="s">
        <v>51</v>
      </c>
      <c r="C19" s="99" t="s">
        <v>7388</v>
      </c>
      <c r="D19" s="238"/>
      <c r="E19" s="99" t="s">
        <v>6415</v>
      </c>
      <c r="F19" s="768" t="s">
        <v>7389</v>
      </c>
      <c r="G19" s="99" t="s">
        <v>7390</v>
      </c>
      <c r="H19" s="119">
        <v>450</v>
      </c>
      <c r="I19" s="338" t="s">
        <v>482</v>
      </c>
    </row>
    <row r="20" spans="1:26" ht="15" customHeight="1">
      <c r="A20" s="134" t="s">
        <v>6435</v>
      </c>
      <c r="B20" s="134" t="s">
        <v>51</v>
      </c>
      <c r="C20" s="99" t="s">
        <v>7391</v>
      </c>
      <c r="D20" s="238"/>
      <c r="E20" s="125" t="s">
        <v>7392</v>
      </c>
      <c r="F20" s="761" t="s">
        <v>7393</v>
      </c>
      <c r="G20" s="31">
        <v>100</v>
      </c>
      <c r="H20" s="31">
        <v>100</v>
      </c>
      <c r="I20" s="338" t="s">
        <v>2358</v>
      </c>
    </row>
    <row r="21" spans="1:26" ht="15" customHeight="1">
      <c r="A21" s="162" t="s">
        <v>2372</v>
      </c>
      <c r="B21" s="162" t="s">
        <v>51</v>
      </c>
      <c r="C21" s="162" t="s">
        <v>7394</v>
      </c>
      <c r="D21" s="454"/>
      <c r="E21" s="1108" t="s">
        <v>7395</v>
      </c>
      <c r="F21" s="1082" t="s">
        <v>7396</v>
      </c>
      <c r="G21" s="30">
        <v>300</v>
      </c>
      <c r="H21" s="30">
        <v>300</v>
      </c>
      <c r="I21" s="338" t="s">
        <v>2372</v>
      </c>
    </row>
    <row r="22" spans="1:26" ht="15" customHeight="1">
      <c r="A22" s="162" t="s">
        <v>2372</v>
      </c>
      <c r="B22" s="162" t="s">
        <v>51</v>
      </c>
      <c r="C22" s="162" t="s">
        <v>7397</v>
      </c>
      <c r="D22" s="454"/>
      <c r="E22" s="1108" t="s">
        <v>7395</v>
      </c>
      <c r="F22" s="1082" t="s">
        <v>7398</v>
      </c>
      <c r="G22" s="30">
        <v>100</v>
      </c>
      <c r="H22" s="30">
        <v>100</v>
      </c>
      <c r="I22" s="338" t="s">
        <v>2372</v>
      </c>
    </row>
    <row r="23" spans="1:26" ht="15" customHeight="1">
      <c r="A23" s="99" t="s">
        <v>547</v>
      </c>
      <c r="B23" s="99" t="s">
        <v>51</v>
      </c>
      <c r="C23" s="99" t="s">
        <v>7375</v>
      </c>
      <c r="D23" s="238"/>
      <c r="E23" s="99" t="s">
        <v>547</v>
      </c>
      <c r="F23" s="761" t="s">
        <v>7399</v>
      </c>
      <c r="G23" s="99">
        <v>100</v>
      </c>
      <c r="H23" s="119">
        <v>100</v>
      </c>
      <c r="I23" s="338" t="s">
        <v>547</v>
      </c>
    </row>
    <row r="24" spans="1:26" ht="15.75" customHeight="1">
      <c r="A24" s="134" t="s">
        <v>7400</v>
      </c>
      <c r="B24" s="134" t="s">
        <v>141</v>
      </c>
      <c r="C24" s="99" t="s">
        <v>7383</v>
      </c>
      <c r="D24" s="238"/>
      <c r="E24" s="125" t="s">
        <v>7401</v>
      </c>
      <c r="F24" s="761" t="s">
        <v>7402</v>
      </c>
      <c r="G24" s="31">
        <v>100</v>
      </c>
      <c r="H24" s="31">
        <v>100</v>
      </c>
      <c r="I24" s="216" t="s">
        <v>7401</v>
      </c>
      <c r="J24" s="216"/>
      <c r="K24" s="216"/>
      <c r="L24" s="216"/>
      <c r="M24" s="216"/>
      <c r="N24" s="216"/>
      <c r="O24" s="216"/>
      <c r="P24" s="216"/>
      <c r="Q24" s="216"/>
      <c r="R24" s="216"/>
      <c r="S24" s="216"/>
      <c r="T24" s="216"/>
      <c r="U24" s="216"/>
      <c r="V24" s="216"/>
      <c r="W24" s="216"/>
      <c r="X24" s="216"/>
      <c r="Y24" s="216"/>
      <c r="Z24" s="216"/>
    </row>
    <row r="25" spans="1:26" ht="15.75" customHeight="1">
      <c r="A25" s="107" t="s">
        <v>730</v>
      </c>
      <c r="B25" s="108" t="s">
        <v>141</v>
      </c>
      <c r="C25" s="99" t="s">
        <v>7377</v>
      </c>
      <c r="D25" s="238"/>
      <c r="E25" s="107" t="s">
        <v>730</v>
      </c>
      <c r="F25" s="761" t="s">
        <v>7403</v>
      </c>
      <c r="G25" s="31">
        <v>100</v>
      </c>
      <c r="H25" s="31">
        <v>100</v>
      </c>
      <c r="I25" s="216" t="s">
        <v>730</v>
      </c>
      <c r="J25" s="216"/>
      <c r="K25" s="216"/>
      <c r="L25" s="216"/>
      <c r="M25" s="216"/>
      <c r="N25" s="216"/>
      <c r="O25" s="216"/>
      <c r="P25" s="216"/>
      <c r="Q25" s="216"/>
      <c r="R25" s="216"/>
      <c r="S25" s="216"/>
      <c r="T25" s="216"/>
      <c r="U25" s="216"/>
      <c r="V25" s="216"/>
      <c r="W25" s="216"/>
      <c r="X25" s="216"/>
      <c r="Y25" s="216"/>
      <c r="Z25" s="216"/>
    </row>
    <row r="26" spans="1:26" ht="15.75" customHeight="1">
      <c r="A26" s="134" t="s">
        <v>7404</v>
      </c>
      <c r="B26" s="134" t="s">
        <v>141</v>
      </c>
      <c r="C26" s="99" t="s">
        <v>7391</v>
      </c>
      <c r="D26" s="238"/>
      <c r="E26" s="125" t="s">
        <v>7405</v>
      </c>
      <c r="F26" s="761" t="s">
        <v>7406</v>
      </c>
      <c r="G26" s="31">
        <v>100</v>
      </c>
      <c r="H26" s="31">
        <v>100</v>
      </c>
      <c r="I26" s="216" t="str">
        <f t="shared" ref="I26:I32" si="0">A26</f>
        <v>Crețulescu Radu</v>
      </c>
      <c r="J26" s="216"/>
      <c r="K26" s="216"/>
      <c r="L26" s="216"/>
      <c r="M26" s="216"/>
      <c r="N26" s="216"/>
      <c r="O26" s="216"/>
      <c r="P26" s="216"/>
      <c r="Q26" s="216"/>
      <c r="R26" s="216"/>
      <c r="S26" s="216"/>
      <c r="T26" s="216"/>
      <c r="U26" s="216"/>
      <c r="V26" s="216"/>
      <c r="W26" s="216"/>
      <c r="X26" s="216"/>
      <c r="Y26" s="216"/>
      <c r="Z26" s="216"/>
    </row>
    <row r="27" spans="1:26" ht="15.75" customHeight="1">
      <c r="A27" s="134" t="s">
        <v>7407</v>
      </c>
      <c r="B27" s="133" t="s">
        <v>141</v>
      </c>
      <c r="C27" s="99" t="s">
        <v>7375</v>
      </c>
      <c r="D27" s="238"/>
      <c r="E27" s="134" t="s">
        <v>7407</v>
      </c>
      <c r="F27" s="134" t="s">
        <v>7408</v>
      </c>
      <c r="G27" s="134">
        <f>2*100</f>
        <v>200</v>
      </c>
      <c r="H27" s="134">
        <f>G27</f>
        <v>200</v>
      </c>
      <c r="I27" s="216" t="str">
        <f t="shared" si="0"/>
        <v>Prof.dr.ing. FLOREA Adrian</v>
      </c>
      <c r="J27" s="216"/>
      <c r="K27" s="216"/>
      <c r="L27" s="216"/>
      <c r="M27" s="216"/>
      <c r="N27" s="216"/>
      <c r="O27" s="216"/>
      <c r="P27" s="216"/>
      <c r="Q27" s="216"/>
      <c r="R27" s="216"/>
      <c r="S27" s="216"/>
      <c r="T27" s="216"/>
      <c r="U27" s="216"/>
      <c r="V27" s="216"/>
      <c r="W27" s="216"/>
      <c r="X27" s="216"/>
      <c r="Y27" s="216"/>
      <c r="Z27" s="216"/>
    </row>
    <row r="28" spans="1:26" ht="15.75" customHeight="1">
      <c r="A28" s="134" t="s">
        <v>829</v>
      </c>
      <c r="B28" s="134" t="s">
        <v>141</v>
      </c>
      <c r="C28" s="99" t="s">
        <v>7409</v>
      </c>
      <c r="D28" s="238"/>
      <c r="E28" s="665" t="s">
        <v>829</v>
      </c>
      <c r="F28" s="768" t="s">
        <v>7410</v>
      </c>
      <c r="G28" s="31">
        <v>200</v>
      </c>
      <c r="H28" s="31">
        <v>200</v>
      </c>
      <c r="I28" s="216" t="str">
        <f t="shared" si="0"/>
        <v>Gellert Arpad</v>
      </c>
      <c r="J28" s="216"/>
      <c r="K28" s="216"/>
      <c r="L28" s="216"/>
      <c r="M28" s="216"/>
      <c r="N28" s="216"/>
      <c r="O28" s="216"/>
      <c r="P28" s="216"/>
      <c r="Q28" s="216"/>
      <c r="R28" s="216"/>
      <c r="S28" s="216"/>
      <c r="T28" s="216"/>
      <c r="U28" s="216"/>
      <c r="V28" s="216"/>
      <c r="W28" s="216"/>
      <c r="X28" s="216"/>
      <c r="Y28" s="216"/>
      <c r="Z28" s="216"/>
    </row>
    <row r="29" spans="1:26" ht="15.75" customHeight="1">
      <c r="A29" s="134" t="s">
        <v>3249</v>
      </c>
      <c r="B29" s="133" t="s">
        <v>141</v>
      </c>
      <c r="C29" s="99" t="s">
        <v>7372</v>
      </c>
      <c r="D29" s="238"/>
      <c r="E29" s="125" t="s">
        <v>7411</v>
      </c>
      <c r="F29" s="761" t="s">
        <v>7412</v>
      </c>
      <c r="G29" s="31">
        <v>100</v>
      </c>
      <c r="H29" s="31">
        <v>100</v>
      </c>
      <c r="I29" s="216" t="str">
        <f t="shared" si="0"/>
        <v>Morariu Daniel</v>
      </c>
      <c r="J29" s="216"/>
      <c r="K29" s="216"/>
      <c r="L29" s="216"/>
      <c r="M29" s="216"/>
      <c r="N29" s="216"/>
      <c r="O29" s="216"/>
      <c r="P29" s="216"/>
      <c r="Q29" s="216"/>
      <c r="R29" s="216"/>
      <c r="S29" s="216"/>
      <c r="T29" s="216"/>
      <c r="U29" s="216"/>
      <c r="V29" s="216"/>
      <c r="W29" s="216"/>
      <c r="X29" s="216"/>
      <c r="Y29" s="216"/>
      <c r="Z29" s="216"/>
    </row>
    <row r="30" spans="1:26" ht="15.75" customHeight="1">
      <c r="A30" s="134" t="s">
        <v>1272</v>
      </c>
      <c r="B30" s="134" t="s">
        <v>141</v>
      </c>
      <c r="C30" s="99" t="s">
        <v>7388</v>
      </c>
      <c r="D30" s="238"/>
      <c r="E30" s="665" t="s">
        <v>7413</v>
      </c>
      <c r="F30" s="761"/>
      <c r="G30" s="31">
        <v>150</v>
      </c>
      <c r="H30" s="31">
        <v>450</v>
      </c>
      <c r="I30" s="216" t="str">
        <f t="shared" si="0"/>
        <v>Zamfirescu Bălă-Constantin</v>
      </c>
      <c r="J30" s="216"/>
      <c r="K30" s="216"/>
      <c r="L30" s="216"/>
      <c r="M30" s="216"/>
      <c r="N30" s="216"/>
      <c r="O30" s="216"/>
      <c r="P30" s="216"/>
      <c r="Q30" s="216"/>
      <c r="R30" s="216"/>
      <c r="S30" s="216"/>
      <c r="T30" s="216"/>
      <c r="U30" s="216"/>
      <c r="V30" s="216"/>
      <c r="W30" s="216"/>
      <c r="X30" s="216"/>
      <c r="Y30" s="216"/>
      <c r="Z30" s="216"/>
    </row>
    <row r="31" spans="1:26" ht="15.75" customHeight="1">
      <c r="A31" s="134" t="s">
        <v>1273</v>
      </c>
      <c r="B31" s="134" t="s">
        <v>141</v>
      </c>
      <c r="C31" s="99" t="s">
        <v>7368</v>
      </c>
      <c r="D31" s="238"/>
      <c r="E31" s="134" t="s">
        <v>1273</v>
      </c>
      <c r="F31" s="761" t="s">
        <v>7414</v>
      </c>
      <c r="G31" s="31">
        <v>100</v>
      </c>
      <c r="H31" s="31">
        <v>100</v>
      </c>
      <c r="I31" s="216" t="str">
        <f t="shared" si="0"/>
        <v>Mihai Neghina</v>
      </c>
      <c r="J31" s="216"/>
      <c r="K31" s="216"/>
      <c r="L31" s="216"/>
      <c r="M31" s="216"/>
      <c r="N31" s="216"/>
      <c r="O31" s="216"/>
      <c r="P31" s="216"/>
      <c r="Q31" s="216"/>
      <c r="R31" s="216"/>
      <c r="S31" s="216"/>
      <c r="T31" s="216"/>
      <c r="U31" s="216"/>
      <c r="V31" s="216"/>
      <c r="W31" s="216"/>
      <c r="X31" s="216"/>
      <c r="Y31" s="216"/>
      <c r="Z31" s="216"/>
    </row>
    <row r="32" spans="1:26" ht="15.75" customHeight="1">
      <c r="A32" s="107" t="s">
        <v>3415</v>
      </c>
      <c r="B32" s="108" t="s">
        <v>141</v>
      </c>
      <c r="C32" s="99" t="s">
        <v>7375</v>
      </c>
      <c r="D32" s="238"/>
      <c r="E32" s="107" t="s">
        <v>3415</v>
      </c>
      <c r="F32" s="761" t="s">
        <v>7415</v>
      </c>
      <c r="G32" s="31">
        <v>100</v>
      </c>
      <c r="H32" s="31">
        <v>100</v>
      </c>
      <c r="I32" s="216" t="str">
        <f t="shared" si="0"/>
        <v>Panu Mihai</v>
      </c>
      <c r="J32" s="216"/>
      <c r="K32" s="216"/>
      <c r="L32" s="216"/>
      <c r="M32" s="216"/>
      <c r="N32" s="216"/>
      <c r="O32" s="216"/>
      <c r="P32" s="216"/>
      <c r="Q32" s="216"/>
      <c r="R32" s="216"/>
      <c r="S32" s="216"/>
      <c r="T32" s="216"/>
      <c r="U32" s="216"/>
      <c r="V32" s="216"/>
      <c r="W32" s="216"/>
      <c r="X32" s="216"/>
      <c r="Y32" s="216"/>
      <c r="Z32" s="216"/>
    </row>
    <row r="33" spans="1:26" ht="15.75" customHeight="1">
      <c r="A33" s="107" t="s">
        <v>6654</v>
      </c>
      <c r="B33" s="108" t="s">
        <v>141</v>
      </c>
      <c r="C33" s="99" t="s">
        <v>7372</v>
      </c>
      <c r="D33" s="238" t="s">
        <v>7416</v>
      </c>
      <c r="E33" s="107" t="s">
        <v>6654</v>
      </c>
      <c r="F33" s="761" t="s">
        <v>7417</v>
      </c>
      <c r="G33" s="31">
        <v>100</v>
      </c>
      <c r="H33" s="31">
        <v>100</v>
      </c>
      <c r="I33" s="216" t="s">
        <v>6654</v>
      </c>
      <c r="J33" s="216"/>
      <c r="K33" s="216"/>
      <c r="L33" s="216"/>
      <c r="M33" s="216"/>
      <c r="N33" s="216"/>
      <c r="O33" s="216"/>
      <c r="P33" s="216"/>
      <c r="Q33" s="216"/>
      <c r="R33" s="216"/>
      <c r="S33" s="216"/>
      <c r="T33" s="216"/>
      <c r="U33" s="216"/>
      <c r="V33" s="216"/>
      <c r="W33" s="216"/>
      <c r="X33" s="216"/>
      <c r="Y33" s="216"/>
      <c r="Z33" s="216"/>
    </row>
    <row r="34" spans="1:26" ht="15" customHeight="1">
      <c r="A34" s="134" t="s">
        <v>7245</v>
      </c>
      <c r="B34" s="134" t="s">
        <v>105</v>
      </c>
      <c r="C34" s="99" t="s">
        <v>7418</v>
      </c>
      <c r="D34" s="238"/>
      <c r="E34" s="665" t="s">
        <v>7373</v>
      </c>
      <c r="F34" s="768" t="s">
        <v>7419</v>
      </c>
      <c r="G34" s="30" t="s">
        <v>7420</v>
      </c>
      <c r="H34" s="30">
        <v>300</v>
      </c>
      <c r="I34" s="338" t="s">
        <v>952</v>
      </c>
      <c r="J34" s="216"/>
      <c r="K34" s="216"/>
      <c r="L34" s="216"/>
      <c r="M34" s="216"/>
      <c r="N34" s="216"/>
      <c r="O34" s="216"/>
      <c r="P34" s="216"/>
      <c r="Q34" s="216"/>
      <c r="R34" s="216"/>
      <c r="S34" s="216"/>
      <c r="T34" s="216"/>
      <c r="U34" s="216"/>
      <c r="V34" s="216"/>
      <c r="W34" s="216"/>
      <c r="X34" s="216"/>
      <c r="Y34" s="216"/>
      <c r="Z34" s="216"/>
    </row>
    <row r="35" spans="1:26" ht="15" customHeight="1">
      <c r="A35" s="134" t="s">
        <v>7245</v>
      </c>
      <c r="B35" s="134" t="s">
        <v>105</v>
      </c>
      <c r="C35" s="99" t="s">
        <v>7421</v>
      </c>
      <c r="D35" s="238"/>
      <c r="E35" s="665" t="s">
        <v>7373</v>
      </c>
      <c r="F35" s="768" t="s">
        <v>7422</v>
      </c>
      <c r="G35" s="30">
        <v>100</v>
      </c>
      <c r="H35" s="30">
        <v>100</v>
      </c>
      <c r="I35" s="338" t="s">
        <v>952</v>
      </c>
      <c r="J35" s="216"/>
      <c r="K35" s="216"/>
      <c r="L35" s="216"/>
      <c r="M35" s="216"/>
      <c r="N35" s="216"/>
      <c r="O35" s="216"/>
      <c r="P35" s="216"/>
      <c r="Q35" s="216"/>
      <c r="R35" s="216"/>
      <c r="S35" s="216"/>
      <c r="T35" s="216"/>
      <c r="U35" s="216"/>
      <c r="V35" s="216"/>
      <c r="W35" s="216"/>
      <c r="X35" s="216"/>
      <c r="Y35" s="216"/>
      <c r="Z35" s="216"/>
    </row>
    <row r="36" spans="1:26" ht="15" customHeight="1">
      <c r="A36" s="134" t="s">
        <v>6796</v>
      </c>
      <c r="B36" s="134" t="s">
        <v>105</v>
      </c>
      <c r="C36" s="99" t="s">
        <v>7418</v>
      </c>
      <c r="D36" s="238"/>
      <c r="E36" s="665" t="s">
        <v>7373</v>
      </c>
      <c r="F36" s="768" t="s">
        <v>7423</v>
      </c>
      <c r="G36" s="30" t="s">
        <v>7424</v>
      </c>
      <c r="H36" s="30">
        <v>200</v>
      </c>
      <c r="I36" s="338" t="s">
        <v>126</v>
      </c>
      <c r="J36" s="216"/>
      <c r="K36" s="216"/>
      <c r="L36" s="216"/>
      <c r="M36" s="216"/>
      <c r="N36" s="216"/>
      <c r="O36" s="216"/>
      <c r="P36" s="216"/>
      <c r="Q36" s="216"/>
      <c r="R36" s="216"/>
      <c r="S36" s="216"/>
      <c r="T36" s="216"/>
      <c r="U36" s="216"/>
      <c r="V36" s="216"/>
      <c r="W36" s="216"/>
      <c r="X36" s="216"/>
      <c r="Y36" s="216"/>
      <c r="Z36" s="216"/>
    </row>
    <row r="37" spans="1:26" ht="15" customHeight="1">
      <c r="A37" s="134" t="s">
        <v>6823</v>
      </c>
      <c r="B37" s="134" t="s">
        <v>105</v>
      </c>
      <c r="C37" s="99" t="s">
        <v>7418</v>
      </c>
      <c r="D37" s="238"/>
      <c r="E37" s="665" t="s">
        <v>7373</v>
      </c>
      <c r="F37" s="768" t="s">
        <v>7425</v>
      </c>
      <c r="G37" s="31">
        <f t="shared" ref="G37:G38" si="1">100*3</f>
        <v>300</v>
      </c>
      <c r="H37" s="31">
        <v>300</v>
      </c>
      <c r="I37" s="338" t="s">
        <v>119</v>
      </c>
      <c r="J37" s="216"/>
      <c r="K37" s="216"/>
      <c r="L37" s="216"/>
      <c r="M37" s="216"/>
      <c r="N37" s="216"/>
      <c r="O37" s="216"/>
      <c r="P37" s="216"/>
      <c r="Q37" s="216"/>
      <c r="R37" s="216"/>
      <c r="S37" s="216"/>
      <c r="T37" s="216"/>
      <c r="U37" s="216"/>
      <c r="V37" s="216"/>
      <c r="W37" s="216"/>
      <c r="X37" s="216"/>
      <c r="Y37" s="216"/>
      <c r="Z37" s="216"/>
    </row>
    <row r="38" spans="1:26" ht="15" customHeight="1">
      <c r="A38" s="134" t="s">
        <v>6823</v>
      </c>
      <c r="B38" s="134" t="s">
        <v>105</v>
      </c>
      <c r="C38" s="99" t="s">
        <v>7418</v>
      </c>
      <c r="D38" s="238"/>
      <c r="E38" s="665" t="s">
        <v>7373</v>
      </c>
      <c r="F38" s="768" t="s">
        <v>7426</v>
      </c>
      <c r="G38" s="31">
        <f t="shared" si="1"/>
        <v>300</v>
      </c>
      <c r="H38" s="31">
        <f t="shared" ref="H38:H39" si="2">G38</f>
        <v>300</v>
      </c>
      <c r="I38" s="338" t="s">
        <v>119</v>
      </c>
      <c r="J38" s="216"/>
      <c r="K38" s="216"/>
      <c r="L38" s="216"/>
      <c r="M38" s="216"/>
      <c r="N38" s="216"/>
      <c r="O38" s="216"/>
      <c r="P38" s="216"/>
      <c r="Q38" s="216"/>
      <c r="R38" s="216"/>
      <c r="S38" s="216"/>
      <c r="T38" s="216"/>
      <c r="U38" s="216"/>
      <c r="V38" s="216"/>
      <c r="W38" s="216"/>
      <c r="X38" s="216"/>
      <c r="Y38" s="216"/>
      <c r="Z38" s="216"/>
    </row>
    <row r="39" spans="1:26" ht="15" customHeight="1">
      <c r="A39" s="134" t="s">
        <v>6823</v>
      </c>
      <c r="B39" s="134" t="s">
        <v>105</v>
      </c>
      <c r="C39" s="99" t="s">
        <v>7375</v>
      </c>
      <c r="D39" s="238"/>
      <c r="E39" s="665" t="s">
        <v>7373</v>
      </c>
      <c r="F39" s="768" t="s">
        <v>7427</v>
      </c>
      <c r="G39" s="31">
        <v>100</v>
      </c>
      <c r="H39" s="31">
        <f t="shared" si="2"/>
        <v>100</v>
      </c>
      <c r="I39" s="338" t="s">
        <v>119</v>
      </c>
      <c r="J39" s="216"/>
      <c r="K39" s="216"/>
      <c r="L39" s="216"/>
      <c r="M39" s="216"/>
      <c r="N39" s="216"/>
      <c r="O39" s="216"/>
      <c r="P39" s="216"/>
      <c r="Q39" s="216"/>
      <c r="R39" s="216"/>
      <c r="S39" s="216"/>
      <c r="T39" s="216"/>
      <c r="U39" s="216"/>
      <c r="V39" s="216"/>
      <c r="W39" s="216"/>
      <c r="X39" s="216"/>
      <c r="Y39" s="216"/>
      <c r="Z39" s="216"/>
    </row>
    <row r="40" spans="1:26" ht="15" customHeight="1">
      <c r="A40" s="134" t="s">
        <v>7428</v>
      </c>
      <c r="B40" s="134" t="s">
        <v>105</v>
      </c>
      <c r="C40" s="99" t="s">
        <v>7429</v>
      </c>
      <c r="D40" s="238"/>
      <c r="E40" s="125" t="s">
        <v>7405</v>
      </c>
      <c r="F40" s="761" t="s">
        <v>7430</v>
      </c>
      <c r="G40" s="31">
        <v>100</v>
      </c>
      <c r="H40" s="31">
        <v>100</v>
      </c>
      <c r="I40" s="338" t="s">
        <v>129</v>
      </c>
      <c r="J40" s="216"/>
      <c r="K40" s="216"/>
      <c r="L40" s="216"/>
      <c r="M40" s="216"/>
      <c r="N40" s="216"/>
      <c r="O40" s="216"/>
      <c r="P40" s="216"/>
      <c r="Q40" s="216"/>
      <c r="R40" s="216"/>
      <c r="S40" s="216"/>
      <c r="T40" s="216"/>
      <c r="U40" s="216"/>
      <c r="V40" s="216"/>
      <c r="W40" s="216"/>
      <c r="X40" s="216"/>
      <c r="Y40" s="216"/>
      <c r="Z40" s="216"/>
    </row>
    <row r="41" spans="1:26" ht="15" customHeight="1">
      <c r="A41" s="134" t="s">
        <v>7431</v>
      </c>
      <c r="B41" s="134" t="s">
        <v>105</v>
      </c>
      <c r="C41" s="99" t="s">
        <v>7377</v>
      </c>
      <c r="D41" s="238"/>
      <c r="E41" s="125" t="s">
        <v>7405</v>
      </c>
      <c r="F41" s="761" t="s">
        <v>7432</v>
      </c>
      <c r="G41" s="31">
        <v>100</v>
      </c>
      <c r="H41" s="31">
        <v>100</v>
      </c>
      <c r="I41" s="338" t="s">
        <v>130</v>
      </c>
      <c r="J41" s="216"/>
      <c r="K41" s="216"/>
      <c r="L41" s="216"/>
      <c r="M41" s="216"/>
      <c r="N41" s="216"/>
      <c r="O41" s="216"/>
      <c r="P41" s="216"/>
      <c r="Q41" s="216"/>
      <c r="R41" s="216"/>
      <c r="S41" s="216"/>
      <c r="T41" s="216"/>
      <c r="U41" s="216"/>
      <c r="V41" s="216"/>
      <c r="W41" s="216"/>
      <c r="X41" s="216"/>
      <c r="Y41" s="216"/>
      <c r="Z41" s="216"/>
    </row>
    <row r="42" spans="1:26" ht="15" customHeight="1">
      <c r="A42" s="447" t="s">
        <v>7433</v>
      </c>
      <c r="B42" s="162" t="s">
        <v>105</v>
      </c>
      <c r="C42" s="162" t="s">
        <v>7388</v>
      </c>
      <c r="D42" s="454"/>
      <c r="E42" s="1108" t="s">
        <v>7434</v>
      </c>
      <c r="F42" s="1082" t="s">
        <v>7435</v>
      </c>
      <c r="G42" s="461">
        <v>150</v>
      </c>
      <c r="H42" s="462">
        <v>150</v>
      </c>
      <c r="I42" s="338" t="s">
        <v>112</v>
      </c>
      <c r="J42" s="216"/>
      <c r="K42" s="216"/>
      <c r="L42" s="216"/>
      <c r="M42" s="216"/>
      <c r="N42" s="216"/>
      <c r="O42" s="216"/>
      <c r="P42" s="216"/>
      <c r="Q42" s="216"/>
      <c r="R42" s="216"/>
      <c r="S42" s="216"/>
      <c r="T42" s="216"/>
      <c r="U42" s="216"/>
      <c r="V42" s="216"/>
      <c r="W42" s="216"/>
      <c r="X42" s="216"/>
      <c r="Y42" s="216"/>
      <c r="Z42" s="216"/>
    </row>
    <row r="43" spans="1:26" ht="15" customHeight="1">
      <c r="A43" s="134" t="s">
        <v>6907</v>
      </c>
      <c r="B43" s="134" t="s">
        <v>105</v>
      </c>
      <c r="C43" s="99" t="s">
        <v>7388</v>
      </c>
      <c r="D43" s="238"/>
      <c r="E43" s="665" t="s">
        <v>7436</v>
      </c>
      <c r="F43" s="768" t="s">
        <v>7437</v>
      </c>
      <c r="G43" s="803">
        <f>150*3</f>
        <v>450</v>
      </c>
      <c r="H43" s="803">
        <f>G43</f>
        <v>450</v>
      </c>
      <c r="I43" s="338" t="s">
        <v>113</v>
      </c>
      <c r="J43" s="216"/>
      <c r="K43" s="216"/>
      <c r="L43" s="216"/>
      <c r="M43" s="216"/>
      <c r="N43" s="216"/>
      <c r="O43" s="216"/>
      <c r="P43" s="216"/>
      <c r="Q43" s="216"/>
      <c r="R43" s="216"/>
      <c r="S43" s="216"/>
      <c r="T43" s="216"/>
      <c r="U43" s="216"/>
      <c r="V43" s="216"/>
      <c r="W43" s="216"/>
      <c r="X43" s="216"/>
      <c r="Y43" s="216"/>
      <c r="Z43" s="216"/>
    </row>
    <row r="44" spans="1:26" ht="15" customHeight="1">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15.75" customHeight="1"/>
    <row r="46" spans="1:26" ht="15" customHeight="1">
      <c r="A46" s="332" t="s">
        <v>169</v>
      </c>
      <c r="H46" s="332">
        <f>SUM(H12:H43)</f>
        <v>5700</v>
      </c>
    </row>
    <row r="47" spans="1:26" ht="15.75" customHeight="1"/>
    <row r="48" spans="1:26" ht="15" customHeight="1">
      <c r="A48" s="1231" t="s">
        <v>1156</v>
      </c>
      <c r="B48" s="1232"/>
      <c r="C48" s="1232"/>
      <c r="D48" s="1232"/>
      <c r="E48" s="1232"/>
      <c r="F48" s="1232"/>
      <c r="G48" s="1232"/>
      <c r="H48" s="1233"/>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H8"/>
    <mergeCell ref="A9:H9"/>
    <mergeCell ref="A48:H48"/>
    <mergeCell ref="A2:H2"/>
    <mergeCell ref="A4:H4"/>
    <mergeCell ref="A5:H5"/>
    <mergeCell ref="A6:H6"/>
    <mergeCell ref="A7:H7"/>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X1000"/>
  <sheetViews>
    <sheetView workbookViewId="0"/>
  </sheetViews>
  <sheetFormatPr defaultColWidth="14.3984375" defaultRowHeight="15" customHeight="1"/>
  <cols>
    <col min="1" max="1" width="23.73046875" customWidth="1"/>
    <col min="2" max="2" width="10.265625" customWidth="1"/>
    <col min="3" max="3" width="27.73046875" customWidth="1"/>
    <col min="4" max="4" width="23.3984375" customWidth="1"/>
    <col min="5" max="5" width="15.265625" customWidth="1"/>
    <col min="6" max="6" width="26.3984375" customWidth="1"/>
    <col min="7" max="7" width="10.73046875" customWidth="1"/>
    <col min="8" max="8" width="16.1328125" customWidth="1"/>
    <col min="9" max="9" width="14" customWidth="1"/>
    <col min="10" max="24" width="8" customWidth="1"/>
  </cols>
  <sheetData>
    <row r="1" spans="1:24" ht="14.25">
      <c r="A1" s="64"/>
      <c r="B1" s="65"/>
      <c r="C1" s="65"/>
      <c r="D1" s="65"/>
      <c r="E1" s="65"/>
      <c r="F1" s="65"/>
      <c r="G1" s="65"/>
      <c r="H1" s="1"/>
    </row>
    <row r="2" spans="1:24" ht="15.75" customHeight="1">
      <c r="A2" s="1234" t="s">
        <v>7438</v>
      </c>
      <c r="B2" s="1227"/>
      <c r="C2" s="1227"/>
      <c r="D2" s="1227"/>
      <c r="E2" s="1227"/>
      <c r="F2" s="1227"/>
      <c r="G2" s="1227"/>
      <c r="H2" s="1228"/>
      <c r="I2" s="69"/>
      <c r="J2" s="69"/>
      <c r="K2" s="69"/>
      <c r="L2" s="69"/>
      <c r="M2" s="69"/>
      <c r="N2" s="69"/>
      <c r="O2" s="69"/>
      <c r="P2" s="69"/>
      <c r="Q2" s="69"/>
      <c r="R2" s="69"/>
      <c r="S2" s="69"/>
      <c r="T2" s="69"/>
      <c r="U2" s="69"/>
      <c r="V2" s="69"/>
      <c r="W2" s="69"/>
      <c r="X2" s="69"/>
    </row>
    <row r="3" spans="1:24" ht="14.25">
      <c r="A3" s="80"/>
      <c r="B3" s="80"/>
      <c r="C3" s="80"/>
      <c r="D3" s="80"/>
      <c r="E3" s="80"/>
      <c r="F3" s="80"/>
      <c r="G3" s="80"/>
      <c r="H3" s="68"/>
      <c r="I3" s="69"/>
      <c r="J3" s="69"/>
      <c r="K3" s="69"/>
      <c r="L3" s="69"/>
      <c r="M3" s="69"/>
      <c r="N3" s="69"/>
      <c r="O3" s="69"/>
      <c r="P3" s="69"/>
      <c r="Q3" s="69"/>
      <c r="R3" s="69"/>
      <c r="S3" s="69"/>
      <c r="T3" s="69"/>
      <c r="U3" s="69"/>
      <c r="V3" s="69"/>
      <c r="W3" s="69"/>
      <c r="X3" s="69"/>
    </row>
    <row r="4" spans="1:24" ht="18.75" customHeight="1">
      <c r="A4" s="1226" t="s">
        <v>7439</v>
      </c>
      <c r="B4" s="1227"/>
      <c r="C4" s="1227"/>
      <c r="D4" s="1227"/>
      <c r="E4" s="1227"/>
      <c r="F4" s="1227"/>
      <c r="G4" s="1227"/>
      <c r="H4" s="1228"/>
      <c r="I4" s="348"/>
      <c r="J4" s="348"/>
      <c r="K4" s="348"/>
      <c r="L4" s="348"/>
      <c r="M4" s="348"/>
      <c r="N4" s="348"/>
      <c r="O4" s="348"/>
      <c r="P4" s="348"/>
      <c r="Q4" s="348"/>
      <c r="R4" s="348"/>
      <c r="S4" s="348"/>
      <c r="T4" s="348"/>
      <c r="U4" s="348"/>
      <c r="V4" s="348"/>
      <c r="W4" s="348"/>
      <c r="X4" s="348"/>
    </row>
    <row r="5" spans="1:24" ht="14.25" customHeight="1">
      <c r="A5" s="1226" t="s">
        <v>7440</v>
      </c>
      <c r="B5" s="1227"/>
      <c r="C5" s="1227"/>
      <c r="D5" s="1227"/>
      <c r="E5" s="1227"/>
      <c r="F5" s="1227"/>
      <c r="G5" s="1227"/>
      <c r="H5" s="1228"/>
      <c r="I5" s="348"/>
      <c r="J5" s="348"/>
      <c r="K5" s="348"/>
      <c r="L5" s="348"/>
      <c r="M5" s="348"/>
      <c r="N5" s="348"/>
      <c r="O5" s="348"/>
      <c r="P5" s="348"/>
      <c r="Q5" s="348"/>
      <c r="R5" s="348"/>
      <c r="S5" s="348"/>
      <c r="T5" s="348"/>
      <c r="U5" s="348"/>
      <c r="V5" s="348"/>
      <c r="W5" s="348"/>
      <c r="X5" s="348"/>
    </row>
    <row r="6" spans="1:24" ht="13.5" customHeight="1">
      <c r="A6" s="1226" t="s">
        <v>7441</v>
      </c>
      <c r="B6" s="1227"/>
      <c r="C6" s="1227"/>
      <c r="D6" s="1227"/>
      <c r="E6" s="1227"/>
      <c r="F6" s="1227"/>
      <c r="G6" s="1227"/>
      <c r="H6" s="1228"/>
      <c r="I6" s="348"/>
      <c r="J6" s="348"/>
      <c r="K6" s="348"/>
      <c r="L6" s="348"/>
      <c r="M6" s="348"/>
      <c r="N6" s="348"/>
      <c r="O6" s="348"/>
      <c r="P6" s="348"/>
      <c r="Q6" s="348"/>
      <c r="R6" s="348"/>
      <c r="S6" s="348"/>
      <c r="T6" s="348"/>
      <c r="U6" s="348"/>
      <c r="V6" s="348"/>
      <c r="W6" s="348"/>
      <c r="X6" s="348"/>
    </row>
    <row r="7" spans="1:24" ht="132.75" customHeight="1">
      <c r="A7" s="1229" t="s">
        <v>7442</v>
      </c>
      <c r="B7" s="1227"/>
      <c r="C7" s="1227"/>
      <c r="D7" s="1227"/>
      <c r="E7" s="1227"/>
      <c r="F7" s="1227"/>
      <c r="G7" s="1227"/>
      <c r="H7" s="1228"/>
      <c r="I7" s="348"/>
      <c r="J7" s="348"/>
      <c r="K7" s="348"/>
      <c r="L7" s="348"/>
      <c r="M7" s="348"/>
      <c r="N7" s="348"/>
      <c r="O7" s="348"/>
      <c r="P7" s="348"/>
      <c r="Q7" s="348"/>
      <c r="R7" s="348"/>
      <c r="S7" s="348"/>
      <c r="T7" s="348"/>
      <c r="U7" s="348"/>
      <c r="V7" s="348"/>
      <c r="W7" s="348"/>
      <c r="X7" s="348"/>
    </row>
    <row r="8" spans="1:24" ht="14.25">
      <c r="A8" s="77"/>
      <c r="B8" s="78"/>
      <c r="C8" s="78"/>
      <c r="D8" s="78"/>
      <c r="E8" s="78"/>
      <c r="F8" s="78"/>
      <c r="G8" s="78"/>
      <c r="H8" s="68"/>
      <c r="I8" s="69"/>
      <c r="J8" s="69"/>
      <c r="K8" s="69"/>
      <c r="L8" s="69"/>
      <c r="M8" s="69"/>
      <c r="N8" s="69"/>
      <c r="O8" s="69"/>
      <c r="P8" s="69"/>
      <c r="Q8" s="69"/>
      <c r="R8" s="69"/>
      <c r="S8" s="69"/>
      <c r="T8" s="69"/>
      <c r="U8" s="69"/>
      <c r="V8" s="69"/>
      <c r="W8" s="69"/>
      <c r="X8" s="69"/>
    </row>
    <row r="9" spans="1:24" ht="61.5" customHeight="1">
      <c r="A9" s="85" t="s">
        <v>4419</v>
      </c>
      <c r="B9" s="85" t="s">
        <v>7</v>
      </c>
      <c r="C9" s="85" t="s">
        <v>4420</v>
      </c>
      <c r="D9" s="85" t="s">
        <v>7443</v>
      </c>
      <c r="E9" s="85" t="s">
        <v>4422</v>
      </c>
      <c r="F9" s="85" t="s">
        <v>4423</v>
      </c>
      <c r="G9" s="81" t="s">
        <v>206</v>
      </c>
      <c r="H9" s="350" t="s">
        <v>210</v>
      </c>
      <c r="I9" s="336" t="s">
        <v>211</v>
      </c>
      <c r="J9" s="69"/>
      <c r="K9" s="69"/>
      <c r="L9" s="69"/>
      <c r="M9" s="69"/>
      <c r="N9" s="69"/>
      <c r="O9" s="69"/>
      <c r="P9" s="69"/>
      <c r="Q9" s="69"/>
      <c r="R9" s="69"/>
      <c r="S9" s="69"/>
      <c r="T9" s="69"/>
      <c r="U9" s="69"/>
      <c r="V9" s="69"/>
      <c r="W9" s="69"/>
      <c r="X9" s="69"/>
    </row>
    <row r="10" spans="1:24" ht="15" customHeight="1">
      <c r="A10" s="162" t="s">
        <v>7444</v>
      </c>
      <c r="B10" s="162" t="s">
        <v>51</v>
      </c>
      <c r="C10" s="162" t="s">
        <v>7445</v>
      </c>
      <c r="D10" s="162" t="s">
        <v>7446</v>
      </c>
      <c r="E10" s="162" t="s">
        <v>7447</v>
      </c>
      <c r="F10" s="162" t="s">
        <v>7448</v>
      </c>
      <c r="G10" s="451" t="s">
        <v>7449</v>
      </c>
      <c r="H10" s="807">
        <v>50</v>
      </c>
      <c r="I10" s="338" t="s">
        <v>2372</v>
      </c>
    </row>
    <row r="11" spans="1:24" ht="15" customHeight="1">
      <c r="A11" s="134" t="s">
        <v>7450</v>
      </c>
      <c r="B11" s="99" t="s">
        <v>51</v>
      </c>
      <c r="C11" s="99" t="s">
        <v>7451</v>
      </c>
      <c r="D11" s="133" t="s">
        <v>7452</v>
      </c>
      <c r="E11" s="133" t="s">
        <v>7453</v>
      </c>
      <c r="F11" s="133" t="s">
        <v>7454</v>
      </c>
      <c r="G11" s="451">
        <v>100</v>
      </c>
      <c r="H11" s="807">
        <f>G11/2</f>
        <v>50</v>
      </c>
      <c r="I11" s="338" t="s">
        <v>2513</v>
      </c>
    </row>
    <row r="12" spans="1:24" ht="15" customHeight="1">
      <c r="A12" s="162" t="s">
        <v>7455</v>
      </c>
      <c r="B12" s="162" t="s">
        <v>51</v>
      </c>
      <c r="C12" s="162" t="s">
        <v>7456</v>
      </c>
      <c r="D12" s="162" t="s">
        <v>7457</v>
      </c>
      <c r="E12" s="162" t="s">
        <v>7128</v>
      </c>
      <c r="F12" s="162"/>
      <c r="G12" s="451" t="s">
        <v>7458</v>
      </c>
      <c r="H12" s="807">
        <v>25</v>
      </c>
      <c r="I12" s="338" t="s">
        <v>4565</v>
      </c>
    </row>
    <row r="13" spans="1:24" ht="15" customHeight="1">
      <c r="A13" s="162" t="s">
        <v>7459</v>
      </c>
      <c r="B13" s="162" t="s">
        <v>51</v>
      </c>
      <c r="C13" s="162" t="s">
        <v>7456</v>
      </c>
      <c r="D13" s="162" t="s">
        <v>7457</v>
      </c>
      <c r="E13" s="162" t="s">
        <v>7128</v>
      </c>
      <c r="F13" s="156"/>
      <c r="G13" s="997" t="s">
        <v>7460</v>
      </c>
      <c r="H13" s="18">
        <v>100</v>
      </c>
      <c r="I13" s="338" t="s">
        <v>4565</v>
      </c>
    </row>
    <row r="14" spans="1:24" ht="15" customHeight="1">
      <c r="A14" s="162" t="s">
        <v>7461</v>
      </c>
      <c r="B14" s="162" t="s">
        <v>51</v>
      </c>
      <c r="C14" s="162" t="s">
        <v>7456</v>
      </c>
      <c r="D14" s="162" t="s">
        <v>7457</v>
      </c>
      <c r="E14" s="162" t="s">
        <v>7128</v>
      </c>
      <c r="F14" s="162"/>
      <c r="G14" s="1082" t="s">
        <v>7460</v>
      </c>
      <c r="H14" s="18">
        <v>100</v>
      </c>
      <c r="I14" s="338" t="s">
        <v>4565</v>
      </c>
    </row>
    <row r="15" spans="1:24" ht="15" customHeight="1">
      <c r="A15" s="162" t="s">
        <v>7462</v>
      </c>
      <c r="B15" s="162" t="s">
        <v>51</v>
      </c>
      <c r="C15" s="162" t="s">
        <v>7456</v>
      </c>
      <c r="D15" s="162" t="s">
        <v>7457</v>
      </c>
      <c r="E15" s="162" t="s">
        <v>7128</v>
      </c>
      <c r="F15" s="162"/>
      <c r="G15" s="1082" t="s">
        <v>7463</v>
      </c>
      <c r="H15" s="18">
        <v>80</v>
      </c>
      <c r="I15" s="338" t="s">
        <v>4565</v>
      </c>
    </row>
    <row r="16" spans="1:24" ht="15" customHeight="1">
      <c r="A16" s="134" t="s">
        <v>7464</v>
      </c>
      <c r="B16" s="99" t="s">
        <v>51</v>
      </c>
      <c r="C16" s="99" t="s">
        <v>7465</v>
      </c>
      <c r="D16" s="133" t="s">
        <v>7466</v>
      </c>
      <c r="E16" s="133" t="s">
        <v>7467</v>
      </c>
      <c r="F16" s="130" t="s">
        <v>7468</v>
      </c>
      <c r="G16" s="1078">
        <v>160</v>
      </c>
      <c r="H16" s="19">
        <v>160</v>
      </c>
      <c r="I16" s="338" t="s">
        <v>608</v>
      </c>
    </row>
    <row r="17" spans="1:9" ht="15" customHeight="1">
      <c r="A17" s="438" t="s">
        <v>7469</v>
      </c>
      <c r="B17" s="99" t="s">
        <v>51</v>
      </c>
      <c r="C17" s="99" t="s">
        <v>7465</v>
      </c>
      <c r="D17" s="133" t="s">
        <v>7466</v>
      </c>
      <c r="E17" s="133" t="s">
        <v>7467</v>
      </c>
      <c r="F17" s="130" t="s">
        <v>7468</v>
      </c>
      <c r="G17" s="1078">
        <v>160</v>
      </c>
      <c r="H17" s="19">
        <v>160</v>
      </c>
      <c r="I17" s="338" t="s">
        <v>608</v>
      </c>
    </row>
    <row r="18" spans="1:9" ht="15" customHeight="1">
      <c r="A18" s="438" t="s">
        <v>7470</v>
      </c>
      <c r="B18" s="99" t="s">
        <v>51</v>
      </c>
      <c r="C18" s="99" t="s">
        <v>7465</v>
      </c>
      <c r="D18" s="133" t="s">
        <v>7466</v>
      </c>
      <c r="E18" s="133" t="s">
        <v>7467</v>
      </c>
      <c r="F18" s="130" t="s">
        <v>7468</v>
      </c>
      <c r="G18" s="761">
        <v>120</v>
      </c>
      <c r="H18" s="781">
        <v>120</v>
      </c>
      <c r="I18" s="338" t="s">
        <v>608</v>
      </c>
    </row>
    <row r="19" spans="1:9" ht="15" customHeight="1">
      <c r="A19" s="438" t="s">
        <v>7471</v>
      </c>
      <c r="B19" s="99" t="s">
        <v>51</v>
      </c>
      <c r="C19" s="99" t="s">
        <v>7465</v>
      </c>
      <c r="D19" s="133" t="s">
        <v>7466</v>
      </c>
      <c r="E19" s="133" t="s">
        <v>7467</v>
      </c>
      <c r="F19" s="130" t="s">
        <v>7468</v>
      </c>
      <c r="G19" s="761">
        <v>120</v>
      </c>
      <c r="H19" s="781">
        <v>120</v>
      </c>
      <c r="I19" s="338" t="s">
        <v>608</v>
      </c>
    </row>
    <row r="20" spans="1:9" ht="15" customHeight="1">
      <c r="A20" s="107" t="s">
        <v>7472</v>
      </c>
      <c r="B20" s="177" t="s">
        <v>51</v>
      </c>
      <c r="C20" s="177" t="s">
        <v>7465</v>
      </c>
      <c r="D20" s="469" t="s">
        <v>7466</v>
      </c>
      <c r="E20" s="469" t="s">
        <v>7467</v>
      </c>
      <c r="F20" s="255" t="s">
        <v>7468</v>
      </c>
      <c r="G20" s="1109">
        <v>120</v>
      </c>
      <c r="H20" s="1110">
        <v>120</v>
      </c>
      <c r="I20" s="338" t="s">
        <v>608</v>
      </c>
    </row>
    <row r="21" spans="1:9" ht="15" customHeight="1">
      <c r="A21" s="438" t="s">
        <v>7469</v>
      </c>
      <c r="B21" s="99" t="s">
        <v>51</v>
      </c>
      <c r="C21" s="99" t="s">
        <v>7473</v>
      </c>
      <c r="D21" s="133" t="s">
        <v>7474</v>
      </c>
      <c r="E21" s="133" t="s">
        <v>7475</v>
      </c>
      <c r="F21" s="130" t="s">
        <v>7476</v>
      </c>
      <c r="G21" s="186">
        <v>60</v>
      </c>
      <c r="H21" s="781">
        <v>60</v>
      </c>
      <c r="I21" s="338" t="s">
        <v>608</v>
      </c>
    </row>
    <row r="22" spans="1:9" ht="15" customHeight="1">
      <c r="A22" s="438" t="s">
        <v>7464</v>
      </c>
      <c r="B22" s="99" t="s">
        <v>51</v>
      </c>
      <c r="C22" s="99" t="s">
        <v>7477</v>
      </c>
      <c r="D22" s="133" t="s">
        <v>7474</v>
      </c>
      <c r="E22" s="133" t="s">
        <v>7478</v>
      </c>
      <c r="F22" s="130" t="s">
        <v>7479</v>
      </c>
      <c r="G22" s="186">
        <v>80</v>
      </c>
      <c r="H22" s="781">
        <v>80</v>
      </c>
      <c r="I22" s="338" t="s">
        <v>608</v>
      </c>
    </row>
    <row r="23" spans="1:9" ht="15" customHeight="1">
      <c r="A23" s="438" t="s">
        <v>7480</v>
      </c>
      <c r="B23" s="99" t="s">
        <v>51</v>
      </c>
      <c r="C23" s="99" t="s">
        <v>7477</v>
      </c>
      <c r="D23" s="133" t="s">
        <v>7474</v>
      </c>
      <c r="E23" s="133" t="s">
        <v>7478</v>
      </c>
      <c r="F23" s="130" t="s">
        <v>7479</v>
      </c>
      <c r="G23" s="186">
        <v>60</v>
      </c>
      <c r="H23" s="781">
        <v>60</v>
      </c>
      <c r="I23" s="338" t="s">
        <v>608</v>
      </c>
    </row>
    <row r="24" spans="1:9" ht="15" customHeight="1">
      <c r="A24" s="438" t="s">
        <v>7481</v>
      </c>
      <c r="B24" s="99" t="s">
        <v>51</v>
      </c>
      <c r="C24" s="99" t="s">
        <v>7477</v>
      </c>
      <c r="D24" s="133" t="s">
        <v>7474</v>
      </c>
      <c r="E24" s="133" t="s">
        <v>7478</v>
      </c>
      <c r="F24" s="130" t="s">
        <v>7479</v>
      </c>
      <c r="G24" s="186">
        <v>60</v>
      </c>
      <c r="H24" s="781">
        <v>60</v>
      </c>
      <c r="I24" s="338" t="s">
        <v>608</v>
      </c>
    </row>
    <row r="25" spans="1:9" ht="15" customHeight="1">
      <c r="A25" s="438" t="s">
        <v>7482</v>
      </c>
      <c r="B25" s="99" t="s">
        <v>51</v>
      </c>
      <c r="C25" s="99" t="s">
        <v>7477</v>
      </c>
      <c r="D25" s="133" t="s">
        <v>7474</v>
      </c>
      <c r="E25" s="133" t="s">
        <v>7478</v>
      </c>
      <c r="F25" s="130" t="s">
        <v>7479</v>
      </c>
      <c r="G25" s="186">
        <v>80</v>
      </c>
      <c r="H25" s="781">
        <v>80</v>
      </c>
      <c r="I25" s="338" t="s">
        <v>608</v>
      </c>
    </row>
    <row r="26" spans="1:9" ht="15" customHeight="1">
      <c r="A26" s="438" t="s">
        <v>7483</v>
      </c>
      <c r="B26" s="99" t="s">
        <v>51</v>
      </c>
      <c r="C26" s="99" t="s">
        <v>7477</v>
      </c>
      <c r="D26" s="133" t="s">
        <v>7474</v>
      </c>
      <c r="E26" s="133" t="s">
        <v>7478</v>
      </c>
      <c r="F26" s="130" t="s">
        <v>7479</v>
      </c>
      <c r="G26" s="186">
        <v>60</v>
      </c>
      <c r="H26" s="781">
        <v>60</v>
      </c>
      <c r="I26" s="338" t="s">
        <v>608</v>
      </c>
    </row>
    <row r="27" spans="1:9" ht="15" customHeight="1">
      <c r="A27" s="438" t="s">
        <v>7464</v>
      </c>
      <c r="B27" s="99" t="s">
        <v>51</v>
      </c>
      <c r="C27" s="99" t="s">
        <v>7484</v>
      </c>
      <c r="D27" s="469" t="s">
        <v>7466</v>
      </c>
      <c r="E27" s="133" t="s">
        <v>7485</v>
      </c>
      <c r="F27" s="130" t="s">
        <v>7486</v>
      </c>
      <c r="G27" s="186">
        <v>80</v>
      </c>
      <c r="H27" s="781">
        <v>80</v>
      </c>
      <c r="I27" s="338" t="s">
        <v>608</v>
      </c>
    </row>
    <row r="28" spans="1:9" ht="15" customHeight="1">
      <c r="A28" s="438" t="s">
        <v>7480</v>
      </c>
      <c r="B28" s="99" t="s">
        <v>51</v>
      </c>
      <c r="C28" s="99" t="s">
        <v>7484</v>
      </c>
      <c r="D28" s="469" t="s">
        <v>7466</v>
      </c>
      <c r="E28" s="133" t="s">
        <v>7485</v>
      </c>
      <c r="F28" s="130" t="s">
        <v>7486</v>
      </c>
      <c r="G28" s="186">
        <v>60</v>
      </c>
      <c r="H28" s="781">
        <v>60</v>
      </c>
      <c r="I28" s="338" t="s">
        <v>608</v>
      </c>
    </row>
    <row r="29" spans="1:9" ht="15" customHeight="1">
      <c r="A29" s="438" t="s">
        <v>7481</v>
      </c>
      <c r="B29" s="99" t="s">
        <v>51</v>
      </c>
      <c r="C29" s="99" t="s">
        <v>7484</v>
      </c>
      <c r="D29" s="469" t="s">
        <v>7466</v>
      </c>
      <c r="E29" s="133" t="s">
        <v>7485</v>
      </c>
      <c r="F29" s="130" t="s">
        <v>7486</v>
      </c>
      <c r="G29" s="186">
        <v>60</v>
      </c>
      <c r="H29" s="781">
        <v>60</v>
      </c>
      <c r="I29" s="338" t="s">
        <v>608</v>
      </c>
    </row>
    <row r="30" spans="1:9" ht="15" customHeight="1">
      <c r="A30" s="438" t="s">
        <v>7482</v>
      </c>
      <c r="B30" s="99" t="s">
        <v>51</v>
      </c>
      <c r="C30" s="99" t="s">
        <v>7484</v>
      </c>
      <c r="D30" s="469" t="s">
        <v>7466</v>
      </c>
      <c r="E30" s="133" t="s">
        <v>7485</v>
      </c>
      <c r="F30" s="130" t="s">
        <v>7486</v>
      </c>
      <c r="G30" s="186">
        <v>60</v>
      </c>
      <c r="H30" s="781">
        <v>60</v>
      </c>
      <c r="I30" s="338" t="s">
        <v>608</v>
      </c>
    </row>
    <row r="31" spans="1:9" ht="15" customHeight="1">
      <c r="A31" s="438" t="s">
        <v>7483</v>
      </c>
      <c r="B31" s="99" t="s">
        <v>51</v>
      </c>
      <c r="C31" s="99" t="s">
        <v>7484</v>
      </c>
      <c r="D31" s="469" t="s">
        <v>7466</v>
      </c>
      <c r="E31" s="133" t="s">
        <v>7485</v>
      </c>
      <c r="F31" s="524" t="s">
        <v>7486</v>
      </c>
      <c r="G31" s="186">
        <v>60</v>
      </c>
      <c r="H31" s="781">
        <v>60</v>
      </c>
      <c r="I31" s="338" t="s">
        <v>608</v>
      </c>
    </row>
    <row r="32" spans="1:9" ht="15" customHeight="1">
      <c r="A32" s="134" t="s">
        <v>7148</v>
      </c>
      <c r="B32" s="162" t="s">
        <v>51</v>
      </c>
      <c r="C32" s="162" t="s">
        <v>7487</v>
      </c>
      <c r="D32" s="162" t="s">
        <v>7457</v>
      </c>
      <c r="E32" s="162" t="s">
        <v>7128</v>
      </c>
      <c r="F32" s="365" t="s">
        <v>7488</v>
      </c>
      <c r="G32" s="451" t="s">
        <v>7460</v>
      </c>
      <c r="H32" s="807">
        <v>200</v>
      </c>
      <c r="I32" s="338" t="s">
        <v>2783</v>
      </c>
    </row>
    <row r="33" spans="1:9" ht="15" customHeight="1">
      <c r="A33" s="134" t="s">
        <v>7148</v>
      </c>
      <c r="B33" s="162" t="s">
        <v>51</v>
      </c>
      <c r="C33" s="162" t="s">
        <v>7487</v>
      </c>
      <c r="D33" s="162" t="s">
        <v>7457</v>
      </c>
      <c r="E33" s="162" t="s">
        <v>7128</v>
      </c>
      <c r="F33" s="365" t="s">
        <v>7488</v>
      </c>
      <c r="G33" s="997" t="s">
        <v>7460</v>
      </c>
      <c r="H33" s="18">
        <v>200</v>
      </c>
      <c r="I33" s="338" t="s">
        <v>2783</v>
      </c>
    </row>
    <row r="34" spans="1:9" ht="15" customHeight="1">
      <c r="A34" s="134" t="s">
        <v>7148</v>
      </c>
      <c r="B34" s="162" t="s">
        <v>51</v>
      </c>
      <c r="C34" s="162" t="s">
        <v>7487</v>
      </c>
      <c r="D34" s="162" t="s">
        <v>7457</v>
      </c>
      <c r="E34" s="162" t="s">
        <v>7128</v>
      </c>
      <c r="F34" s="365" t="s">
        <v>7488</v>
      </c>
      <c r="G34" s="1082" t="s">
        <v>7460</v>
      </c>
      <c r="H34" s="18">
        <v>200</v>
      </c>
      <c r="I34" s="338" t="s">
        <v>2783</v>
      </c>
    </row>
    <row r="35" spans="1:9" ht="15" customHeight="1">
      <c r="A35" s="134" t="s">
        <v>7148</v>
      </c>
      <c r="B35" s="162" t="s">
        <v>51</v>
      </c>
      <c r="C35" s="162" t="s">
        <v>7487</v>
      </c>
      <c r="D35" s="162" t="s">
        <v>7457</v>
      </c>
      <c r="E35" s="162" t="s">
        <v>7128</v>
      </c>
      <c r="F35" s="365" t="s">
        <v>7488</v>
      </c>
      <c r="G35" s="1082" t="s">
        <v>7463</v>
      </c>
      <c r="H35" s="18">
        <v>160</v>
      </c>
      <c r="I35" s="338" t="s">
        <v>2783</v>
      </c>
    </row>
    <row r="36" spans="1:9" ht="15.75" customHeight="1"/>
    <row r="37" spans="1:9" ht="15" customHeight="1">
      <c r="A37" s="332" t="s">
        <v>169</v>
      </c>
      <c r="H37" s="332">
        <f>SUM(H10:H35)</f>
        <v>2565</v>
      </c>
    </row>
    <row r="38" spans="1:9" ht="15.75" customHeight="1"/>
    <row r="39" spans="1:9" ht="15" customHeight="1">
      <c r="A39" s="1231" t="s">
        <v>1156</v>
      </c>
      <c r="B39" s="1232"/>
      <c r="C39" s="1232"/>
      <c r="D39" s="1232"/>
      <c r="E39" s="1232"/>
      <c r="F39" s="1232"/>
      <c r="G39" s="1232"/>
      <c r="H39" s="1233"/>
    </row>
    <row r="40" spans="1:9" ht="15.75" customHeight="1"/>
    <row r="41" spans="1:9" ht="15.75" customHeight="1"/>
    <row r="42" spans="1:9" ht="15.75" customHeight="1"/>
    <row r="43" spans="1:9" ht="15.75" customHeight="1"/>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39:H39"/>
    <mergeCell ref="A2:H2"/>
    <mergeCell ref="A4:H4"/>
    <mergeCell ref="A5:H5"/>
    <mergeCell ref="A6:H6"/>
    <mergeCell ref="A7:H7"/>
  </mergeCells>
  <hyperlinks>
    <hyperlink ref="F16" r:id="rId1" xr:uid="{00000000-0004-0000-1500-000000000000}"/>
    <hyperlink ref="F17" r:id="rId2" xr:uid="{00000000-0004-0000-1500-000001000000}"/>
    <hyperlink ref="F18" r:id="rId3" xr:uid="{00000000-0004-0000-1500-000002000000}"/>
    <hyperlink ref="F19" r:id="rId4" xr:uid="{00000000-0004-0000-1500-000003000000}"/>
    <hyperlink ref="F20" r:id="rId5" xr:uid="{00000000-0004-0000-1500-000004000000}"/>
    <hyperlink ref="F22" r:id="rId6" location="1609758595461-ce03e6be-6332" xr:uid="{00000000-0004-0000-1500-000005000000}"/>
    <hyperlink ref="F23" r:id="rId7" location="1609758595461-ce03e6be-6332" xr:uid="{00000000-0004-0000-1500-000006000000}"/>
    <hyperlink ref="F24" r:id="rId8" location="1609758595461-ce03e6be-6332" xr:uid="{00000000-0004-0000-1500-000007000000}"/>
    <hyperlink ref="F25" r:id="rId9" location="1609758595461-ce03e6be-6332" xr:uid="{00000000-0004-0000-1500-000008000000}"/>
    <hyperlink ref="F26" r:id="rId10" location="1609758595461-ce03e6be-6332" xr:uid="{00000000-0004-0000-1500-000009000000}"/>
    <hyperlink ref="F31" r:id="rId11" xr:uid="{00000000-0004-0000-1500-00000A000000}"/>
    <hyperlink ref="F32" r:id="rId12" location="1609758595461-ce03e6be-6332" xr:uid="{00000000-0004-0000-1500-00000B000000}"/>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Z1000"/>
  <sheetViews>
    <sheetView workbookViewId="0"/>
  </sheetViews>
  <sheetFormatPr defaultColWidth="14.3984375" defaultRowHeight="15" customHeight="1"/>
  <cols>
    <col min="1" max="1" width="23.73046875" customWidth="1"/>
    <col min="2" max="2" width="17.3984375" customWidth="1"/>
    <col min="3" max="3" width="12.1328125" customWidth="1"/>
    <col min="4" max="5" width="14.73046875" customWidth="1"/>
    <col min="6" max="6" width="26.3984375" customWidth="1"/>
    <col min="7" max="7" width="19.265625" customWidth="1"/>
    <col min="8" max="8" width="8.86328125" customWidth="1"/>
    <col min="9" max="9" width="11.265625" customWidth="1"/>
    <col min="10" max="26" width="8" customWidth="1"/>
  </cols>
  <sheetData>
    <row r="1" spans="1:26" ht="14.25">
      <c r="A1" s="64"/>
      <c r="B1" s="65"/>
      <c r="C1" s="65"/>
      <c r="D1" s="65"/>
      <c r="E1" s="65"/>
      <c r="F1" s="1"/>
      <c r="G1" s="1"/>
    </row>
    <row r="2" spans="1:26" ht="14.25">
      <c r="A2" s="1234" t="s">
        <v>7489</v>
      </c>
      <c r="B2" s="1227"/>
      <c r="C2" s="1227"/>
      <c r="D2" s="1227"/>
      <c r="E2" s="1227"/>
      <c r="F2" s="1227"/>
      <c r="G2" s="1227"/>
      <c r="H2" s="1228"/>
      <c r="I2" s="69"/>
      <c r="J2" s="69"/>
      <c r="K2" s="69"/>
      <c r="L2" s="69"/>
      <c r="M2" s="69"/>
      <c r="N2" s="69"/>
      <c r="O2" s="69"/>
      <c r="P2" s="69"/>
      <c r="Q2" s="69"/>
      <c r="R2" s="69"/>
      <c r="S2" s="69"/>
      <c r="T2" s="69"/>
      <c r="U2" s="69"/>
      <c r="V2" s="69"/>
      <c r="W2" s="69"/>
      <c r="X2" s="69"/>
      <c r="Y2" s="69"/>
      <c r="Z2" s="69"/>
    </row>
    <row r="3" spans="1:26" ht="15.4">
      <c r="A3" s="375"/>
      <c r="B3" s="375"/>
      <c r="C3" s="375"/>
      <c r="D3" s="375"/>
      <c r="E3" s="375"/>
      <c r="F3" s="375"/>
      <c r="G3" s="68"/>
      <c r="H3" s="69"/>
      <c r="I3" s="69"/>
      <c r="J3" s="69"/>
      <c r="K3" s="69"/>
      <c r="L3" s="69"/>
      <c r="M3" s="69"/>
      <c r="N3" s="69"/>
      <c r="O3" s="69"/>
      <c r="P3" s="69"/>
      <c r="Q3" s="69"/>
      <c r="R3" s="69"/>
      <c r="S3" s="69"/>
      <c r="T3" s="69"/>
      <c r="U3" s="69"/>
      <c r="V3" s="69"/>
      <c r="W3" s="69"/>
      <c r="X3" s="69"/>
      <c r="Y3" s="69"/>
      <c r="Z3" s="69"/>
    </row>
    <row r="4" spans="1:26" ht="14.25">
      <c r="A4" s="1226" t="s">
        <v>7490</v>
      </c>
      <c r="B4" s="1227"/>
      <c r="C4" s="1227"/>
      <c r="D4" s="1227"/>
      <c r="E4" s="1227"/>
      <c r="F4" s="1227"/>
      <c r="G4" s="1227"/>
      <c r="H4" s="1228"/>
      <c r="I4" s="69"/>
      <c r="J4" s="69"/>
      <c r="K4" s="69"/>
      <c r="L4" s="69"/>
      <c r="M4" s="69"/>
      <c r="N4" s="69"/>
      <c r="O4" s="69"/>
      <c r="P4" s="69"/>
      <c r="Q4" s="69"/>
      <c r="R4" s="69"/>
      <c r="S4" s="69"/>
      <c r="T4" s="69"/>
      <c r="U4" s="69"/>
      <c r="V4" s="69"/>
      <c r="W4" s="69"/>
      <c r="X4" s="69"/>
      <c r="Y4" s="69"/>
      <c r="Z4" s="69"/>
    </row>
    <row r="5" spans="1:26" ht="14.25">
      <c r="A5" s="1226" t="s">
        <v>7491</v>
      </c>
      <c r="B5" s="1227"/>
      <c r="C5" s="1227"/>
      <c r="D5" s="1227"/>
      <c r="E5" s="1227"/>
      <c r="F5" s="1227"/>
      <c r="G5" s="1227"/>
      <c r="H5" s="1228"/>
      <c r="I5" s="69"/>
      <c r="J5" s="69"/>
      <c r="K5" s="69"/>
      <c r="L5" s="69"/>
      <c r="M5" s="69"/>
      <c r="N5" s="69"/>
      <c r="O5" s="69"/>
      <c r="P5" s="69"/>
      <c r="Q5" s="69"/>
      <c r="R5" s="69"/>
      <c r="S5" s="69"/>
      <c r="T5" s="69"/>
      <c r="U5" s="69"/>
      <c r="V5" s="69"/>
      <c r="W5" s="69"/>
      <c r="X5" s="69"/>
      <c r="Y5" s="69"/>
      <c r="Z5" s="69"/>
    </row>
    <row r="6" spans="1:26" ht="15.75" customHeight="1">
      <c r="A6" s="1226" t="s">
        <v>7492</v>
      </c>
      <c r="B6" s="1227"/>
      <c r="C6" s="1227"/>
      <c r="D6" s="1227"/>
      <c r="E6" s="1227"/>
      <c r="F6" s="1227"/>
      <c r="G6" s="1227"/>
      <c r="H6" s="1228"/>
      <c r="I6" s="69"/>
      <c r="J6" s="69"/>
      <c r="K6" s="69"/>
      <c r="L6" s="69"/>
      <c r="M6" s="69"/>
      <c r="N6" s="69"/>
      <c r="O6" s="69"/>
      <c r="P6" s="69"/>
      <c r="Q6" s="69"/>
      <c r="R6" s="69"/>
      <c r="S6" s="69"/>
      <c r="T6" s="69"/>
      <c r="U6" s="69"/>
      <c r="V6" s="69"/>
      <c r="W6" s="69"/>
      <c r="X6" s="69"/>
      <c r="Y6" s="69"/>
      <c r="Z6" s="69"/>
    </row>
    <row r="7" spans="1:26" ht="15.75" customHeight="1">
      <c r="A7" s="1226" t="s">
        <v>7493</v>
      </c>
      <c r="B7" s="1227"/>
      <c r="C7" s="1227"/>
      <c r="D7" s="1227"/>
      <c r="E7" s="1227"/>
      <c r="F7" s="1227"/>
      <c r="G7" s="1227"/>
      <c r="H7" s="1228"/>
      <c r="I7" s="69"/>
      <c r="J7" s="69"/>
      <c r="K7" s="69"/>
      <c r="L7" s="69"/>
      <c r="M7" s="69"/>
      <c r="N7" s="69"/>
      <c r="O7" s="69"/>
      <c r="P7" s="69"/>
      <c r="Q7" s="69"/>
      <c r="R7" s="69"/>
      <c r="S7" s="69"/>
      <c r="T7" s="69"/>
      <c r="U7" s="69"/>
      <c r="V7" s="69"/>
      <c r="W7" s="69"/>
      <c r="X7" s="69"/>
      <c r="Y7" s="69"/>
      <c r="Z7" s="69"/>
    </row>
    <row r="8" spans="1:26" ht="13.5" customHeight="1">
      <c r="A8" s="1226" t="s">
        <v>7494</v>
      </c>
      <c r="B8" s="1227"/>
      <c r="C8" s="1227"/>
      <c r="D8" s="1227"/>
      <c r="E8" s="1227"/>
      <c r="F8" s="1227"/>
      <c r="G8" s="1227"/>
      <c r="H8" s="1228"/>
      <c r="I8" s="69"/>
      <c r="J8" s="69"/>
      <c r="K8" s="69"/>
      <c r="L8" s="69"/>
      <c r="M8" s="69"/>
      <c r="N8" s="69"/>
      <c r="O8" s="69"/>
      <c r="P8" s="69"/>
      <c r="Q8" s="69"/>
      <c r="R8" s="69"/>
      <c r="S8" s="69"/>
      <c r="T8" s="69"/>
      <c r="U8" s="69"/>
      <c r="V8" s="69"/>
      <c r="W8" s="69"/>
      <c r="X8" s="69"/>
      <c r="Y8" s="69"/>
      <c r="Z8" s="69"/>
    </row>
    <row r="9" spans="1:26" ht="13.5" customHeight="1">
      <c r="A9" s="1226" t="s">
        <v>7495</v>
      </c>
      <c r="B9" s="1227"/>
      <c r="C9" s="1227"/>
      <c r="D9" s="1227"/>
      <c r="E9" s="1227"/>
      <c r="F9" s="1227"/>
      <c r="G9" s="1227"/>
      <c r="H9" s="1228"/>
      <c r="I9" s="69"/>
      <c r="J9" s="69"/>
      <c r="K9" s="69"/>
      <c r="L9" s="69"/>
      <c r="M9" s="69"/>
      <c r="N9" s="69"/>
      <c r="O9" s="69"/>
      <c r="P9" s="69"/>
      <c r="Q9" s="69"/>
      <c r="R9" s="69"/>
      <c r="S9" s="69"/>
      <c r="T9" s="69"/>
      <c r="U9" s="69"/>
      <c r="V9" s="69"/>
      <c r="W9" s="69"/>
      <c r="X9" s="69"/>
      <c r="Y9" s="69"/>
      <c r="Z9" s="69"/>
    </row>
    <row r="10" spans="1:26" ht="14.25" customHeight="1">
      <c r="A10" s="1226" t="s">
        <v>7496</v>
      </c>
      <c r="B10" s="1227"/>
      <c r="C10" s="1227"/>
      <c r="D10" s="1227"/>
      <c r="E10" s="1227"/>
      <c r="F10" s="1227"/>
      <c r="G10" s="1227"/>
      <c r="H10" s="1228"/>
      <c r="I10" s="69"/>
      <c r="J10" s="69"/>
      <c r="K10" s="69"/>
      <c r="L10" s="69"/>
      <c r="M10" s="69"/>
      <c r="N10" s="69"/>
      <c r="O10" s="69"/>
      <c r="P10" s="69"/>
      <c r="Q10" s="69"/>
      <c r="R10" s="69"/>
      <c r="S10" s="69"/>
      <c r="T10" s="69"/>
      <c r="U10" s="69"/>
      <c r="V10" s="69"/>
      <c r="W10" s="69"/>
      <c r="X10" s="69"/>
      <c r="Y10" s="69"/>
      <c r="Z10" s="69"/>
    </row>
    <row r="11" spans="1:26" ht="33.75" customHeight="1">
      <c r="A11" s="1257" t="s">
        <v>7497</v>
      </c>
      <c r="B11" s="1227"/>
      <c r="C11" s="1227"/>
      <c r="D11" s="1227"/>
      <c r="E11" s="1227"/>
      <c r="F11" s="1227"/>
      <c r="G11" s="1227"/>
      <c r="H11" s="1228"/>
      <c r="I11" s="69"/>
      <c r="J11" s="69"/>
      <c r="K11" s="69"/>
      <c r="L11" s="69"/>
      <c r="M11" s="69"/>
      <c r="N11" s="69"/>
      <c r="O11" s="69"/>
      <c r="P11" s="69"/>
      <c r="Q11" s="69"/>
      <c r="R11" s="69"/>
      <c r="S11" s="69"/>
      <c r="T11" s="69"/>
      <c r="U11" s="69"/>
      <c r="V11" s="69"/>
      <c r="W11" s="69"/>
      <c r="X11" s="69"/>
      <c r="Y11" s="69"/>
      <c r="Z11" s="69"/>
    </row>
    <row r="12" spans="1:26" ht="14.25">
      <c r="A12" s="77"/>
      <c r="B12" s="78"/>
      <c r="C12" s="78"/>
      <c r="D12" s="78"/>
      <c r="E12" s="78"/>
      <c r="F12" s="77"/>
      <c r="G12" s="68"/>
      <c r="H12" s="69"/>
      <c r="I12" s="69"/>
      <c r="J12" s="69"/>
      <c r="K12" s="69"/>
      <c r="L12" s="69"/>
      <c r="M12" s="69"/>
      <c r="N12" s="69"/>
      <c r="O12" s="69"/>
      <c r="P12" s="69"/>
      <c r="Q12" s="69"/>
      <c r="R12" s="69"/>
      <c r="S12" s="69"/>
      <c r="T12" s="69"/>
      <c r="U12" s="69"/>
      <c r="V12" s="69"/>
      <c r="W12" s="69"/>
      <c r="X12" s="69"/>
      <c r="Y12" s="69"/>
      <c r="Z12" s="69"/>
    </row>
    <row r="13" spans="1:26" ht="45" customHeight="1">
      <c r="A13" s="350" t="s">
        <v>6</v>
      </c>
      <c r="B13" s="83" t="s">
        <v>7</v>
      </c>
      <c r="C13" s="350" t="s">
        <v>7498</v>
      </c>
      <c r="D13" s="965" t="s">
        <v>7499</v>
      </c>
      <c r="E13" s="85" t="s">
        <v>7500</v>
      </c>
      <c r="F13" s="350" t="s">
        <v>7501</v>
      </c>
      <c r="G13" s="350" t="s">
        <v>6210</v>
      </c>
      <c r="H13" s="350" t="s">
        <v>210</v>
      </c>
      <c r="I13" s="336" t="s">
        <v>211</v>
      </c>
    </row>
    <row r="15" spans="1:26" ht="15" customHeight="1">
      <c r="A15" s="332" t="s">
        <v>169</v>
      </c>
      <c r="H15" s="332">
        <f>SUM(H13:H14)</f>
        <v>0</v>
      </c>
    </row>
    <row r="17" spans="1:8" ht="15" customHeight="1">
      <c r="A17" s="1231" t="s">
        <v>1156</v>
      </c>
      <c r="B17" s="1232"/>
      <c r="C17" s="1232"/>
      <c r="D17" s="1232"/>
      <c r="E17" s="1232"/>
      <c r="F17" s="1232"/>
      <c r="G17" s="1232"/>
      <c r="H17" s="1233"/>
    </row>
    <row r="21" spans="1:8" ht="15.75" customHeight="1"/>
    <row r="22" spans="1:8" ht="15.75" customHeight="1"/>
    <row r="23" spans="1:8" ht="15.75" customHeight="1"/>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17:H17"/>
    <mergeCell ref="A2:H2"/>
    <mergeCell ref="A4:H4"/>
    <mergeCell ref="A5:H5"/>
    <mergeCell ref="A6:H6"/>
    <mergeCell ref="A7:H7"/>
    <mergeCell ref="A8:H8"/>
    <mergeCell ref="A9:H9"/>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Z1000"/>
  <sheetViews>
    <sheetView workbookViewId="0"/>
  </sheetViews>
  <sheetFormatPr defaultColWidth="14.3984375" defaultRowHeight="15" customHeight="1"/>
  <cols>
    <col min="1" max="1" width="23.73046875" customWidth="1"/>
    <col min="2" max="2" width="11.73046875" customWidth="1"/>
    <col min="3" max="3" width="22.3984375" customWidth="1"/>
    <col min="4" max="6" width="23.86328125" customWidth="1"/>
  </cols>
  <sheetData>
    <row r="1" spans="1:7" ht="14.25">
      <c r="A1" s="64"/>
      <c r="B1" s="65"/>
      <c r="C1" s="65"/>
      <c r="D1" s="65"/>
      <c r="E1" s="65"/>
      <c r="F1" s="65"/>
    </row>
    <row r="2" spans="1:7" ht="28.5" customHeight="1">
      <c r="A2" s="1234" t="s">
        <v>7502</v>
      </c>
      <c r="B2" s="1227"/>
      <c r="C2" s="1227"/>
      <c r="D2" s="1227"/>
      <c r="E2" s="1227"/>
      <c r="F2" s="1228"/>
    </row>
    <row r="3" spans="1:7" ht="14.25">
      <c r="A3" s="80"/>
      <c r="B3" s="80"/>
      <c r="C3" s="80"/>
      <c r="D3" s="80"/>
      <c r="E3" s="80"/>
      <c r="F3" s="1111"/>
    </row>
    <row r="4" spans="1:7" ht="30.75" customHeight="1">
      <c r="A4" s="1226" t="s">
        <v>7503</v>
      </c>
      <c r="B4" s="1227"/>
      <c r="C4" s="1227"/>
      <c r="D4" s="1227"/>
      <c r="E4" s="1227"/>
      <c r="F4" s="1228"/>
    </row>
    <row r="5" spans="1:7" ht="18" customHeight="1">
      <c r="A5" s="1226" t="s">
        <v>7504</v>
      </c>
      <c r="B5" s="1227"/>
      <c r="C5" s="1227"/>
      <c r="D5" s="1227"/>
      <c r="E5" s="1227"/>
      <c r="F5" s="1228"/>
    </row>
    <row r="6" spans="1:7" ht="17.25" customHeight="1">
      <c r="A6" s="1236" t="s">
        <v>7505</v>
      </c>
      <c r="B6" s="1227"/>
      <c r="C6" s="1227"/>
      <c r="D6" s="1227"/>
      <c r="E6" s="1227"/>
      <c r="F6" s="1228"/>
    </row>
    <row r="7" spans="1:7" ht="16.5" customHeight="1">
      <c r="A7" s="1236" t="s">
        <v>7506</v>
      </c>
      <c r="B7" s="1227"/>
      <c r="C7" s="1227"/>
      <c r="D7" s="1227"/>
      <c r="E7" s="1227"/>
      <c r="F7" s="1228"/>
    </row>
    <row r="8" spans="1:7" ht="26.25" customHeight="1">
      <c r="A8" s="1236" t="s">
        <v>7507</v>
      </c>
      <c r="B8" s="1227"/>
      <c r="C8" s="1227"/>
      <c r="D8" s="1227"/>
      <c r="E8" s="1227"/>
      <c r="F8" s="1228"/>
    </row>
    <row r="9" spans="1:7" ht="39.75" customHeight="1">
      <c r="A9" s="1244" t="s">
        <v>7508</v>
      </c>
      <c r="B9" s="1227"/>
      <c r="C9" s="1227"/>
      <c r="D9" s="1227"/>
      <c r="E9" s="1227"/>
      <c r="F9" s="1228"/>
    </row>
    <row r="10" spans="1:7" ht="14.25">
      <c r="A10" s="77"/>
      <c r="B10" s="78"/>
      <c r="C10" s="78"/>
      <c r="D10" s="78"/>
      <c r="E10" s="78"/>
      <c r="F10" s="78"/>
    </row>
    <row r="11" spans="1:7" ht="61.5" customHeight="1">
      <c r="A11" s="377" t="s">
        <v>6</v>
      </c>
      <c r="B11" s="83" t="s">
        <v>7</v>
      </c>
      <c r="C11" s="377" t="s">
        <v>7509</v>
      </c>
      <c r="D11" s="377" t="s">
        <v>7510</v>
      </c>
      <c r="E11" s="377" t="s">
        <v>206</v>
      </c>
      <c r="F11" s="377" t="s">
        <v>210</v>
      </c>
      <c r="G11" s="336" t="s">
        <v>211</v>
      </c>
    </row>
    <row r="12" spans="1:7" ht="15" customHeight="1">
      <c r="A12" s="134" t="s">
        <v>6254</v>
      </c>
      <c r="B12" s="134" t="s">
        <v>51</v>
      </c>
      <c r="C12" s="134" t="s">
        <v>7511</v>
      </c>
      <c r="D12" s="564"/>
      <c r="E12" s="31">
        <v>100</v>
      </c>
      <c r="F12" s="31">
        <v>100</v>
      </c>
      <c r="G12" s="338" t="s">
        <v>249</v>
      </c>
    </row>
    <row r="13" spans="1:7" ht="15" customHeight="1">
      <c r="A13" s="134" t="s">
        <v>6254</v>
      </c>
      <c r="B13" s="134" t="s">
        <v>51</v>
      </c>
      <c r="C13" s="134" t="s">
        <v>7512</v>
      </c>
      <c r="D13" s="564"/>
      <c r="E13" s="31">
        <v>100</v>
      </c>
      <c r="F13" s="31">
        <v>100</v>
      </c>
      <c r="G13" s="338" t="s">
        <v>249</v>
      </c>
    </row>
    <row r="14" spans="1:7" ht="15" customHeight="1">
      <c r="A14" s="256" t="s">
        <v>6254</v>
      </c>
      <c r="B14" s="256" t="s">
        <v>51</v>
      </c>
      <c r="C14" s="438" t="s">
        <v>7513</v>
      </c>
      <c r="D14" s="666"/>
      <c r="E14" s="31">
        <v>100</v>
      </c>
      <c r="F14" s="31">
        <v>100</v>
      </c>
      <c r="G14" s="338" t="s">
        <v>249</v>
      </c>
    </row>
    <row r="15" spans="1:7" ht="15" customHeight="1">
      <c r="A15" s="134" t="s">
        <v>466</v>
      </c>
      <c r="B15" s="134" t="s">
        <v>51</v>
      </c>
      <c r="C15" s="134" t="s">
        <v>7514</v>
      </c>
      <c r="D15" s="564" t="s">
        <v>7515</v>
      </c>
      <c r="E15" s="803">
        <v>100</v>
      </c>
      <c r="F15" s="803">
        <v>100</v>
      </c>
      <c r="G15" s="338" t="s">
        <v>466</v>
      </c>
    </row>
    <row r="16" spans="1:7" ht="15" customHeight="1">
      <c r="A16" s="134" t="s">
        <v>6415</v>
      </c>
      <c r="B16" s="134" t="s">
        <v>51</v>
      </c>
      <c r="C16" s="134" t="s">
        <v>7516</v>
      </c>
      <c r="D16" s="1112" t="s">
        <v>7517</v>
      </c>
      <c r="E16" s="31">
        <v>100</v>
      </c>
      <c r="F16" s="31">
        <v>100</v>
      </c>
      <c r="G16" s="338" t="s">
        <v>482</v>
      </c>
    </row>
    <row r="17" spans="1:26" ht="51">
      <c r="A17" s="134" t="s">
        <v>7404</v>
      </c>
      <c r="B17" s="134" t="s">
        <v>141</v>
      </c>
      <c r="C17" s="134" t="s">
        <v>7518</v>
      </c>
      <c r="D17" s="564" t="s">
        <v>7519</v>
      </c>
      <c r="E17" s="31">
        <v>100</v>
      </c>
      <c r="F17" s="31">
        <v>100</v>
      </c>
      <c r="G17" s="216" t="str">
        <f t="shared" ref="G17:G19" si="0">A17</f>
        <v>Crețulescu Radu</v>
      </c>
      <c r="H17" s="216"/>
      <c r="I17" s="216"/>
      <c r="J17" s="216"/>
      <c r="K17" s="216"/>
      <c r="L17" s="216"/>
      <c r="M17" s="216"/>
      <c r="N17" s="216"/>
      <c r="O17" s="216"/>
      <c r="P17" s="216"/>
      <c r="Q17" s="216"/>
      <c r="R17" s="216"/>
      <c r="S17" s="216"/>
      <c r="T17" s="216"/>
      <c r="U17" s="216"/>
      <c r="V17" s="216"/>
      <c r="W17" s="216"/>
      <c r="X17" s="216"/>
      <c r="Y17" s="216"/>
      <c r="Z17" s="216"/>
    </row>
    <row r="18" spans="1:26" ht="28.5">
      <c r="A18" s="134" t="s">
        <v>1272</v>
      </c>
      <c r="B18" s="134" t="s">
        <v>141</v>
      </c>
      <c r="C18" s="134" t="s">
        <v>7511</v>
      </c>
      <c r="D18" s="1112" t="s">
        <v>7517</v>
      </c>
      <c r="E18" s="31">
        <v>100</v>
      </c>
      <c r="F18" s="31">
        <v>100</v>
      </c>
      <c r="G18" s="216" t="str">
        <f t="shared" si="0"/>
        <v>Zamfirescu Bălă-Constantin</v>
      </c>
      <c r="H18" s="216"/>
      <c r="I18" s="216"/>
      <c r="J18" s="216"/>
      <c r="K18" s="216"/>
      <c r="L18" s="216"/>
      <c r="M18" s="216"/>
      <c r="N18" s="216"/>
      <c r="O18" s="216"/>
      <c r="P18" s="216"/>
      <c r="Q18" s="216"/>
      <c r="R18" s="216"/>
      <c r="S18" s="216"/>
      <c r="T18" s="216"/>
      <c r="U18" s="216"/>
      <c r="V18" s="216"/>
      <c r="W18" s="216"/>
      <c r="X18" s="216"/>
      <c r="Y18" s="216"/>
      <c r="Z18" s="216"/>
    </row>
    <row r="19" spans="1:26" ht="42.75">
      <c r="A19" s="134" t="s">
        <v>906</v>
      </c>
      <c r="B19" s="134"/>
      <c r="C19" s="134" t="s">
        <v>7520</v>
      </c>
      <c r="D19" s="1112" t="s">
        <v>7515</v>
      </c>
      <c r="E19" s="31">
        <v>100</v>
      </c>
      <c r="F19" s="31">
        <v>100</v>
      </c>
      <c r="G19" s="216" t="str">
        <f t="shared" si="0"/>
        <v>Vintan Maria</v>
      </c>
      <c r="H19" s="216"/>
      <c r="I19" s="216"/>
      <c r="J19" s="216"/>
      <c r="K19" s="216"/>
      <c r="L19" s="216"/>
      <c r="M19" s="216"/>
      <c r="N19" s="216"/>
      <c r="O19" s="216"/>
      <c r="P19" s="216"/>
      <c r="Q19" s="216"/>
      <c r="R19" s="216"/>
      <c r="S19" s="216"/>
      <c r="T19" s="216"/>
      <c r="U19" s="216"/>
      <c r="V19" s="216"/>
      <c r="W19" s="216"/>
      <c r="X19" s="216"/>
      <c r="Y19" s="216"/>
      <c r="Z19" s="216"/>
    </row>
    <row r="20" spans="1:26" ht="15" customHeight="1">
      <c r="A20" s="134" t="s">
        <v>6907</v>
      </c>
      <c r="B20" s="134" t="s">
        <v>105</v>
      </c>
      <c r="C20" s="1113" t="s">
        <v>7521</v>
      </c>
      <c r="D20" s="1112" t="s">
        <v>7522</v>
      </c>
      <c r="E20" s="767">
        <v>100</v>
      </c>
      <c r="F20" s="767">
        <f>E20</f>
        <v>100</v>
      </c>
      <c r="G20" s="338" t="s">
        <v>113</v>
      </c>
      <c r="H20" s="216"/>
      <c r="I20" s="216"/>
      <c r="J20" s="216"/>
      <c r="K20" s="216"/>
      <c r="L20" s="216"/>
      <c r="M20" s="216"/>
      <c r="N20" s="216"/>
      <c r="O20" s="216"/>
      <c r="P20" s="216"/>
      <c r="Q20" s="216"/>
      <c r="R20" s="216"/>
      <c r="S20" s="216"/>
      <c r="T20" s="216"/>
      <c r="U20" s="216"/>
      <c r="V20" s="216"/>
      <c r="W20" s="216"/>
      <c r="X20" s="216"/>
      <c r="Y20" s="216"/>
      <c r="Z20" s="216"/>
    </row>
    <row r="21" spans="1:26" ht="15.75" customHeight="1"/>
    <row r="22" spans="1:26" ht="15" customHeight="1">
      <c r="A22" s="332" t="s">
        <v>169</v>
      </c>
      <c r="F22" s="332">
        <f>SUM(F12:F20)</f>
        <v>900</v>
      </c>
    </row>
    <row r="23" spans="1:26" ht="15.75" customHeight="1"/>
    <row r="24" spans="1:26" ht="15" customHeight="1">
      <c r="A24" s="1231" t="s">
        <v>1156</v>
      </c>
      <c r="B24" s="1232"/>
      <c r="C24" s="1232"/>
      <c r="D24" s="1232"/>
      <c r="E24" s="1232"/>
      <c r="F24" s="1232"/>
      <c r="G24" s="1232"/>
      <c r="H24" s="1233"/>
    </row>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24:H24"/>
    <mergeCell ref="A2:F2"/>
    <mergeCell ref="A4:F4"/>
    <mergeCell ref="A5:F5"/>
    <mergeCell ref="A6:F6"/>
    <mergeCell ref="A7:F7"/>
  </mergeCells>
  <hyperlinks>
    <hyperlink ref="D16" r:id="rId1" xr:uid="{00000000-0004-0000-1700-000000000000}"/>
    <hyperlink ref="D18" r:id="rId2" xr:uid="{00000000-0004-0000-1700-000001000000}"/>
    <hyperlink ref="D19" r:id="rId3" xr:uid="{00000000-0004-0000-1700-000002000000}"/>
    <hyperlink ref="D20" r:id="rId4" xr:uid="{00000000-0004-0000-1700-000003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30" customWidth="1"/>
    <col min="4" max="4" width="22.73046875" customWidth="1"/>
    <col min="5" max="5" width="17.73046875" customWidth="1"/>
    <col min="6" max="6" width="26.3984375" customWidth="1"/>
    <col min="7" max="9" width="13.73046875" customWidth="1"/>
    <col min="10" max="26" width="8" customWidth="1"/>
  </cols>
  <sheetData>
    <row r="1" spans="1:26" ht="14.25">
      <c r="A1" s="64"/>
      <c r="B1" s="64"/>
      <c r="C1" s="65"/>
      <c r="D1" s="65"/>
      <c r="E1" s="65"/>
      <c r="F1" s="65"/>
      <c r="G1" s="1"/>
      <c r="H1" s="1"/>
      <c r="I1" s="1"/>
    </row>
    <row r="2" spans="1:26" ht="15.75" customHeight="1">
      <c r="A2" s="1234" t="s">
        <v>7523</v>
      </c>
      <c r="B2" s="1227"/>
      <c r="C2" s="1227"/>
      <c r="D2" s="1227"/>
      <c r="E2" s="1227"/>
      <c r="F2" s="1228"/>
      <c r="G2" s="1114"/>
      <c r="H2" s="1114"/>
      <c r="I2" s="1114"/>
      <c r="J2" s="69"/>
      <c r="K2" s="69"/>
      <c r="L2" s="69"/>
      <c r="M2" s="69"/>
      <c r="N2" s="69"/>
      <c r="O2" s="69"/>
      <c r="P2" s="69"/>
      <c r="Q2" s="69"/>
      <c r="R2" s="69"/>
      <c r="S2" s="69"/>
      <c r="T2" s="69"/>
      <c r="U2" s="69"/>
      <c r="V2" s="69"/>
      <c r="W2" s="69"/>
      <c r="X2" s="69"/>
      <c r="Y2" s="69"/>
      <c r="Z2" s="69"/>
    </row>
    <row r="3" spans="1:26" ht="15.75" customHeight="1">
      <c r="A3" s="375"/>
      <c r="B3" s="375"/>
      <c r="C3" s="375"/>
      <c r="D3" s="375"/>
      <c r="E3" s="375"/>
      <c r="F3" s="1115"/>
      <c r="G3" s="1114"/>
      <c r="H3" s="1114"/>
      <c r="I3" s="1114"/>
      <c r="J3" s="69"/>
      <c r="K3" s="69"/>
      <c r="L3" s="69"/>
      <c r="M3" s="69"/>
      <c r="N3" s="69"/>
      <c r="O3" s="69"/>
      <c r="P3" s="69"/>
      <c r="Q3" s="69"/>
      <c r="R3" s="69"/>
      <c r="S3" s="69"/>
      <c r="T3" s="69"/>
      <c r="U3" s="69"/>
      <c r="V3" s="69"/>
      <c r="W3" s="69"/>
      <c r="X3" s="69"/>
      <c r="Y3" s="69"/>
      <c r="Z3" s="69"/>
    </row>
    <row r="4" spans="1:26" ht="14.25" customHeight="1">
      <c r="A4" s="1236" t="s">
        <v>7524</v>
      </c>
      <c r="B4" s="1227"/>
      <c r="C4" s="1227"/>
      <c r="D4" s="1227"/>
      <c r="E4" s="1227"/>
      <c r="F4" s="1228"/>
      <c r="G4" s="1114"/>
      <c r="H4" s="1114"/>
      <c r="I4" s="1114"/>
      <c r="J4" s="69"/>
      <c r="K4" s="69"/>
      <c r="L4" s="69"/>
      <c r="M4" s="69"/>
      <c r="N4" s="69"/>
      <c r="O4" s="69"/>
      <c r="P4" s="69"/>
      <c r="Q4" s="69"/>
      <c r="R4" s="69"/>
      <c r="S4" s="69"/>
      <c r="T4" s="69"/>
      <c r="U4" s="69"/>
      <c r="V4" s="69"/>
      <c r="W4" s="69"/>
      <c r="X4" s="69"/>
      <c r="Y4" s="69"/>
      <c r="Z4" s="69"/>
    </row>
    <row r="5" spans="1:26" ht="16.5" customHeight="1">
      <c r="A5" s="1244" t="s">
        <v>7525</v>
      </c>
      <c r="B5" s="1227"/>
      <c r="C5" s="1227"/>
      <c r="D5" s="1227"/>
      <c r="E5" s="1227"/>
      <c r="F5" s="1228"/>
      <c r="G5" s="1114"/>
      <c r="H5" s="1114"/>
      <c r="I5" s="1114"/>
      <c r="J5" s="69"/>
      <c r="K5" s="69"/>
      <c r="L5" s="69"/>
      <c r="M5" s="69"/>
      <c r="N5" s="69"/>
      <c r="O5" s="69"/>
      <c r="P5" s="69"/>
      <c r="Q5" s="69"/>
      <c r="R5" s="69"/>
      <c r="S5" s="69"/>
      <c r="T5" s="69"/>
      <c r="U5" s="69"/>
      <c r="V5" s="69"/>
      <c r="W5" s="69"/>
      <c r="X5" s="69"/>
      <c r="Y5" s="69"/>
      <c r="Z5" s="69"/>
    </row>
    <row r="6" spans="1:26" ht="16.5" customHeight="1">
      <c r="A6" s="1244" t="s">
        <v>7526</v>
      </c>
      <c r="B6" s="1227"/>
      <c r="C6" s="1227"/>
      <c r="D6" s="1227"/>
      <c r="E6" s="1227"/>
      <c r="F6" s="1228"/>
      <c r="G6" s="1114"/>
      <c r="H6" s="1114"/>
      <c r="I6" s="1114"/>
      <c r="J6" s="69"/>
      <c r="K6" s="69"/>
      <c r="L6" s="69"/>
      <c r="M6" s="69"/>
      <c r="N6" s="69"/>
      <c r="O6" s="69"/>
      <c r="P6" s="69"/>
      <c r="Q6" s="69"/>
      <c r="R6" s="69"/>
      <c r="S6" s="69"/>
      <c r="T6" s="69"/>
      <c r="U6" s="69"/>
      <c r="V6" s="69"/>
      <c r="W6" s="69"/>
      <c r="X6" s="69"/>
      <c r="Y6" s="69"/>
      <c r="Z6" s="69"/>
    </row>
    <row r="7" spans="1:26" ht="17.25" customHeight="1">
      <c r="A7" s="1244" t="s">
        <v>7527</v>
      </c>
      <c r="B7" s="1227"/>
      <c r="C7" s="1227"/>
      <c r="D7" s="1227"/>
      <c r="E7" s="1227"/>
      <c r="F7" s="1228"/>
      <c r="G7" s="1114"/>
      <c r="H7" s="1114"/>
      <c r="I7" s="1114"/>
      <c r="J7" s="69"/>
      <c r="K7" s="69"/>
      <c r="L7" s="69"/>
      <c r="M7" s="69"/>
      <c r="N7" s="69"/>
      <c r="O7" s="69"/>
      <c r="P7" s="69"/>
      <c r="Q7" s="69"/>
      <c r="R7" s="69"/>
      <c r="S7" s="69"/>
      <c r="T7" s="69"/>
      <c r="U7" s="69"/>
      <c r="V7" s="69"/>
      <c r="W7" s="69"/>
      <c r="X7" s="69"/>
      <c r="Y7" s="69"/>
      <c r="Z7" s="69"/>
    </row>
    <row r="8" spans="1:26" ht="30" customHeight="1">
      <c r="A8" s="1244" t="s">
        <v>7528</v>
      </c>
      <c r="B8" s="1227"/>
      <c r="C8" s="1227"/>
      <c r="D8" s="1227"/>
      <c r="E8" s="1227"/>
      <c r="F8" s="1228"/>
      <c r="G8" s="1114"/>
      <c r="H8" s="1114"/>
      <c r="I8" s="1114"/>
      <c r="J8" s="69"/>
      <c r="K8" s="69"/>
      <c r="L8" s="69"/>
      <c r="M8" s="69"/>
      <c r="N8" s="69"/>
      <c r="O8" s="69"/>
      <c r="P8" s="69"/>
      <c r="Q8" s="69"/>
      <c r="R8" s="69"/>
      <c r="S8" s="69"/>
      <c r="T8" s="69"/>
      <c r="U8" s="69"/>
      <c r="V8" s="69"/>
      <c r="W8" s="69"/>
      <c r="X8" s="69"/>
      <c r="Y8" s="69"/>
      <c r="Z8" s="69"/>
    </row>
    <row r="9" spans="1:26" ht="57" customHeight="1">
      <c r="A9" s="1244" t="s">
        <v>7529</v>
      </c>
      <c r="B9" s="1227"/>
      <c r="C9" s="1227"/>
      <c r="D9" s="1227"/>
      <c r="E9" s="1227"/>
      <c r="F9" s="1228"/>
      <c r="G9" s="1114"/>
      <c r="H9" s="1114"/>
      <c r="I9" s="1114"/>
      <c r="J9" s="69"/>
      <c r="K9" s="69"/>
      <c r="L9" s="69"/>
      <c r="M9" s="69"/>
      <c r="N9" s="69"/>
      <c r="O9" s="69"/>
      <c r="P9" s="69"/>
      <c r="Q9" s="69"/>
      <c r="R9" s="69"/>
      <c r="S9" s="69"/>
      <c r="T9" s="69"/>
      <c r="U9" s="69"/>
      <c r="V9" s="69"/>
      <c r="W9" s="69"/>
      <c r="X9" s="69"/>
      <c r="Y9" s="69"/>
      <c r="Z9" s="69"/>
    </row>
    <row r="10" spans="1:26" ht="14.25">
      <c r="A10" s="77"/>
      <c r="B10" s="77"/>
      <c r="C10" s="78"/>
      <c r="D10" s="78"/>
      <c r="E10" s="78"/>
      <c r="F10" s="78"/>
      <c r="G10" s="77"/>
      <c r="H10" s="77"/>
      <c r="I10" s="77"/>
      <c r="J10" s="69"/>
      <c r="K10" s="69"/>
      <c r="L10" s="69"/>
      <c r="M10" s="69"/>
      <c r="N10" s="69"/>
      <c r="O10" s="69"/>
      <c r="P10" s="69"/>
      <c r="Q10" s="69"/>
      <c r="R10" s="69"/>
      <c r="S10" s="69"/>
      <c r="T10" s="69"/>
      <c r="U10" s="69"/>
      <c r="V10" s="69"/>
      <c r="W10" s="69"/>
      <c r="X10" s="69"/>
      <c r="Y10" s="69"/>
      <c r="Z10" s="69"/>
    </row>
    <row r="11" spans="1:26" ht="61.5" customHeight="1">
      <c r="A11" s="377" t="s">
        <v>4419</v>
      </c>
      <c r="B11" s="83" t="s">
        <v>7</v>
      </c>
      <c r="C11" s="377" t="s">
        <v>7530</v>
      </c>
      <c r="D11" s="82" t="s">
        <v>7531</v>
      </c>
      <c r="E11" s="350" t="s">
        <v>206</v>
      </c>
      <c r="F11" s="350" t="s">
        <v>210</v>
      </c>
      <c r="G11" s="336" t="s">
        <v>211</v>
      </c>
      <c r="J11" s="69"/>
      <c r="K11" s="69"/>
      <c r="L11" s="69"/>
      <c r="M11" s="69"/>
      <c r="N11" s="69"/>
      <c r="O11" s="69"/>
      <c r="P11" s="69"/>
      <c r="Q11" s="69"/>
      <c r="R11" s="69"/>
      <c r="S11" s="69"/>
      <c r="T11" s="69"/>
      <c r="U11" s="69"/>
      <c r="V11" s="69"/>
      <c r="W11" s="69"/>
      <c r="X11" s="69"/>
      <c r="Y11" s="69"/>
      <c r="Z11" s="69"/>
    </row>
    <row r="12" spans="1:26" ht="15" customHeight="1">
      <c r="A12" s="134" t="s">
        <v>1331</v>
      </c>
      <c r="B12" s="133" t="s">
        <v>51</v>
      </c>
      <c r="C12" s="133" t="s">
        <v>7532</v>
      </c>
      <c r="D12" s="99" t="s">
        <v>7533</v>
      </c>
      <c r="E12" s="100">
        <v>20</v>
      </c>
      <c r="F12" s="528">
        <v>20</v>
      </c>
      <c r="G12" s="338" t="s">
        <v>1331</v>
      </c>
    </row>
    <row r="13" spans="1:26" ht="15" customHeight="1">
      <c r="A13" s="134" t="s">
        <v>1331</v>
      </c>
      <c r="B13" s="133" t="s">
        <v>51</v>
      </c>
      <c r="C13" s="133" t="s">
        <v>7534</v>
      </c>
      <c r="D13" s="99" t="s">
        <v>7533</v>
      </c>
      <c r="E13" s="116">
        <v>20</v>
      </c>
      <c r="F13" s="528">
        <v>20</v>
      </c>
      <c r="G13" s="338" t="s">
        <v>1331</v>
      </c>
    </row>
    <row r="14" spans="1:26" ht="15" customHeight="1">
      <c r="A14" s="134" t="s">
        <v>466</v>
      </c>
      <c r="B14" s="133" t="s">
        <v>401</v>
      </c>
      <c r="C14" s="133" t="s">
        <v>7535</v>
      </c>
      <c r="D14" s="99" t="s">
        <v>7533</v>
      </c>
      <c r="E14" s="100">
        <v>20</v>
      </c>
      <c r="F14" s="528">
        <v>20</v>
      </c>
      <c r="G14" s="338" t="s">
        <v>466</v>
      </c>
    </row>
    <row r="15" spans="1:26" ht="15" customHeight="1">
      <c r="A15" s="134" t="s">
        <v>2520</v>
      </c>
      <c r="B15" s="133" t="s">
        <v>51</v>
      </c>
      <c r="C15" s="133" t="s">
        <v>7536</v>
      </c>
      <c r="D15" s="99" t="s">
        <v>7537</v>
      </c>
      <c r="E15" s="100">
        <v>20</v>
      </c>
      <c r="F15" s="528">
        <v>20</v>
      </c>
      <c r="G15" s="338" t="s">
        <v>2520</v>
      </c>
    </row>
    <row r="16" spans="1:26" ht="15" customHeight="1">
      <c r="A16" s="162" t="s">
        <v>580</v>
      </c>
      <c r="B16" s="162" t="s">
        <v>51</v>
      </c>
      <c r="C16" s="162" t="s">
        <v>7538</v>
      </c>
      <c r="D16" s="162" t="s">
        <v>7533</v>
      </c>
      <c r="E16" s="163">
        <v>20</v>
      </c>
      <c r="F16" s="483">
        <v>20</v>
      </c>
      <c r="G16" s="338" t="s">
        <v>580</v>
      </c>
    </row>
    <row r="17" spans="1:26" ht="102">
      <c r="A17" s="134" t="s">
        <v>7351</v>
      </c>
      <c r="B17" s="133" t="s">
        <v>141</v>
      </c>
      <c r="C17" s="133" t="s">
        <v>7539</v>
      </c>
      <c r="D17" s="133" t="s">
        <v>7540</v>
      </c>
      <c r="E17" s="100">
        <v>50</v>
      </c>
      <c r="F17" s="528">
        <f>E17</f>
        <v>50</v>
      </c>
      <c r="G17" s="216" t="str">
        <f t="shared" ref="G17:G19" si="0">A17</f>
        <v>Prof.dr.ing. Florea Adrian</v>
      </c>
      <c r="H17" s="216"/>
      <c r="I17" s="216"/>
      <c r="J17" s="216"/>
      <c r="K17" s="216"/>
      <c r="L17" s="216"/>
      <c r="M17" s="216"/>
      <c r="N17" s="216"/>
      <c r="O17" s="216"/>
      <c r="P17" s="216"/>
      <c r="Q17" s="216"/>
      <c r="R17" s="216"/>
      <c r="S17" s="216"/>
      <c r="T17" s="216"/>
      <c r="U17" s="216"/>
      <c r="V17" s="216"/>
      <c r="W17" s="216"/>
      <c r="X17" s="216"/>
      <c r="Y17" s="216"/>
      <c r="Z17" s="216"/>
    </row>
    <row r="18" spans="1:26" ht="127.5">
      <c r="A18" s="134" t="s">
        <v>7351</v>
      </c>
      <c r="B18" s="133" t="s">
        <v>141</v>
      </c>
      <c r="C18" s="133" t="s">
        <v>7539</v>
      </c>
      <c r="D18" s="99" t="s">
        <v>7541</v>
      </c>
      <c r="E18" s="100">
        <v>20</v>
      </c>
      <c r="F18" s="528">
        <v>20</v>
      </c>
      <c r="G18" s="216" t="str">
        <f t="shared" si="0"/>
        <v>Prof.dr.ing. Florea Adrian</v>
      </c>
      <c r="H18" s="216"/>
      <c r="I18" s="216"/>
      <c r="J18" s="216"/>
      <c r="K18" s="216"/>
      <c r="L18" s="216"/>
      <c r="M18" s="216"/>
      <c r="N18" s="216"/>
      <c r="O18" s="216"/>
      <c r="P18" s="216"/>
      <c r="Q18" s="216"/>
      <c r="R18" s="216"/>
      <c r="S18" s="216"/>
      <c r="T18" s="216"/>
      <c r="U18" s="216"/>
      <c r="V18" s="216"/>
      <c r="W18" s="216"/>
      <c r="X18" s="216"/>
      <c r="Y18" s="216"/>
      <c r="Z18" s="216"/>
    </row>
    <row r="19" spans="1:26" ht="51">
      <c r="A19" s="134" t="s">
        <v>7351</v>
      </c>
      <c r="B19" s="133" t="s">
        <v>141</v>
      </c>
      <c r="C19" s="133" t="s">
        <v>7539</v>
      </c>
      <c r="D19" s="99" t="s">
        <v>7542</v>
      </c>
      <c r="E19" s="100">
        <v>20</v>
      </c>
      <c r="F19" s="528">
        <v>0</v>
      </c>
      <c r="G19" s="216" t="str">
        <f t="shared" si="0"/>
        <v>Prof.dr.ing. Florea Adrian</v>
      </c>
      <c r="H19" s="216"/>
      <c r="I19" s="216"/>
      <c r="J19" s="216"/>
      <c r="K19" s="216"/>
      <c r="L19" s="216"/>
      <c r="M19" s="216"/>
      <c r="N19" s="216"/>
      <c r="O19" s="216"/>
      <c r="P19" s="216"/>
      <c r="Q19" s="216"/>
      <c r="R19" s="216"/>
      <c r="S19" s="216"/>
      <c r="T19" s="216"/>
      <c r="U19" s="216"/>
      <c r="V19" s="216"/>
      <c r="W19" s="216"/>
      <c r="X19" s="216"/>
      <c r="Y19" s="216"/>
      <c r="Z19" s="216"/>
    </row>
    <row r="20" spans="1:26" ht="15" customHeight="1">
      <c r="A20" s="134" t="s">
        <v>7297</v>
      </c>
      <c r="B20" s="133" t="s">
        <v>105</v>
      </c>
      <c r="C20" s="133" t="s">
        <v>7543</v>
      </c>
      <c r="D20" s="99" t="s">
        <v>7533</v>
      </c>
      <c r="E20" s="100">
        <v>20</v>
      </c>
      <c r="F20" s="528">
        <v>20</v>
      </c>
      <c r="G20" s="338" t="s">
        <v>133</v>
      </c>
      <c r="H20" s="216"/>
      <c r="I20" s="216"/>
      <c r="J20" s="216"/>
      <c r="K20" s="216"/>
      <c r="L20" s="216"/>
      <c r="M20" s="216"/>
      <c r="N20" s="216"/>
      <c r="O20" s="216"/>
      <c r="P20" s="216"/>
      <c r="Q20" s="216"/>
      <c r="R20" s="216"/>
      <c r="S20" s="216"/>
      <c r="T20" s="216"/>
      <c r="U20" s="216"/>
      <c r="V20" s="216"/>
      <c r="W20" s="216"/>
      <c r="X20" s="216"/>
      <c r="Y20" s="216"/>
      <c r="Z20" s="216"/>
    </row>
    <row r="21" spans="1:26" ht="15.75" customHeight="1"/>
    <row r="22" spans="1:26" ht="15" customHeight="1">
      <c r="A22" s="332" t="s">
        <v>169</v>
      </c>
      <c r="F22" s="1116">
        <f>SUM(F12:F20)</f>
        <v>190</v>
      </c>
    </row>
    <row r="23" spans="1:26" ht="15.75" customHeight="1"/>
    <row r="24" spans="1:26" ht="15" customHeight="1">
      <c r="A24" s="1231" t="s">
        <v>1156</v>
      </c>
      <c r="B24" s="1232"/>
      <c r="C24" s="1232"/>
      <c r="D24" s="1232"/>
      <c r="E24" s="1232"/>
      <c r="F24" s="1232"/>
      <c r="G24" s="1232"/>
      <c r="H24" s="1233"/>
    </row>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24:H24"/>
    <mergeCell ref="A2:F2"/>
    <mergeCell ref="A4:F4"/>
    <mergeCell ref="A5:F5"/>
    <mergeCell ref="A6:F6"/>
    <mergeCell ref="A7:F7"/>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64"/>
      <c r="B1" s="64"/>
      <c r="C1" s="65"/>
      <c r="D1" s="65"/>
      <c r="E1" s="65"/>
      <c r="F1" s="1"/>
      <c r="G1" s="1"/>
      <c r="H1" s="1"/>
    </row>
    <row r="2" spans="1:25" ht="15.75" customHeight="1">
      <c r="A2" s="1234" t="s">
        <v>7544</v>
      </c>
      <c r="B2" s="1227"/>
      <c r="C2" s="1227"/>
      <c r="D2" s="1227"/>
      <c r="E2" s="1228"/>
      <c r="F2" s="1114"/>
      <c r="G2" s="1114"/>
      <c r="H2" s="1114"/>
      <c r="I2" s="69"/>
      <c r="J2" s="69"/>
      <c r="K2" s="69"/>
      <c r="L2" s="69"/>
      <c r="M2" s="69"/>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14.25" customHeight="1">
      <c r="A4" s="1236" t="s">
        <v>7545</v>
      </c>
      <c r="B4" s="1227"/>
      <c r="C4" s="1227"/>
      <c r="D4" s="1227"/>
      <c r="E4" s="1228"/>
      <c r="F4" s="1114"/>
      <c r="G4" s="1114"/>
      <c r="H4" s="1114"/>
      <c r="I4" s="69"/>
      <c r="J4" s="69"/>
      <c r="K4" s="69"/>
      <c r="L4" s="69"/>
      <c r="M4" s="69"/>
      <c r="N4" s="69"/>
      <c r="O4" s="69"/>
      <c r="P4" s="69"/>
      <c r="Q4" s="69"/>
      <c r="R4" s="69"/>
      <c r="S4" s="69"/>
      <c r="T4" s="69"/>
      <c r="U4" s="69"/>
      <c r="V4" s="69"/>
      <c r="W4" s="69"/>
      <c r="X4" s="69"/>
      <c r="Y4" s="69"/>
    </row>
    <row r="5" spans="1:25" ht="16.5" customHeight="1">
      <c r="A5" s="1244" t="s">
        <v>7546</v>
      </c>
      <c r="B5" s="1227"/>
      <c r="C5" s="1227"/>
      <c r="D5" s="1227"/>
      <c r="E5" s="1228"/>
      <c r="F5" s="1114"/>
      <c r="G5" s="1114"/>
      <c r="H5" s="1114"/>
      <c r="I5" s="69"/>
      <c r="J5" s="69"/>
      <c r="K5" s="69"/>
      <c r="L5" s="69"/>
      <c r="M5" s="69"/>
      <c r="N5" s="69"/>
      <c r="O5" s="69"/>
      <c r="P5" s="69"/>
      <c r="Q5" s="69"/>
      <c r="R5" s="69"/>
      <c r="S5" s="69"/>
      <c r="T5" s="69"/>
      <c r="U5" s="69"/>
      <c r="V5" s="69"/>
      <c r="W5" s="69"/>
      <c r="X5" s="69"/>
      <c r="Y5" s="69"/>
    </row>
    <row r="6" spans="1:25" ht="27" customHeight="1">
      <c r="A6" s="1258" t="s">
        <v>7547</v>
      </c>
      <c r="B6" s="1227"/>
      <c r="C6" s="1227"/>
      <c r="D6" s="1227"/>
      <c r="E6" s="1228"/>
      <c r="F6" s="1114"/>
      <c r="G6" s="1114"/>
      <c r="H6" s="1114"/>
      <c r="I6" s="69"/>
      <c r="J6" s="69"/>
      <c r="K6" s="69"/>
      <c r="L6" s="69"/>
      <c r="M6" s="69"/>
      <c r="N6" s="69"/>
      <c r="O6" s="69"/>
      <c r="P6" s="69"/>
      <c r="Q6" s="69"/>
      <c r="R6" s="69"/>
      <c r="S6" s="69"/>
      <c r="T6" s="69"/>
      <c r="U6" s="69"/>
      <c r="V6" s="69"/>
      <c r="W6" s="69"/>
      <c r="X6" s="69"/>
      <c r="Y6" s="69"/>
    </row>
    <row r="7" spans="1:25" ht="14.25">
      <c r="A7" s="77"/>
      <c r="B7" s="77"/>
      <c r="C7" s="78"/>
      <c r="D7" s="78"/>
      <c r="E7" s="78"/>
      <c r="F7" s="77"/>
      <c r="G7" s="77"/>
      <c r="H7" s="77"/>
      <c r="I7" s="69"/>
      <c r="J7" s="69"/>
      <c r="K7" s="69"/>
      <c r="L7" s="69"/>
      <c r="M7" s="69"/>
      <c r="N7" s="69"/>
      <c r="O7" s="69"/>
      <c r="P7" s="69"/>
      <c r="Q7" s="69"/>
      <c r="R7" s="69"/>
      <c r="S7" s="69"/>
      <c r="T7" s="69"/>
      <c r="U7" s="69"/>
      <c r="V7" s="69"/>
      <c r="W7" s="69"/>
      <c r="X7" s="69"/>
      <c r="Y7" s="69"/>
    </row>
    <row r="8" spans="1:25" ht="61.5" customHeight="1">
      <c r="A8" s="377" t="s">
        <v>4419</v>
      </c>
      <c r="B8" s="83" t="s">
        <v>7</v>
      </c>
      <c r="C8" s="377" t="s">
        <v>7548</v>
      </c>
      <c r="D8" s="350" t="s">
        <v>206</v>
      </c>
      <c r="E8" s="350" t="s">
        <v>210</v>
      </c>
      <c r="F8" s="336" t="s">
        <v>211</v>
      </c>
      <c r="I8" s="69"/>
      <c r="J8" s="69"/>
      <c r="K8" s="69"/>
      <c r="L8" s="69"/>
      <c r="M8" s="69"/>
      <c r="N8" s="69"/>
      <c r="O8" s="69"/>
      <c r="P8" s="69"/>
      <c r="Q8" s="69"/>
      <c r="R8" s="69"/>
      <c r="S8" s="69"/>
      <c r="T8" s="69"/>
      <c r="U8" s="69"/>
      <c r="V8" s="69"/>
      <c r="W8" s="69"/>
      <c r="X8" s="69"/>
      <c r="Y8" s="69"/>
    </row>
    <row r="9" spans="1:25" ht="15" customHeight="1">
      <c r="A9" s="134" t="s">
        <v>7549</v>
      </c>
      <c r="B9" s="133" t="s">
        <v>51</v>
      </c>
      <c r="C9" s="133">
        <v>9</v>
      </c>
      <c r="D9" s="100" t="s">
        <v>7550</v>
      </c>
      <c r="E9" s="528">
        <v>252</v>
      </c>
      <c r="F9" s="338" t="s">
        <v>221</v>
      </c>
    </row>
    <row r="10" spans="1:25" ht="15" customHeight="1">
      <c r="A10" s="134" t="s">
        <v>7551</v>
      </c>
      <c r="B10" s="133" t="s">
        <v>51</v>
      </c>
      <c r="C10" s="133">
        <v>12</v>
      </c>
      <c r="D10" s="100">
        <f>12*28</f>
        <v>336</v>
      </c>
      <c r="E10" s="528">
        <v>336</v>
      </c>
      <c r="F10" s="338" t="s">
        <v>7551</v>
      </c>
    </row>
    <row r="11" spans="1:25" ht="15" customHeight="1">
      <c r="A11" s="134" t="s">
        <v>7552</v>
      </c>
      <c r="B11" s="133" t="s">
        <v>51</v>
      </c>
      <c r="C11" s="133">
        <v>7</v>
      </c>
      <c r="D11" s="100">
        <v>98</v>
      </c>
      <c r="E11" s="528">
        <v>196</v>
      </c>
      <c r="F11" s="338" t="s">
        <v>1315</v>
      </c>
    </row>
    <row r="12" spans="1:25" ht="15" customHeight="1">
      <c r="A12" s="134" t="s">
        <v>7371</v>
      </c>
      <c r="B12" s="133" t="s">
        <v>51</v>
      </c>
      <c r="C12" s="133">
        <v>2</v>
      </c>
      <c r="D12" s="116">
        <v>56</v>
      </c>
      <c r="E12" s="528">
        <v>56</v>
      </c>
      <c r="F12" s="338" t="s">
        <v>7371</v>
      </c>
    </row>
    <row r="13" spans="1:25" ht="15" customHeight="1">
      <c r="A13" s="134" t="s">
        <v>7371</v>
      </c>
      <c r="B13" s="133" t="s">
        <v>51</v>
      </c>
      <c r="C13" s="133">
        <v>2</v>
      </c>
      <c r="D13" s="116">
        <v>56</v>
      </c>
      <c r="E13" s="528">
        <v>56</v>
      </c>
      <c r="F13" s="338" t="s">
        <v>7371</v>
      </c>
    </row>
    <row r="14" spans="1:25" ht="15" customHeight="1">
      <c r="A14" s="134" t="s">
        <v>7371</v>
      </c>
      <c r="B14" s="133" t="s">
        <v>51</v>
      </c>
      <c r="C14" s="133">
        <v>2</v>
      </c>
      <c r="D14" s="116">
        <v>56</v>
      </c>
      <c r="E14" s="528">
        <v>56</v>
      </c>
      <c r="F14" s="338" t="s">
        <v>7371</v>
      </c>
    </row>
    <row r="15" spans="1:25" ht="15" customHeight="1">
      <c r="A15" s="134" t="s">
        <v>7371</v>
      </c>
      <c r="B15" s="133" t="s">
        <v>51</v>
      </c>
      <c r="C15" s="133">
        <v>1</v>
      </c>
      <c r="D15" s="116">
        <v>28</v>
      </c>
      <c r="E15" s="528">
        <v>28</v>
      </c>
      <c r="F15" s="338" t="s">
        <v>7371</v>
      </c>
    </row>
    <row r="16" spans="1:25" ht="15" customHeight="1">
      <c r="A16" s="134" t="s">
        <v>7371</v>
      </c>
      <c r="B16" s="133" t="s">
        <v>51</v>
      </c>
      <c r="C16" s="133">
        <v>2</v>
      </c>
      <c r="D16" s="116">
        <v>56</v>
      </c>
      <c r="E16" s="528">
        <v>56</v>
      </c>
      <c r="F16" s="338" t="s">
        <v>7371</v>
      </c>
    </row>
    <row r="17" spans="1:6" ht="15" customHeight="1">
      <c r="A17" s="134" t="s">
        <v>1331</v>
      </c>
      <c r="B17" s="133" t="s">
        <v>51</v>
      </c>
      <c r="C17" s="99">
        <v>7</v>
      </c>
      <c r="D17" s="100">
        <v>196</v>
      </c>
      <c r="E17" s="528">
        <v>196</v>
      </c>
      <c r="F17" s="338" t="s">
        <v>1331</v>
      </c>
    </row>
    <row r="18" spans="1:6" ht="15" customHeight="1">
      <c r="A18" s="134" t="s">
        <v>7553</v>
      </c>
      <c r="B18" s="133" t="s">
        <v>51</v>
      </c>
      <c r="C18" s="133">
        <v>13.5</v>
      </c>
      <c r="D18" s="100">
        <v>378</v>
      </c>
      <c r="E18" s="528">
        <v>378</v>
      </c>
      <c r="F18" s="338" t="s">
        <v>231</v>
      </c>
    </row>
    <row r="19" spans="1:6" ht="15" customHeight="1">
      <c r="A19" s="121" t="s">
        <v>6237</v>
      </c>
      <c r="B19" s="763" t="s">
        <v>51</v>
      </c>
      <c r="C19" s="133">
        <v>9.5</v>
      </c>
      <c r="D19" s="100">
        <f>9.5*28</f>
        <v>266</v>
      </c>
      <c r="E19" s="528">
        <v>266</v>
      </c>
      <c r="F19" s="338" t="s">
        <v>1339</v>
      </c>
    </row>
    <row r="20" spans="1:6" ht="15" customHeight="1">
      <c r="A20" s="134" t="s">
        <v>7554</v>
      </c>
      <c r="B20" s="133" t="s">
        <v>51</v>
      </c>
      <c r="C20" s="133">
        <v>12</v>
      </c>
      <c r="D20" s="100">
        <v>336</v>
      </c>
      <c r="E20" s="528">
        <v>336</v>
      </c>
      <c r="F20" s="338" t="s">
        <v>1359</v>
      </c>
    </row>
    <row r="21" spans="1:6" ht="15" customHeight="1">
      <c r="A21" s="134" t="s">
        <v>6254</v>
      </c>
      <c r="B21" s="134" t="s">
        <v>51</v>
      </c>
      <c r="C21" s="133">
        <v>7</v>
      </c>
      <c r="D21" s="100">
        <f>7*28</f>
        <v>196</v>
      </c>
      <c r="E21" s="528">
        <v>196</v>
      </c>
      <c r="F21" s="338" t="s">
        <v>249</v>
      </c>
    </row>
    <row r="22" spans="1:6" ht="15" customHeight="1">
      <c r="A22" s="134" t="s">
        <v>359</v>
      </c>
      <c r="B22" s="99" t="s">
        <v>51</v>
      </c>
      <c r="C22" s="99">
        <v>9</v>
      </c>
      <c r="D22" s="116" t="s">
        <v>7555</v>
      </c>
      <c r="E22" s="528">
        <v>252</v>
      </c>
      <c r="F22" s="338" t="s">
        <v>359</v>
      </c>
    </row>
    <row r="23" spans="1:6" ht="15" customHeight="1">
      <c r="A23" s="134" t="s">
        <v>4471</v>
      </c>
      <c r="B23" s="133" t="s">
        <v>51</v>
      </c>
      <c r="C23" s="133" t="s">
        <v>7556</v>
      </c>
      <c r="D23" s="116">
        <v>28</v>
      </c>
      <c r="E23" s="528">
        <v>28</v>
      </c>
      <c r="F23" s="338" t="s">
        <v>4471</v>
      </c>
    </row>
    <row r="24" spans="1:6" ht="15" customHeight="1">
      <c r="A24" s="134" t="s">
        <v>4471</v>
      </c>
      <c r="B24" s="133" t="s">
        <v>51</v>
      </c>
      <c r="C24" s="133" t="s">
        <v>7557</v>
      </c>
      <c r="D24" s="116">
        <v>56</v>
      </c>
      <c r="E24" s="528">
        <v>56</v>
      </c>
      <c r="F24" s="338" t="s">
        <v>4471</v>
      </c>
    </row>
    <row r="25" spans="1:6" ht="15" customHeight="1">
      <c r="A25" s="134" t="s">
        <v>4471</v>
      </c>
      <c r="B25" s="133" t="s">
        <v>51</v>
      </c>
      <c r="C25" s="133" t="s">
        <v>7557</v>
      </c>
      <c r="D25" s="116">
        <v>28</v>
      </c>
      <c r="E25" s="528">
        <v>28</v>
      </c>
      <c r="F25" s="338" t="s">
        <v>4471</v>
      </c>
    </row>
    <row r="26" spans="1:6" ht="15" customHeight="1">
      <c r="A26" s="134" t="s">
        <v>4471</v>
      </c>
      <c r="B26" s="133" t="s">
        <v>51</v>
      </c>
      <c r="C26" s="133" t="s">
        <v>7558</v>
      </c>
      <c r="D26" s="116">
        <v>28</v>
      </c>
      <c r="E26" s="528">
        <v>28</v>
      </c>
      <c r="F26" s="338" t="s">
        <v>4471</v>
      </c>
    </row>
    <row r="27" spans="1:6" ht="15" customHeight="1">
      <c r="A27" s="134" t="s">
        <v>4471</v>
      </c>
      <c r="B27" s="133" t="s">
        <v>51</v>
      </c>
      <c r="C27" s="133" t="s">
        <v>7559</v>
      </c>
      <c r="D27" s="116">
        <v>28</v>
      </c>
      <c r="E27" s="528">
        <v>28</v>
      </c>
      <c r="F27" s="338" t="s">
        <v>4471</v>
      </c>
    </row>
    <row r="28" spans="1:6" ht="15" customHeight="1">
      <c r="A28" s="134" t="s">
        <v>4471</v>
      </c>
      <c r="B28" s="133" t="s">
        <v>51</v>
      </c>
      <c r="C28" s="133" t="s">
        <v>7560</v>
      </c>
      <c r="D28" s="116">
        <v>56</v>
      </c>
      <c r="E28" s="528">
        <v>56</v>
      </c>
      <c r="F28" s="338" t="s">
        <v>4471</v>
      </c>
    </row>
    <row r="29" spans="1:6" ht="15" customHeight="1">
      <c r="A29" s="134" t="s">
        <v>4471</v>
      </c>
      <c r="B29" s="133" t="s">
        <v>51</v>
      </c>
      <c r="C29" s="133" t="s">
        <v>7560</v>
      </c>
      <c r="D29" s="116">
        <v>28</v>
      </c>
      <c r="E29" s="528">
        <v>28</v>
      </c>
      <c r="F29" s="338" t="s">
        <v>4471</v>
      </c>
    </row>
    <row r="30" spans="1:6" ht="15" customHeight="1">
      <c r="A30" s="134" t="s">
        <v>4471</v>
      </c>
      <c r="B30" s="133" t="s">
        <v>51</v>
      </c>
      <c r="C30" s="133" t="s">
        <v>7561</v>
      </c>
      <c r="D30" s="116">
        <v>56</v>
      </c>
      <c r="E30" s="528">
        <v>56</v>
      </c>
      <c r="F30" s="338" t="s">
        <v>4471</v>
      </c>
    </row>
    <row r="31" spans="1:6" ht="15" customHeight="1">
      <c r="A31" s="134" t="s">
        <v>4471</v>
      </c>
      <c r="B31" s="133" t="s">
        <v>51</v>
      </c>
      <c r="C31" s="133" t="s">
        <v>7561</v>
      </c>
      <c r="D31" s="116">
        <v>28</v>
      </c>
      <c r="E31" s="528">
        <v>28</v>
      </c>
      <c r="F31" s="338" t="s">
        <v>4471</v>
      </c>
    </row>
    <row r="32" spans="1:6" ht="15" customHeight="1">
      <c r="A32" s="134" t="s">
        <v>7379</v>
      </c>
      <c r="B32" s="134" t="s">
        <v>51</v>
      </c>
      <c r="C32" s="133">
        <v>9</v>
      </c>
      <c r="D32" s="100">
        <v>252</v>
      </c>
      <c r="E32" s="528">
        <v>252</v>
      </c>
      <c r="F32" s="338" t="s">
        <v>384</v>
      </c>
    </row>
    <row r="33" spans="1:6" ht="15" customHeight="1">
      <c r="A33" s="134" t="s">
        <v>7562</v>
      </c>
      <c r="B33" s="133" t="s">
        <v>51</v>
      </c>
      <c r="C33" s="133">
        <v>16</v>
      </c>
      <c r="D33" s="100">
        <f>C33*28</f>
        <v>448</v>
      </c>
      <c r="E33" s="528">
        <v>448</v>
      </c>
      <c r="F33" s="338" t="s">
        <v>7563</v>
      </c>
    </row>
    <row r="34" spans="1:6" ht="15" customHeight="1">
      <c r="A34" s="381" t="s">
        <v>1822</v>
      </c>
      <c r="B34" s="133" t="s">
        <v>51</v>
      </c>
      <c r="C34" s="133" t="s">
        <v>7564</v>
      </c>
      <c r="D34" s="100">
        <v>280</v>
      </c>
      <c r="E34" s="528">
        <v>280</v>
      </c>
      <c r="F34" s="338" t="s">
        <v>1822</v>
      </c>
    </row>
    <row r="35" spans="1:6" ht="15" customHeight="1">
      <c r="A35" s="134" t="s">
        <v>7565</v>
      </c>
      <c r="B35" s="133" t="s">
        <v>51</v>
      </c>
      <c r="C35" s="133">
        <v>7</v>
      </c>
      <c r="D35" s="100">
        <f>C35*28</f>
        <v>196</v>
      </c>
      <c r="E35" s="528">
        <f>D35</f>
        <v>196</v>
      </c>
      <c r="F35" s="338" t="s">
        <v>1869</v>
      </c>
    </row>
    <row r="36" spans="1:6" ht="15" customHeight="1">
      <c r="A36" s="134" t="s">
        <v>409</v>
      </c>
      <c r="B36" s="133" t="s">
        <v>401</v>
      </c>
      <c r="C36" s="133" t="s">
        <v>7566</v>
      </c>
      <c r="D36" s="100" t="s">
        <v>7567</v>
      </c>
      <c r="E36" s="528">
        <v>196</v>
      </c>
      <c r="F36" s="338" t="s">
        <v>409</v>
      </c>
    </row>
    <row r="37" spans="1:6" ht="15" customHeight="1">
      <c r="A37" s="134" t="s">
        <v>7047</v>
      </c>
      <c r="B37" s="99" t="s">
        <v>401</v>
      </c>
      <c r="C37" s="133" t="s">
        <v>7568</v>
      </c>
      <c r="D37" s="100" t="s">
        <v>7569</v>
      </c>
      <c r="E37" s="528">
        <v>336</v>
      </c>
      <c r="F37" s="338" t="s">
        <v>2115</v>
      </c>
    </row>
    <row r="38" spans="1:6" ht="15" customHeight="1">
      <c r="A38" s="134" t="s">
        <v>466</v>
      </c>
      <c r="B38" s="133" t="s">
        <v>401</v>
      </c>
      <c r="C38" s="133" t="s">
        <v>7570</v>
      </c>
      <c r="D38" s="100">
        <v>196</v>
      </c>
      <c r="E38" s="528">
        <v>196</v>
      </c>
      <c r="F38" s="338" t="s">
        <v>466</v>
      </c>
    </row>
    <row r="39" spans="1:6" ht="15" customHeight="1">
      <c r="A39" s="134" t="s">
        <v>4848</v>
      </c>
      <c r="B39" s="133" t="s">
        <v>51</v>
      </c>
      <c r="C39" s="133">
        <v>10</v>
      </c>
      <c r="D39" s="100">
        <v>280</v>
      </c>
      <c r="E39" s="528">
        <v>280</v>
      </c>
      <c r="F39" s="338" t="s">
        <v>2207</v>
      </c>
    </row>
    <row r="40" spans="1:6" ht="15" customHeight="1">
      <c r="A40" s="134" t="s">
        <v>7571</v>
      </c>
      <c r="B40" s="133" t="s">
        <v>51</v>
      </c>
      <c r="C40" s="133">
        <v>15</v>
      </c>
      <c r="D40" s="100">
        <v>420</v>
      </c>
      <c r="E40" s="528">
        <v>420</v>
      </c>
      <c r="F40" s="338" t="s">
        <v>7571</v>
      </c>
    </row>
    <row r="41" spans="1:6" ht="15" customHeight="1">
      <c r="A41" s="134" t="s">
        <v>473</v>
      </c>
      <c r="B41" s="133" t="s">
        <v>51</v>
      </c>
      <c r="C41" s="133">
        <v>10</v>
      </c>
      <c r="D41" s="100">
        <v>280</v>
      </c>
      <c r="E41" s="528">
        <v>280</v>
      </c>
      <c r="F41" s="338" t="s">
        <v>473</v>
      </c>
    </row>
    <row r="42" spans="1:6" ht="15" customHeight="1">
      <c r="A42" s="134" t="s">
        <v>7382</v>
      </c>
      <c r="B42" s="99" t="s">
        <v>51</v>
      </c>
      <c r="C42" s="133" t="s">
        <v>7572</v>
      </c>
      <c r="D42" s="100">
        <f>8*28</f>
        <v>224</v>
      </c>
      <c r="E42" s="528">
        <f>D42</f>
        <v>224</v>
      </c>
      <c r="F42" s="338" t="s">
        <v>2260</v>
      </c>
    </row>
    <row r="43" spans="1:6" ht="15" customHeight="1">
      <c r="A43" s="134" t="s">
        <v>7573</v>
      </c>
      <c r="B43" s="133" t="s">
        <v>51</v>
      </c>
      <c r="C43" s="133" t="s">
        <v>7574</v>
      </c>
      <c r="D43" s="100">
        <v>434</v>
      </c>
      <c r="E43" s="528">
        <v>434</v>
      </c>
      <c r="F43" s="338" t="s">
        <v>5254</v>
      </c>
    </row>
    <row r="44" spans="1:6" ht="15" customHeight="1">
      <c r="A44" s="134" t="s">
        <v>6415</v>
      </c>
      <c r="B44" s="99" t="s">
        <v>51</v>
      </c>
      <c r="C44" s="133" t="s">
        <v>7575</v>
      </c>
      <c r="D44" s="100" t="s">
        <v>7576</v>
      </c>
      <c r="E44" s="528">
        <f>7*28</f>
        <v>196</v>
      </c>
      <c r="F44" s="338" t="s">
        <v>482</v>
      </c>
    </row>
    <row r="45" spans="1:6" ht="15" customHeight="1">
      <c r="A45" s="134" t="s">
        <v>6435</v>
      </c>
      <c r="B45" s="133" t="s">
        <v>51</v>
      </c>
      <c r="C45" s="133">
        <v>14.5</v>
      </c>
      <c r="D45" s="100">
        <v>406</v>
      </c>
      <c r="E45" s="528">
        <v>406</v>
      </c>
      <c r="F45" s="338" t="s">
        <v>2358</v>
      </c>
    </row>
    <row r="46" spans="1:6" ht="15" customHeight="1">
      <c r="A46" s="134" t="s">
        <v>7577</v>
      </c>
      <c r="B46" s="133" t="s">
        <v>51</v>
      </c>
      <c r="C46" s="99">
        <v>15.5</v>
      </c>
      <c r="D46" s="100">
        <f>C46*28</f>
        <v>434</v>
      </c>
      <c r="E46" s="528">
        <f>C46*28</f>
        <v>434</v>
      </c>
      <c r="F46" s="338" t="s">
        <v>7578</v>
      </c>
    </row>
    <row r="47" spans="1:6" ht="15" customHeight="1">
      <c r="A47" s="162" t="s">
        <v>2372</v>
      </c>
      <c r="B47" s="162" t="s">
        <v>51</v>
      </c>
      <c r="C47" s="162" t="s">
        <v>7579</v>
      </c>
      <c r="D47" s="163" t="s">
        <v>7580</v>
      </c>
      <c r="E47" s="483">
        <v>252</v>
      </c>
      <c r="F47" s="338" t="s">
        <v>2372</v>
      </c>
    </row>
    <row r="48" spans="1:6" ht="15" customHeight="1">
      <c r="A48" s="134" t="s">
        <v>7097</v>
      </c>
      <c r="B48" s="133" t="s">
        <v>51</v>
      </c>
      <c r="C48" s="133">
        <v>12</v>
      </c>
      <c r="D48" s="100">
        <f>C48*28</f>
        <v>336</v>
      </c>
      <c r="E48" s="528">
        <f>D48</f>
        <v>336</v>
      </c>
      <c r="F48" s="338" t="s">
        <v>2392</v>
      </c>
    </row>
    <row r="49" spans="1:6" ht="15" customHeight="1">
      <c r="A49" s="134" t="s">
        <v>4888</v>
      </c>
      <c r="B49" s="133" t="s">
        <v>51</v>
      </c>
      <c r="C49" s="133" t="s">
        <v>7581</v>
      </c>
      <c r="D49" s="100" t="s">
        <v>7582</v>
      </c>
      <c r="E49" s="528">
        <v>336</v>
      </c>
      <c r="F49" s="338" t="s">
        <v>2399</v>
      </c>
    </row>
    <row r="50" spans="1:6" ht="15" customHeight="1">
      <c r="A50" s="134" t="s">
        <v>488</v>
      </c>
      <c r="B50" s="133" t="s">
        <v>51</v>
      </c>
      <c r="C50" s="162">
        <v>10</v>
      </c>
      <c r="D50" s="100">
        <f>10*28</f>
        <v>280</v>
      </c>
      <c r="E50" s="528">
        <f>D50</f>
        <v>280</v>
      </c>
      <c r="F50" s="338" t="s">
        <v>488</v>
      </c>
    </row>
    <row r="51" spans="1:6" ht="15" customHeight="1">
      <c r="A51" s="134" t="s">
        <v>1223</v>
      </c>
      <c r="B51" s="133" t="s">
        <v>51</v>
      </c>
      <c r="C51" s="133">
        <v>10</v>
      </c>
      <c r="D51" s="100">
        <v>10</v>
      </c>
      <c r="E51" s="528">
        <f>D51*28</f>
        <v>280</v>
      </c>
      <c r="F51" s="338" t="s">
        <v>510</v>
      </c>
    </row>
    <row r="52" spans="1:6" ht="15" customHeight="1">
      <c r="A52" s="134" t="s">
        <v>2513</v>
      </c>
      <c r="B52" s="133" t="s">
        <v>51</v>
      </c>
      <c r="C52" s="133" t="s">
        <v>7583</v>
      </c>
      <c r="D52" s="100">
        <v>15</v>
      </c>
      <c r="E52" s="528">
        <f>15*28</f>
        <v>420</v>
      </c>
      <c r="F52" s="338" t="s">
        <v>2513</v>
      </c>
    </row>
    <row r="53" spans="1:6" ht="15" customHeight="1">
      <c r="A53" s="134" t="s">
        <v>7584</v>
      </c>
      <c r="B53" s="133" t="s">
        <v>401</v>
      </c>
      <c r="C53" s="133" t="s">
        <v>7585</v>
      </c>
      <c r="D53" s="100" t="s">
        <v>7586</v>
      </c>
      <c r="E53" s="528">
        <v>280</v>
      </c>
      <c r="F53" s="338" t="s">
        <v>4565</v>
      </c>
    </row>
    <row r="54" spans="1:6" ht="15" customHeight="1">
      <c r="A54" s="134" t="s">
        <v>7587</v>
      </c>
      <c r="B54" s="133" t="s">
        <v>51</v>
      </c>
      <c r="C54" s="133" t="s">
        <v>7588</v>
      </c>
      <c r="D54" s="116">
        <f>12*28</f>
        <v>336</v>
      </c>
      <c r="E54" s="528">
        <f>D54</f>
        <v>336</v>
      </c>
      <c r="F54" s="338" t="s">
        <v>7589</v>
      </c>
    </row>
    <row r="55" spans="1:6" ht="15" customHeight="1">
      <c r="A55" s="134" t="s">
        <v>2514</v>
      </c>
      <c r="B55" s="133" t="s">
        <v>51</v>
      </c>
      <c r="C55" s="133">
        <v>12</v>
      </c>
      <c r="D55" s="100">
        <v>336</v>
      </c>
      <c r="E55" s="528">
        <v>336</v>
      </c>
      <c r="F55" s="338" t="s">
        <v>2514</v>
      </c>
    </row>
    <row r="56" spans="1:6" ht="15" customHeight="1">
      <c r="A56" s="134" t="s">
        <v>2520</v>
      </c>
      <c r="B56" s="133" t="s">
        <v>51</v>
      </c>
      <c r="C56" s="133" t="s">
        <v>7590</v>
      </c>
      <c r="D56" s="100">
        <f t="shared" ref="D56:D57" si="0">2*28</f>
        <v>56</v>
      </c>
      <c r="E56" s="528">
        <f t="shared" ref="E56:E63" si="1">D56</f>
        <v>56</v>
      </c>
      <c r="F56" s="338" t="s">
        <v>2520</v>
      </c>
    </row>
    <row r="57" spans="1:6" ht="15" customHeight="1">
      <c r="A57" s="134" t="s">
        <v>2520</v>
      </c>
      <c r="B57" s="133" t="s">
        <v>51</v>
      </c>
      <c r="C57" s="133" t="s">
        <v>7591</v>
      </c>
      <c r="D57" s="116">
        <f t="shared" si="0"/>
        <v>56</v>
      </c>
      <c r="E57" s="528">
        <f t="shared" si="1"/>
        <v>56</v>
      </c>
      <c r="F57" s="338" t="s">
        <v>2520</v>
      </c>
    </row>
    <row r="58" spans="1:6" ht="15" customHeight="1">
      <c r="A58" s="134" t="s">
        <v>2520</v>
      </c>
      <c r="B58" s="133" t="s">
        <v>51</v>
      </c>
      <c r="C58" s="133" t="s">
        <v>7592</v>
      </c>
      <c r="D58" s="100">
        <f>2.5*28</f>
        <v>70</v>
      </c>
      <c r="E58" s="528">
        <f t="shared" si="1"/>
        <v>70</v>
      </c>
      <c r="F58" s="338" t="s">
        <v>2520</v>
      </c>
    </row>
    <row r="59" spans="1:6" ht="15" customHeight="1">
      <c r="A59" s="134" t="s">
        <v>2520</v>
      </c>
      <c r="B59" s="133" t="s">
        <v>51</v>
      </c>
      <c r="C59" s="133" t="s">
        <v>7593</v>
      </c>
      <c r="D59" s="116">
        <v>0</v>
      </c>
      <c r="E59" s="528">
        <f t="shared" si="1"/>
        <v>0</v>
      </c>
      <c r="F59" s="338" t="s">
        <v>2520</v>
      </c>
    </row>
    <row r="60" spans="1:6" ht="15" customHeight="1">
      <c r="A60" s="134" t="s">
        <v>2520</v>
      </c>
      <c r="B60" s="133" t="s">
        <v>51</v>
      </c>
      <c r="C60" s="133" t="s">
        <v>7594</v>
      </c>
      <c r="D60" s="116">
        <f>1.25*28</f>
        <v>35</v>
      </c>
      <c r="E60" s="528">
        <f t="shared" si="1"/>
        <v>35</v>
      </c>
      <c r="F60" s="338" t="s">
        <v>2520</v>
      </c>
    </row>
    <row r="61" spans="1:6" ht="15" customHeight="1">
      <c r="A61" s="134" t="s">
        <v>2520</v>
      </c>
      <c r="B61" s="133" t="s">
        <v>51</v>
      </c>
      <c r="C61" s="133" t="s">
        <v>7594</v>
      </c>
      <c r="D61" s="116">
        <f>1.5*28</f>
        <v>42</v>
      </c>
      <c r="E61" s="528">
        <f t="shared" si="1"/>
        <v>42</v>
      </c>
      <c r="F61" s="338" t="s">
        <v>2520</v>
      </c>
    </row>
    <row r="62" spans="1:6" ht="15" customHeight="1">
      <c r="A62" s="134" t="s">
        <v>2520</v>
      </c>
      <c r="B62" s="133" t="s">
        <v>51</v>
      </c>
      <c r="C62" s="133" t="s">
        <v>7595</v>
      </c>
      <c r="D62" s="116">
        <f>2*28</f>
        <v>56</v>
      </c>
      <c r="E62" s="528">
        <f t="shared" si="1"/>
        <v>56</v>
      </c>
      <c r="F62" s="338" t="s">
        <v>2520</v>
      </c>
    </row>
    <row r="63" spans="1:6" ht="15" customHeight="1">
      <c r="A63" s="134" t="s">
        <v>7596</v>
      </c>
      <c r="B63" s="133" t="s">
        <v>51</v>
      </c>
      <c r="C63" s="133">
        <v>13.25</v>
      </c>
      <c r="D63" s="116">
        <f>13.25*28</f>
        <v>371</v>
      </c>
      <c r="E63" s="528">
        <f t="shared" si="1"/>
        <v>371</v>
      </c>
      <c r="F63" s="338" t="s">
        <v>545</v>
      </c>
    </row>
    <row r="64" spans="1:6" ht="15" customHeight="1">
      <c r="A64" s="134" t="s">
        <v>7597</v>
      </c>
      <c r="B64" s="133" t="s">
        <v>401</v>
      </c>
      <c r="C64" s="133" t="s">
        <v>7598</v>
      </c>
      <c r="D64" s="116" t="s">
        <v>7569</v>
      </c>
      <c r="E64" s="528">
        <v>336</v>
      </c>
      <c r="F64" s="338" t="s">
        <v>546</v>
      </c>
    </row>
    <row r="65" spans="1:26" ht="15" customHeight="1">
      <c r="A65" s="134" t="s">
        <v>7599</v>
      </c>
      <c r="B65" s="133" t="s">
        <v>51</v>
      </c>
      <c r="C65" s="133">
        <v>16</v>
      </c>
      <c r="D65" s="100">
        <f>16*28</f>
        <v>448</v>
      </c>
      <c r="E65" s="528">
        <f>D65</f>
        <v>448</v>
      </c>
      <c r="F65" s="338" t="s">
        <v>7600</v>
      </c>
    </row>
    <row r="66" spans="1:26" ht="15" customHeight="1">
      <c r="A66" s="134" t="s">
        <v>547</v>
      </c>
      <c r="B66" s="99" t="s">
        <v>51</v>
      </c>
      <c r="C66" s="133" t="s">
        <v>7575</v>
      </c>
      <c r="D66" s="100" t="s">
        <v>7601</v>
      </c>
      <c r="E66" s="528">
        <f>8*28</f>
        <v>224</v>
      </c>
      <c r="F66" s="338" t="s">
        <v>547</v>
      </c>
    </row>
    <row r="67" spans="1:26" ht="15" customHeight="1">
      <c r="A67" s="134" t="s">
        <v>563</v>
      </c>
      <c r="B67" s="99" t="s">
        <v>51</v>
      </c>
      <c r="C67" s="99">
        <v>14.25</v>
      </c>
      <c r="D67" s="116" t="s">
        <v>7602</v>
      </c>
      <c r="E67" s="528">
        <v>399</v>
      </c>
      <c r="F67" s="338" t="s">
        <v>563</v>
      </c>
    </row>
    <row r="68" spans="1:26" ht="15" customHeight="1">
      <c r="A68" s="134" t="s">
        <v>580</v>
      </c>
      <c r="B68" s="133" t="s">
        <v>51</v>
      </c>
      <c r="C68" s="133" t="s">
        <v>7603</v>
      </c>
      <c r="D68" s="100">
        <f>9*28</f>
        <v>252</v>
      </c>
      <c r="E68" s="528">
        <f t="shared" ref="E68:E69" si="2">D68</f>
        <v>252</v>
      </c>
      <c r="F68" s="338" t="s">
        <v>580</v>
      </c>
    </row>
    <row r="69" spans="1:26" ht="15" customHeight="1">
      <c r="A69" s="134" t="s">
        <v>7604</v>
      </c>
      <c r="B69" s="133" t="s">
        <v>51</v>
      </c>
      <c r="C69" s="133" t="s">
        <v>7605</v>
      </c>
      <c r="D69" s="116">
        <v>336</v>
      </c>
      <c r="E69" s="528">
        <f t="shared" si="2"/>
        <v>336</v>
      </c>
      <c r="F69" s="338" t="s">
        <v>7606</v>
      </c>
    </row>
    <row r="70" spans="1:26" ht="15" customHeight="1">
      <c r="A70" s="134" t="s">
        <v>592</v>
      </c>
      <c r="B70" s="133" t="s">
        <v>51</v>
      </c>
      <c r="C70" s="133">
        <v>12</v>
      </c>
      <c r="D70" s="100">
        <v>336</v>
      </c>
      <c r="E70" s="528">
        <v>336</v>
      </c>
      <c r="F70" s="338" t="s">
        <v>592</v>
      </c>
    </row>
    <row r="71" spans="1:26" ht="15" customHeight="1">
      <c r="A71" s="134" t="s">
        <v>7607</v>
      </c>
      <c r="B71" s="133" t="s">
        <v>51</v>
      </c>
      <c r="C71" s="133">
        <v>7</v>
      </c>
      <c r="D71" s="100">
        <v>196</v>
      </c>
      <c r="E71" s="528">
        <v>196</v>
      </c>
      <c r="F71" s="338" t="s">
        <v>608</v>
      </c>
    </row>
    <row r="72" spans="1:26" ht="15" customHeight="1">
      <c r="A72" s="134" t="s">
        <v>7148</v>
      </c>
      <c r="B72" s="133" t="s">
        <v>401</v>
      </c>
      <c r="C72" s="133" t="s">
        <v>7608</v>
      </c>
      <c r="D72" s="100" t="s">
        <v>7609</v>
      </c>
      <c r="E72" s="528">
        <f>12*28</f>
        <v>336</v>
      </c>
      <c r="F72" s="338" t="s">
        <v>2783</v>
      </c>
    </row>
    <row r="73" spans="1:26" ht="15.75" customHeight="1">
      <c r="A73" s="134" t="s">
        <v>7401</v>
      </c>
      <c r="B73" s="134" t="s">
        <v>141</v>
      </c>
      <c r="C73" s="99">
        <v>16</v>
      </c>
      <c r="D73" s="100">
        <v>448</v>
      </c>
      <c r="E73" s="528">
        <v>448</v>
      </c>
      <c r="F73" s="216" t="s">
        <v>7401</v>
      </c>
      <c r="G73" s="216"/>
      <c r="H73" s="216"/>
      <c r="I73" s="216"/>
      <c r="J73" s="216"/>
      <c r="K73" s="216"/>
      <c r="L73" s="216"/>
      <c r="M73" s="216"/>
      <c r="N73" s="216"/>
      <c r="O73" s="216"/>
      <c r="P73" s="216"/>
      <c r="Q73" s="216"/>
      <c r="R73" s="216"/>
      <c r="S73" s="216"/>
      <c r="T73" s="216"/>
      <c r="U73" s="216"/>
      <c r="V73" s="216"/>
      <c r="W73" s="216"/>
      <c r="X73" s="216"/>
      <c r="Y73" s="216"/>
      <c r="Z73" s="216"/>
    </row>
    <row r="74" spans="1:26" ht="15.75" customHeight="1">
      <c r="A74" s="107" t="s">
        <v>730</v>
      </c>
      <c r="B74" s="144" t="s">
        <v>141</v>
      </c>
      <c r="C74" s="99">
        <v>8</v>
      </c>
      <c r="D74" s="100">
        <v>224</v>
      </c>
      <c r="E74" s="528">
        <v>224</v>
      </c>
      <c r="F74" s="216" t="str">
        <f t="shared" ref="F74:F96" si="3">A74</f>
        <v>Bogdan Mihai</v>
      </c>
      <c r="G74" s="216"/>
      <c r="H74" s="216"/>
      <c r="I74" s="216"/>
      <c r="J74" s="216"/>
      <c r="K74" s="216"/>
      <c r="L74" s="216"/>
      <c r="M74" s="216"/>
      <c r="N74" s="216"/>
      <c r="O74" s="216"/>
      <c r="P74" s="216"/>
      <c r="Q74" s="216"/>
      <c r="R74" s="216"/>
      <c r="S74" s="216"/>
      <c r="T74" s="216"/>
      <c r="U74" s="216"/>
      <c r="V74" s="216"/>
      <c r="W74" s="216"/>
      <c r="X74" s="216"/>
      <c r="Y74" s="216"/>
      <c r="Z74" s="216"/>
    </row>
    <row r="75" spans="1:26" ht="15.75" customHeight="1">
      <c r="A75" s="134" t="s">
        <v>2825</v>
      </c>
      <c r="B75" s="134" t="s">
        <v>141</v>
      </c>
      <c r="C75" s="99">
        <v>14</v>
      </c>
      <c r="D75" s="100">
        <f>C75*28</f>
        <v>392</v>
      </c>
      <c r="E75" s="528">
        <f>D75</f>
        <v>392</v>
      </c>
      <c r="F75" s="216" t="str">
        <f t="shared" si="3"/>
        <v>Bouleanu Iulian</v>
      </c>
      <c r="G75" s="216"/>
      <c r="H75" s="216"/>
      <c r="I75" s="216"/>
      <c r="J75" s="216"/>
      <c r="K75" s="216"/>
      <c r="L75" s="216"/>
      <c r="M75" s="216"/>
      <c r="N75" s="216"/>
      <c r="O75" s="216"/>
      <c r="P75" s="216"/>
      <c r="Q75" s="216"/>
      <c r="R75" s="216"/>
      <c r="S75" s="216"/>
      <c r="T75" s="216"/>
      <c r="U75" s="216"/>
      <c r="V75" s="216"/>
      <c r="W75" s="216"/>
      <c r="X75" s="216"/>
      <c r="Y75" s="216"/>
      <c r="Z75" s="216"/>
    </row>
    <row r="76" spans="1:26" ht="15.75" customHeight="1">
      <c r="A76" s="134" t="s">
        <v>7610</v>
      </c>
      <c r="B76" s="134" t="s">
        <v>141</v>
      </c>
      <c r="C76" s="99">
        <v>7</v>
      </c>
      <c r="D76" s="100" t="s">
        <v>7576</v>
      </c>
      <c r="E76" s="528">
        <f>7*28</f>
        <v>196</v>
      </c>
      <c r="F76" s="216" t="str">
        <f t="shared" si="3"/>
        <v xml:space="preserve">Brad Remus </v>
      </c>
      <c r="G76" s="216"/>
      <c r="H76" s="216"/>
      <c r="I76" s="216"/>
      <c r="J76" s="216"/>
      <c r="K76" s="216"/>
      <c r="L76" s="216"/>
      <c r="M76" s="216"/>
      <c r="N76" s="216"/>
      <c r="O76" s="216"/>
      <c r="P76" s="216"/>
      <c r="Q76" s="216"/>
      <c r="R76" s="216"/>
      <c r="S76" s="216"/>
      <c r="T76" s="216"/>
      <c r="U76" s="216"/>
      <c r="V76" s="216"/>
      <c r="W76" s="216"/>
      <c r="X76" s="216"/>
      <c r="Y76" s="216"/>
      <c r="Z76" s="216"/>
    </row>
    <row r="77" spans="1:26" ht="15.75" customHeight="1">
      <c r="A77" s="134" t="s">
        <v>2962</v>
      </c>
      <c r="B77" s="134" t="s">
        <v>141</v>
      </c>
      <c r="C77" s="99">
        <v>11</v>
      </c>
      <c r="D77" s="100">
        <v>308</v>
      </c>
      <c r="E77" s="528">
        <v>308</v>
      </c>
      <c r="F77" s="216" t="str">
        <f t="shared" si="3"/>
        <v>Breazu Macarie</v>
      </c>
      <c r="G77" s="216"/>
      <c r="H77" s="216"/>
      <c r="I77" s="216"/>
      <c r="J77" s="216"/>
      <c r="K77" s="216"/>
      <c r="L77" s="216"/>
      <c r="M77" s="216"/>
      <c r="N77" s="216"/>
      <c r="O77" s="216"/>
      <c r="P77" s="216"/>
      <c r="Q77" s="216"/>
      <c r="R77" s="216"/>
      <c r="S77" s="216"/>
      <c r="T77" s="216"/>
      <c r="U77" s="216"/>
      <c r="V77" s="216"/>
      <c r="W77" s="216"/>
      <c r="X77" s="216"/>
      <c r="Y77" s="216"/>
      <c r="Z77" s="216"/>
    </row>
    <row r="78" spans="1:26" ht="15.75" customHeight="1">
      <c r="A78" s="438" t="s">
        <v>758</v>
      </c>
      <c r="B78" s="438" t="s">
        <v>141</v>
      </c>
      <c r="C78" s="228">
        <v>16</v>
      </c>
      <c r="D78" s="229">
        <v>448</v>
      </c>
      <c r="E78" s="1117">
        <v>448</v>
      </c>
      <c r="F78" s="216" t="str">
        <f t="shared" si="3"/>
        <v>Chis Radu</v>
      </c>
      <c r="G78" s="216"/>
      <c r="H78" s="216"/>
      <c r="I78" s="216"/>
      <c r="J78" s="216"/>
      <c r="K78" s="216"/>
      <c r="L78" s="216"/>
      <c r="M78" s="216"/>
      <c r="N78" s="216"/>
      <c r="O78" s="216"/>
      <c r="P78" s="216"/>
      <c r="Q78" s="216"/>
      <c r="R78" s="216"/>
      <c r="S78" s="216"/>
      <c r="T78" s="216"/>
      <c r="U78" s="216"/>
      <c r="V78" s="216"/>
      <c r="W78" s="216"/>
      <c r="X78" s="216"/>
      <c r="Y78" s="216"/>
      <c r="Z78" s="216"/>
    </row>
    <row r="79" spans="1:26" ht="15.75" customHeight="1">
      <c r="A79" s="438" t="s">
        <v>7169</v>
      </c>
      <c r="B79" s="438" t="s">
        <v>141</v>
      </c>
      <c r="C79" s="228">
        <v>12</v>
      </c>
      <c r="D79" s="229">
        <v>336</v>
      </c>
      <c r="E79" s="1117">
        <v>336</v>
      </c>
      <c r="F79" s="216" t="str">
        <f t="shared" si="3"/>
        <v>Ciurea Stelian</v>
      </c>
      <c r="G79" s="216"/>
      <c r="H79" s="216"/>
      <c r="I79" s="216"/>
      <c r="J79" s="216"/>
      <c r="K79" s="216"/>
      <c r="L79" s="216"/>
      <c r="M79" s="216"/>
      <c r="N79" s="216"/>
      <c r="O79" s="216"/>
      <c r="P79" s="216"/>
      <c r="Q79" s="216"/>
      <c r="R79" s="216"/>
      <c r="S79" s="216"/>
      <c r="T79" s="216"/>
      <c r="U79" s="216"/>
      <c r="V79" s="216"/>
      <c r="W79" s="216"/>
      <c r="X79" s="216"/>
      <c r="Y79" s="216"/>
      <c r="Z79" s="216"/>
    </row>
    <row r="80" spans="1:26" ht="15.75" customHeight="1">
      <c r="A80" s="134" t="s">
        <v>759</v>
      </c>
      <c r="B80" s="133" t="s">
        <v>141</v>
      </c>
      <c r="C80" s="133">
        <v>10</v>
      </c>
      <c r="D80" s="100">
        <v>280</v>
      </c>
      <c r="E80" s="528">
        <v>280</v>
      </c>
      <c r="F80" s="216" t="str">
        <f t="shared" si="3"/>
        <v>Cofaru Ileana Ioana</v>
      </c>
      <c r="G80" s="216"/>
      <c r="H80" s="216"/>
      <c r="I80" s="216"/>
      <c r="J80" s="216"/>
      <c r="K80" s="216"/>
      <c r="L80" s="216"/>
      <c r="M80" s="216"/>
      <c r="N80" s="216"/>
      <c r="O80" s="216"/>
      <c r="P80" s="216"/>
      <c r="Q80" s="216"/>
      <c r="R80" s="216"/>
      <c r="S80" s="216"/>
      <c r="T80" s="216"/>
      <c r="U80" s="216"/>
      <c r="V80" s="216"/>
      <c r="W80" s="216"/>
      <c r="X80" s="216"/>
      <c r="Y80" s="216"/>
      <c r="Z80" s="216"/>
    </row>
    <row r="81" spans="1:26" ht="15.75" customHeight="1">
      <c r="A81" s="134" t="s">
        <v>761</v>
      </c>
      <c r="B81" s="133" t="s">
        <v>141</v>
      </c>
      <c r="C81" s="133">
        <v>16</v>
      </c>
      <c r="D81" s="100" t="s">
        <v>7611</v>
      </c>
      <c r="E81" s="528">
        <v>448</v>
      </c>
      <c r="F81" s="216" t="str">
        <f t="shared" si="3"/>
        <v>Craciunas Gabriela</v>
      </c>
      <c r="G81" s="1"/>
      <c r="H81" s="1"/>
      <c r="I81" s="216"/>
      <c r="J81" s="216"/>
      <c r="K81" s="216"/>
      <c r="L81" s="216"/>
      <c r="M81" s="216"/>
      <c r="N81" s="216"/>
      <c r="O81" s="216"/>
      <c r="P81" s="216"/>
      <c r="Q81" s="216"/>
      <c r="R81" s="216"/>
      <c r="S81" s="216"/>
      <c r="T81" s="216"/>
      <c r="U81" s="216"/>
      <c r="V81" s="216"/>
      <c r="W81" s="216"/>
      <c r="X81" s="216"/>
      <c r="Y81" s="216"/>
      <c r="Z81" s="216"/>
    </row>
    <row r="82" spans="1:26" ht="14.25" customHeight="1">
      <c r="A82" s="134" t="s">
        <v>7612</v>
      </c>
      <c r="B82" s="133" t="s">
        <v>141</v>
      </c>
      <c r="C82" s="133">
        <v>13</v>
      </c>
      <c r="D82" s="100">
        <v>364</v>
      </c>
      <c r="E82" s="528">
        <v>364</v>
      </c>
      <c r="F82" s="216" t="str">
        <f t="shared" si="3"/>
        <v>Craciunean Daniel-Cristian</v>
      </c>
      <c r="G82" s="216"/>
      <c r="H82" s="216"/>
      <c r="I82" s="64"/>
      <c r="J82" s="64"/>
      <c r="K82" s="64"/>
      <c r="L82" s="64"/>
      <c r="M82" s="64"/>
      <c r="N82" s="64"/>
      <c r="O82" s="64"/>
      <c r="P82" s="64"/>
      <c r="Q82" s="64"/>
      <c r="R82" s="64"/>
      <c r="S82" s="64"/>
      <c r="T82" s="64"/>
      <c r="U82" s="64"/>
      <c r="V82" s="64"/>
      <c r="W82" s="64"/>
      <c r="X82" s="64"/>
      <c r="Y82" s="64"/>
      <c r="Z82" s="216"/>
    </row>
    <row r="83" spans="1:26" ht="14.25" customHeight="1">
      <c r="A83" s="134" t="s">
        <v>7404</v>
      </c>
      <c r="B83" s="133" t="s">
        <v>141</v>
      </c>
      <c r="C83" s="133">
        <v>10</v>
      </c>
      <c r="D83" s="100">
        <v>280</v>
      </c>
      <c r="E83" s="528">
        <v>280</v>
      </c>
      <c r="F83" s="216" t="str">
        <f t="shared" si="3"/>
        <v>Crețulescu Radu</v>
      </c>
      <c r="G83" s="216"/>
      <c r="H83" s="216"/>
      <c r="I83" s="64"/>
      <c r="J83" s="64"/>
      <c r="K83" s="64"/>
      <c r="L83" s="64"/>
      <c r="M83" s="64"/>
      <c r="N83" s="64"/>
      <c r="O83" s="64"/>
      <c r="P83" s="64"/>
      <c r="Q83" s="64"/>
      <c r="R83" s="64"/>
      <c r="S83" s="64"/>
      <c r="T83" s="64"/>
      <c r="U83" s="64"/>
      <c r="V83" s="64"/>
      <c r="W83" s="64"/>
      <c r="X83" s="64"/>
      <c r="Y83" s="64"/>
      <c r="Z83" s="216"/>
    </row>
    <row r="84" spans="1:26" ht="15.75" customHeight="1">
      <c r="A84" s="134" t="s">
        <v>7613</v>
      </c>
      <c r="B84" s="133" t="s">
        <v>141</v>
      </c>
      <c r="C84" s="133">
        <v>13</v>
      </c>
      <c r="D84" s="100">
        <v>364</v>
      </c>
      <c r="E84" s="528">
        <v>364</v>
      </c>
      <c r="F84" s="216" t="str">
        <f t="shared" si="3"/>
        <v>DOROBANȚIU Alexandru</v>
      </c>
      <c r="G84" s="1"/>
      <c r="H84" s="1"/>
      <c r="I84" s="216"/>
      <c r="J84" s="216"/>
      <c r="K84" s="216"/>
      <c r="L84" s="216"/>
      <c r="M84" s="216"/>
      <c r="N84" s="216"/>
      <c r="O84" s="216"/>
      <c r="P84" s="216"/>
      <c r="Q84" s="216"/>
      <c r="R84" s="216"/>
      <c r="S84" s="216"/>
      <c r="T84" s="216"/>
      <c r="U84" s="216"/>
      <c r="V84" s="216"/>
      <c r="W84" s="216"/>
      <c r="X84" s="216"/>
      <c r="Y84" s="216"/>
      <c r="Z84" s="216"/>
    </row>
    <row r="85" spans="1:26" ht="15.75" customHeight="1">
      <c r="A85" s="134" t="s">
        <v>7351</v>
      </c>
      <c r="B85" s="133" t="s">
        <v>141</v>
      </c>
      <c r="C85" s="162">
        <v>7</v>
      </c>
      <c r="D85" s="100">
        <f>C85*28</f>
        <v>196</v>
      </c>
      <c r="E85" s="528">
        <f>D85</f>
        <v>196</v>
      </c>
      <c r="F85" s="216" t="str">
        <f t="shared" si="3"/>
        <v>Prof.dr.ing. Florea Adrian</v>
      </c>
      <c r="G85" s="1"/>
      <c r="H85" s="1"/>
      <c r="I85" s="216"/>
      <c r="J85" s="216"/>
      <c r="K85" s="216"/>
      <c r="L85" s="216"/>
      <c r="M85" s="216"/>
      <c r="N85" s="216"/>
      <c r="O85" s="216"/>
      <c r="P85" s="216"/>
      <c r="Q85" s="216"/>
      <c r="R85" s="216"/>
      <c r="S85" s="216"/>
      <c r="T85" s="216"/>
      <c r="U85" s="216"/>
      <c r="V85" s="216"/>
      <c r="W85" s="216"/>
      <c r="X85" s="216"/>
      <c r="Y85" s="216"/>
      <c r="Z85" s="216"/>
    </row>
    <row r="86" spans="1:26" ht="15.75" customHeight="1">
      <c r="A86" s="134" t="s">
        <v>829</v>
      </c>
      <c r="B86" s="133" t="s">
        <v>141</v>
      </c>
      <c r="C86" s="133" t="s">
        <v>7614</v>
      </c>
      <c r="D86" s="116">
        <v>224</v>
      </c>
      <c r="E86" s="528">
        <v>224</v>
      </c>
      <c r="F86" s="216" t="str">
        <f t="shared" si="3"/>
        <v>Gellert Arpad</v>
      </c>
      <c r="G86" s="1"/>
      <c r="H86" s="1"/>
      <c r="I86" s="216"/>
      <c r="J86" s="216"/>
      <c r="K86" s="216"/>
      <c r="L86" s="216"/>
      <c r="M86" s="216"/>
      <c r="N86" s="216"/>
      <c r="O86" s="216"/>
      <c r="P86" s="216"/>
      <c r="Q86" s="216"/>
      <c r="R86" s="216"/>
      <c r="S86" s="216"/>
      <c r="T86" s="216"/>
      <c r="U86" s="216"/>
      <c r="V86" s="216"/>
      <c r="W86" s="216"/>
      <c r="X86" s="216"/>
      <c r="Y86" s="216"/>
      <c r="Z86" s="216"/>
    </row>
    <row r="87" spans="1:26" ht="15.75" customHeight="1">
      <c r="A87" s="134" t="s">
        <v>7615</v>
      </c>
      <c r="B87" s="133" t="s">
        <v>141</v>
      </c>
      <c r="C87" s="133">
        <v>16</v>
      </c>
      <c r="D87" s="100">
        <f t="shared" ref="D87:D88" si="4">C87*28</f>
        <v>448</v>
      </c>
      <c r="E87" s="528">
        <f>D87</f>
        <v>448</v>
      </c>
      <c r="F87" s="216" t="str">
        <f t="shared" si="3"/>
        <v>ILIE Constantin Beriliu</v>
      </c>
      <c r="G87" s="1"/>
      <c r="H87" s="1"/>
      <c r="I87" s="216"/>
      <c r="J87" s="216"/>
      <c r="K87" s="216"/>
      <c r="L87" s="216"/>
      <c r="M87" s="216"/>
      <c r="N87" s="216"/>
      <c r="O87" s="216"/>
      <c r="P87" s="216"/>
      <c r="Q87" s="216"/>
      <c r="R87" s="216"/>
      <c r="S87" s="216"/>
      <c r="T87" s="216"/>
      <c r="U87" s="216"/>
      <c r="V87" s="216"/>
      <c r="W87" s="216"/>
      <c r="X87" s="216"/>
      <c r="Y87" s="216"/>
      <c r="Z87" s="216"/>
    </row>
    <row r="88" spans="1:26" ht="15.75" customHeight="1">
      <c r="A88" s="134" t="s">
        <v>3249</v>
      </c>
      <c r="B88" s="133" t="s">
        <v>141</v>
      </c>
      <c r="C88" s="133">
        <v>10</v>
      </c>
      <c r="D88" s="100">
        <f t="shared" si="4"/>
        <v>280</v>
      </c>
      <c r="E88" s="528">
        <v>280</v>
      </c>
      <c r="F88" s="216" t="str">
        <f t="shared" si="3"/>
        <v>Morariu Daniel</v>
      </c>
      <c r="G88" s="1"/>
      <c r="H88" s="1"/>
      <c r="I88" s="216"/>
      <c r="J88" s="216"/>
      <c r="K88" s="216"/>
      <c r="L88" s="216"/>
      <c r="M88" s="216"/>
      <c r="N88" s="216"/>
      <c r="O88" s="216"/>
      <c r="P88" s="216"/>
      <c r="Q88" s="216"/>
      <c r="R88" s="216"/>
      <c r="S88" s="216"/>
      <c r="T88" s="216"/>
      <c r="U88" s="216"/>
      <c r="V88" s="216"/>
      <c r="W88" s="216"/>
      <c r="X88" s="216"/>
      <c r="Y88" s="216"/>
      <c r="Z88" s="216"/>
    </row>
    <row r="89" spans="1:26" ht="15.75" customHeight="1">
      <c r="A89" s="134" t="s">
        <v>1261</v>
      </c>
      <c r="B89" s="133" t="s">
        <v>141</v>
      </c>
      <c r="C89" s="133">
        <v>12</v>
      </c>
      <c r="D89" s="100">
        <f>12*28</f>
        <v>336</v>
      </c>
      <c r="E89" s="528">
        <v>336</v>
      </c>
      <c r="F89" s="216" t="str">
        <f t="shared" si="3"/>
        <v>Neghină Cătălina</v>
      </c>
      <c r="G89" s="1"/>
      <c r="H89" s="1"/>
      <c r="I89" s="216"/>
      <c r="J89" s="216"/>
      <c r="K89" s="216"/>
      <c r="L89" s="216"/>
      <c r="M89" s="216"/>
      <c r="N89" s="216"/>
      <c r="O89" s="216"/>
      <c r="P89" s="216"/>
      <c r="Q89" s="216"/>
      <c r="R89" s="216"/>
      <c r="S89" s="216"/>
      <c r="T89" s="216"/>
      <c r="U89" s="216"/>
      <c r="V89" s="216"/>
      <c r="W89" s="216"/>
      <c r="X89" s="216"/>
      <c r="Y89" s="216"/>
      <c r="Z89" s="216"/>
    </row>
    <row r="90" spans="1:26" ht="15.75" customHeight="1">
      <c r="A90" s="134" t="s">
        <v>1272</v>
      </c>
      <c r="B90" s="133" t="s">
        <v>141</v>
      </c>
      <c r="C90" s="133">
        <v>7</v>
      </c>
      <c r="D90" s="116">
        <v>196</v>
      </c>
      <c r="E90" s="528">
        <v>196</v>
      </c>
      <c r="F90" s="216" t="str">
        <f t="shared" si="3"/>
        <v>Zamfirescu Bălă-Constantin</v>
      </c>
      <c r="G90" s="1"/>
      <c r="H90" s="1"/>
      <c r="I90" s="216"/>
      <c r="J90" s="216"/>
      <c r="K90" s="216"/>
      <c r="L90" s="216"/>
      <c r="M90" s="216"/>
      <c r="N90" s="216"/>
      <c r="O90" s="216"/>
      <c r="P90" s="216"/>
      <c r="Q90" s="216"/>
      <c r="R90" s="216"/>
      <c r="S90" s="216"/>
      <c r="T90" s="216"/>
      <c r="U90" s="216"/>
      <c r="V90" s="216"/>
      <c r="W90" s="216"/>
      <c r="X90" s="216"/>
      <c r="Y90" s="216"/>
      <c r="Z90" s="216"/>
    </row>
    <row r="91" spans="1:26" ht="15.75" customHeight="1">
      <c r="A91" s="134" t="s">
        <v>1273</v>
      </c>
      <c r="B91" s="133" t="s">
        <v>141</v>
      </c>
      <c r="C91" s="133">
        <v>10</v>
      </c>
      <c r="D91" s="100">
        <v>280</v>
      </c>
      <c r="E91" s="528">
        <v>280</v>
      </c>
      <c r="F91" s="216" t="str">
        <f t="shared" si="3"/>
        <v>Mihai Neghina</v>
      </c>
      <c r="G91" s="1"/>
      <c r="H91" s="1"/>
      <c r="I91" s="216"/>
      <c r="J91" s="216"/>
      <c r="K91" s="216"/>
      <c r="L91" s="216"/>
      <c r="M91" s="216"/>
      <c r="N91" s="216"/>
      <c r="O91" s="216"/>
      <c r="P91" s="216"/>
      <c r="Q91" s="216"/>
      <c r="R91" s="216"/>
      <c r="S91" s="216"/>
      <c r="T91" s="216"/>
      <c r="U91" s="216"/>
      <c r="V91" s="216"/>
      <c r="W91" s="216"/>
      <c r="X91" s="216"/>
      <c r="Y91" s="216"/>
      <c r="Z91" s="216"/>
    </row>
    <row r="92" spans="1:26" ht="15.75" customHeight="1">
      <c r="A92" s="107" t="s">
        <v>3415</v>
      </c>
      <c r="B92" s="108" t="s">
        <v>141</v>
      </c>
      <c r="C92" s="133">
        <v>15</v>
      </c>
      <c r="D92" s="100">
        <v>420</v>
      </c>
      <c r="E92" s="528">
        <v>420</v>
      </c>
      <c r="F92" s="216" t="str">
        <f t="shared" si="3"/>
        <v>Panu Mihai</v>
      </c>
      <c r="G92" s="133"/>
      <c r="H92" s="133"/>
      <c r="I92" s="100"/>
      <c r="J92" s="528"/>
      <c r="K92" s="1"/>
      <c r="L92" s="1"/>
      <c r="M92" s="1"/>
      <c r="N92" s="216"/>
      <c r="O92" s="216"/>
      <c r="P92" s="216"/>
      <c r="Q92" s="216"/>
      <c r="R92" s="216"/>
      <c r="S92" s="216"/>
      <c r="T92" s="216"/>
      <c r="U92" s="216"/>
      <c r="V92" s="216"/>
      <c r="W92" s="216"/>
      <c r="X92" s="216"/>
      <c r="Y92" s="216"/>
      <c r="Z92" s="216"/>
    </row>
    <row r="93" spans="1:26" ht="15.75" customHeight="1">
      <c r="A93" s="134" t="s">
        <v>3417</v>
      </c>
      <c r="B93" s="133" t="s">
        <v>141</v>
      </c>
      <c r="C93" s="133">
        <v>12</v>
      </c>
      <c r="D93" s="100">
        <f>C93*28</f>
        <v>336</v>
      </c>
      <c r="E93" s="528">
        <f>D93</f>
        <v>336</v>
      </c>
      <c r="F93" s="216" t="str">
        <f t="shared" si="3"/>
        <v>Pitic Antoniu</v>
      </c>
      <c r="G93" s="1"/>
      <c r="H93" s="1"/>
      <c r="I93" s="216"/>
      <c r="J93" s="216"/>
      <c r="K93" s="216"/>
      <c r="L93" s="216"/>
      <c r="M93" s="216"/>
      <c r="N93" s="216"/>
      <c r="O93" s="216"/>
      <c r="P93" s="216"/>
      <c r="Q93" s="216"/>
      <c r="R93" s="216"/>
      <c r="S93" s="216"/>
      <c r="T93" s="216"/>
      <c r="U93" s="216"/>
      <c r="V93" s="216"/>
      <c r="W93" s="216"/>
      <c r="X93" s="216"/>
      <c r="Y93" s="216"/>
      <c r="Z93" s="216"/>
    </row>
    <row r="94" spans="1:26" ht="15.75" customHeight="1">
      <c r="A94" s="134" t="s">
        <v>906</v>
      </c>
      <c r="B94" s="133" t="s">
        <v>141</v>
      </c>
      <c r="C94" s="162">
        <v>11</v>
      </c>
      <c r="D94" s="100" t="s">
        <v>7616</v>
      </c>
      <c r="E94" s="528">
        <f>C94*28</f>
        <v>308</v>
      </c>
      <c r="F94" s="216" t="str">
        <f t="shared" si="3"/>
        <v>Vintan Maria</v>
      </c>
      <c r="G94" s="1"/>
      <c r="H94" s="1"/>
      <c r="I94" s="216"/>
      <c r="J94" s="216"/>
      <c r="K94" s="216"/>
      <c r="L94" s="216"/>
      <c r="M94" s="216"/>
      <c r="N94" s="216"/>
      <c r="O94" s="216"/>
      <c r="P94" s="216"/>
      <c r="Q94" s="216"/>
      <c r="R94" s="216"/>
      <c r="S94" s="216"/>
      <c r="T94" s="216"/>
      <c r="U94" s="216"/>
      <c r="V94" s="216"/>
      <c r="W94" s="216"/>
      <c r="X94" s="216"/>
      <c r="Y94" s="216"/>
      <c r="Z94" s="216"/>
    </row>
    <row r="95" spans="1:26" ht="15.75" customHeight="1">
      <c r="A95" s="134" t="s">
        <v>3450</v>
      </c>
      <c r="B95" s="133" t="s">
        <v>141</v>
      </c>
      <c r="C95" s="133">
        <v>15.5</v>
      </c>
      <c r="D95" s="100">
        <v>434</v>
      </c>
      <c r="E95" s="528">
        <v>434</v>
      </c>
      <c r="F95" s="216" t="str">
        <f t="shared" si="3"/>
        <v>Viorel Alina</v>
      </c>
      <c r="G95" s="1"/>
      <c r="H95" s="1"/>
      <c r="I95" s="216"/>
      <c r="J95" s="216"/>
      <c r="K95" s="216"/>
      <c r="L95" s="216"/>
      <c r="M95" s="216"/>
      <c r="N95" s="216"/>
      <c r="O95" s="216"/>
      <c r="P95" s="216"/>
      <c r="Q95" s="216"/>
      <c r="R95" s="216"/>
      <c r="S95" s="216"/>
      <c r="T95" s="216"/>
      <c r="U95" s="216"/>
      <c r="V95" s="216"/>
      <c r="W95" s="216"/>
      <c r="X95" s="216"/>
      <c r="Y95" s="216"/>
      <c r="Z95" s="216"/>
    </row>
    <row r="96" spans="1:26" ht="15.75" customHeight="1">
      <c r="A96" s="134" t="s">
        <v>1204</v>
      </c>
      <c r="B96" s="133" t="s">
        <v>141</v>
      </c>
      <c r="C96" s="133">
        <v>9</v>
      </c>
      <c r="D96" s="100">
        <v>252</v>
      </c>
      <c r="E96" s="528">
        <v>252</v>
      </c>
      <c r="F96" s="216" t="str">
        <f t="shared" si="3"/>
        <v>Volovici Daniel</v>
      </c>
      <c r="G96" s="1"/>
      <c r="H96" s="1"/>
      <c r="I96" s="216"/>
      <c r="J96" s="216"/>
      <c r="K96" s="216"/>
      <c r="L96" s="216"/>
      <c r="M96" s="216"/>
      <c r="N96" s="216"/>
      <c r="O96" s="216"/>
      <c r="P96" s="216"/>
      <c r="Q96" s="216"/>
      <c r="R96" s="216"/>
      <c r="S96" s="216"/>
      <c r="T96" s="216"/>
      <c r="U96" s="216"/>
      <c r="V96" s="216"/>
      <c r="W96" s="216"/>
      <c r="X96" s="216"/>
      <c r="Y96" s="216"/>
      <c r="Z96" s="216"/>
    </row>
    <row r="97" spans="1:26" ht="15.75" customHeight="1">
      <c r="A97" s="134" t="s">
        <v>6654</v>
      </c>
      <c r="B97" s="133" t="s">
        <v>141</v>
      </c>
      <c r="C97" s="133" t="s">
        <v>7617</v>
      </c>
      <c r="D97" s="100" t="s">
        <v>7618</v>
      </c>
      <c r="E97" s="528">
        <v>280</v>
      </c>
      <c r="F97" s="216" t="s">
        <v>6654</v>
      </c>
      <c r="G97" s="1"/>
      <c r="H97" s="1"/>
      <c r="I97" s="216"/>
      <c r="J97" s="216"/>
      <c r="K97" s="216"/>
      <c r="L97" s="216"/>
      <c r="M97" s="216"/>
      <c r="N97" s="216"/>
      <c r="O97" s="216"/>
      <c r="P97" s="216"/>
      <c r="Q97" s="216"/>
      <c r="R97" s="216"/>
      <c r="S97" s="216"/>
      <c r="T97" s="216"/>
      <c r="U97" s="216"/>
      <c r="V97" s="216"/>
      <c r="W97" s="216"/>
      <c r="X97" s="216"/>
      <c r="Y97" s="216"/>
      <c r="Z97" s="216"/>
    </row>
    <row r="98" spans="1:26" ht="15.75" customHeight="1">
      <c r="A98" s="107" t="s">
        <v>7619</v>
      </c>
      <c r="B98" s="108" t="s">
        <v>141</v>
      </c>
      <c r="C98" s="133">
        <v>16</v>
      </c>
      <c r="D98" s="100">
        <v>224</v>
      </c>
      <c r="E98" s="528">
        <v>448</v>
      </c>
      <c r="F98" s="216" t="s">
        <v>7620</v>
      </c>
      <c r="G98" s="1"/>
      <c r="H98" s="1"/>
      <c r="I98" s="216"/>
      <c r="J98" s="216"/>
      <c r="K98" s="216"/>
      <c r="L98" s="216"/>
      <c r="M98" s="216"/>
      <c r="N98" s="216"/>
      <c r="O98" s="216"/>
      <c r="P98" s="216"/>
      <c r="Q98" s="216"/>
      <c r="R98" s="216"/>
      <c r="S98" s="216"/>
      <c r="T98" s="216"/>
      <c r="U98" s="216"/>
      <c r="V98" s="216"/>
      <c r="W98" s="216"/>
      <c r="X98" s="216"/>
      <c r="Y98" s="216"/>
      <c r="Z98" s="216"/>
    </row>
    <row r="99" spans="1:26" ht="15" customHeight="1">
      <c r="A99" s="134" t="s">
        <v>114</v>
      </c>
      <c r="B99" s="133" t="s">
        <v>105</v>
      </c>
      <c r="C99" s="133">
        <v>10</v>
      </c>
      <c r="D99" s="100" t="s">
        <v>7621</v>
      </c>
      <c r="E99" s="528">
        <f>10*28</f>
        <v>280</v>
      </c>
      <c r="F99" s="338" t="s">
        <v>114</v>
      </c>
      <c r="G99" s="216"/>
      <c r="H99" s="216"/>
      <c r="I99" s="216"/>
      <c r="J99" s="216"/>
      <c r="K99" s="216"/>
      <c r="L99" s="216"/>
      <c r="M99" s="216"/>
      <c r="N99" s="216"/>
      <c r="O99" s="216"/>
      <c r="P99" s="216"/>
      <c r="Q99" s="216"/>
      <c r="R99" s="216"/>
      <c r="S99" s="216"/>
      <c r="T99" s="216"/>
      <c r="U99" s="216"/>
      <c r="V99" s="216"/>
      <c r="W99" s="216"/>
      <c r="X99" s="216"/>
      <c r="Y99" s="216"/>
      <c r="Z99" s="216"/>
    </row>
    <row r="100" spans="1:26" ht="15" customHeight="1">
      <c r="A100" s="133" t="s">
        <v>139</v>
      </c>
      <c r="B100" s="133" t="s">
        <v>105</v>
      </c>
      <c r="C100" s="133">
        <v>13</v>
      </c>
      <c r="D100" s="141" t="s">
        <v>7622</v>
      </c>
      <c r="E100" s="1026">
        <f t="shared" ref="E100:E101" si="5">13*28</f>
        <v>364</v>
      </c>
      <c r="F100" s="338" t="s">
        <v>916</v>
      </c>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5" customHeight="1">
      <c r="A101" s="134" t="s">
        <v>6669</v>
      </c>
      <c r="B101" s="133" t="s">
        <v>105</v>
      </c>
      <c r="C101" s="99">
        <v>13</v>
      </c>
      <c r="D101" s="100" t="s">
        <v>7622</v>
      </c>
      <c r="E101" s="528">
        <f t="shared" si="5"/>
        <v>364</v>
      </c>
      <c r="F101" s="338" t="s">
        <v>931</v>
      </c>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5" customHeight="1">
      <c r="A102" s="134" t="s">
        <v>7245</v>
      </c>
      <c r="B102" s="133" t="s">
        <v>105</v>
      </c>
      <c r="C102" s="162">
        <v>10.5</v>
      </c>
      <c r="D102" s="100" t="s">
        <v>7623</v>
      </c>
      <c r="E102" s="528">
        <v>294</v>
      </c>
      <c r="F102" s="338" t="s">
        <v>952</v>
      </c>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5" customHeight="1">
      <c r="A103" s="134" t="s">
        <v>123</v>
      </c>
      <c r="B103" s="133" t="s">
        <v>105</v>
      </c>
      <c r="C103" s="99">
        <v>14</v>
      </c>
      <c r="D103" s="100" t="s">
        <v>7624</v>
      </c>
      <c r="E103" s="528">
        <f>14*28</f>
        <v>392</v>
      </c>
      <c r="F103" s="338" t="s">
        <v>123</v>
      </c>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5" customHeight="1">
      <c r="A104" s="134" t="s">
        <v>6722</v>
      </c>
      <c r="B104" s="99" t="s">
        <v>105</v>
      </c>
      <c r="C104" s="99">
        <v>7</v>
      </c>
      <c r="D104" s="100">
        <v>196</v>
      </c>
      <c r="E104" s="528">
        <f>7*28</f>
        <v>196</v>
      </c>
      <c r="F104" s="338" t="s">
        <v>104</v>
      </c>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5" customHeight="1">
      <c r="A105" s="134" t="s">
        <v>132</v>
      </c>
      <c r="B105" s="133" t="s">
        <v>105</v>
      </c>
      <c r="C105" s="99">
        <v>12</v>
      </c>
      <c r="D105" s="100" t="s">
        <v>7625</v>
      </c>
      <c r="E105" s="528">
        <f>12*28</f>
        <v>336</v>
      </c>
      <c r="F105" s="338" t="s">
        <v>132</v>
      </c>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15" customHeight="1">
      <c r="A106" s="134" t="s">
        <v>7262</v>
      </c>
      <c r="B106" s="133" t="s">
        <v>105</v>
      </c>
      <c r="C106" s="133" t="s">
        <v>7626</v>
      </c>
      <c r="D106" s="100" t="s">
        <v>7627</v>
      </c>
      <c r="E106" s="528">
        <v>224</v>
      </c>
      <c r="F106" s="338" t="s">
        <v>971</v>
      </c>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5" customHeight="1">
      <c r="A107" s="134" t="s">
        <v>7628</v>
      </c>
      <c r="B107" s="133" t="s">
        <v>105</v>
      </c>
      <c r="C107" s="133">
        <v>16</v>
      </c>
      <c r="D107" s="100" t="s">
        <v>7629</v>
      </c>
      <c r="E107" s="528">
        <f>16*28</f>
        <v>448</v>
      </c>
      <c r="F107" s="338" t="s">
        <v>124</v>
      </c>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5" customHeight="1">
      <c r="A108" s="134" t="s">
        <v>7263</v>
      </c>
      <c r="B108" s="133" t="s">
        <v>105</v>
      </c>
      <c r="C108" s="133">
        <v>15</v>
      </c>
      <c r="D108" s="100" t="s">
        <v>7630</v>
      </c>
      <c r="E108" s="528">
        <v>420</v>
      </c>
      <c r="F108" s="338" t="s">
        <v>125</v>
      </c>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5" customHeight="1">
      <c r="A109" s="134" t="s">
        <v>7266</v>
      </c>
      <c r="B109" s="99" t="s">
        <v>105</v>
      </c>
      <c r="C109" s="99">
        <v>10</v>
      </c>
      <c r="D109" s="100" t="s">
        <v>7631</v>
      </c>
      <c r="E109" s="528">
        <v>280</v>
      </c>
      <c r="F109" s="338" t="s">
        <v>118</v>
      </c>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5" customHeight="1">
      <c r="A110" s="134" t="s">
        <v>7632</v>
      </c>
      <c r="B110" s="133" t="s">
        <v>105</v>
      </c>
      <c r="C110" s="133" t="s">
        <v>7633</v>
      </c>
      <c r="D110" s="100" t="s">
        <v>7621</v>
      </c>
      <c r="E110" s="528">
        <v>280</v>
      </c>
      <c r="F110" s="338" t="s">
        <v>126</v>
      </c>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5" customHeight="1">
      <c r="A111" s="134" t="s">
        <v>127</v>
      </c>
      <c r="B111" s="133" t="s">
        <v>3753</v>
      </c>
      <c r="C111" s="133">
        <v>12</v>
      </c>
      <c r="D111" s="100" t="s">
        <v>7634</v>
      </c>
      <c r="E111" s="528">
        <v>336</v>
      </c>
      <c r="F111" s="338" t="s">
        <v>127</v>
      </c>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5" customHeight="1">
      <c r="A112" s="134" t="s">
        <v>107</v>
      </c>
      <c r="B112" s="133" t="s">
        <v>105</v>
      </c>
      <c r="C112" s="133">
        <v>16</v>
      </c>
      <c r="D112" s="100" t="s">
        <v>7629</v>
      </c>
      <c r="E112" s="528">
        <f>16*28</f>
        <v>448</v>
      </c>
      <c r="F112" s="338" t="s">
        <v>107</v>
      </c>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5" customHeight="1">
      <c r="A113" s="134" t="s">
        <v>7635</v>
      </c>
      <c r="B113" s="99" t="s">
        <v>105</v>
      </c>
      <c r="C113" s="99">
        <v>16</v>
      </c>
      <c r="D113" s="100" t="s">
        <v>7636</v>
      </c>
      <c r="E113" s="528">
        <v>448</v>
      </c>
      <c r="F113" s="338" t="s">
        <v>128</v>
      </c>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5" customHeight="1">
      <c r="A114" s="134" t="s">
        <v>109</v>
      </c>
      <c r="B114" s="133" t="s">
        <v>105</v>
      </c>
      <c r="C114" s="133">
        <v>16</v>
      </c>
      <c r="D114" s="100" t="s">
        <v>7629</v>
      </c>
      <c r="E114" s="528">
        <v>448</v>
      </c>
      <c r="F114" s="338" t="s">
        <v>109</v>
      </c>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5" customHeight="1">
      <c r="A115" s="134" t="s">
        <v>6823</v>
      </c>
      <c r="B115" s="133" t="s">
        <v>105</v>
      </c>
      <c r="C115" s="133">
        <v>8</v>
      </c>
      <c r="D115" s="100" t="s">
        <v>7601</v>
      </c>
      <c r="E115" s="528">
        <f>8*28</f>
        <v>224</v>
      </c>
      <c r="F115" s="338" t="s">
        <v>119</v>
      </c>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5" customHeight="1">
      <c r="A116" s="134" t="s">
        <v>7637</v>
      </c>
      <c r="B116" s="133" t="s">
        <v>105</v>
      </c>
      <c r="C116" s="133">
        <v>16</v>
      </c>
      <c r="D116" s="100" t="s">
        <v>7638</v>
      </c>
      <c r="E116" s="528">
        <v>448</v>
      </c>
      <c r="F116" s="338" t="s">
        <v>129</v>
      </c>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5" customHeight="1">
      <c r="A117" s="134" t="s">
        <v>110</v>
      </c>
      <c r="B117" s="99" t="s">
        <v>105</v>
      </c>
      <c r="C117" s="133">
        <v>10</v>
      </c>
      <c r="D117" s="100">
        <f>C117*28</f>
        <v>280</v>
      </c>
      <c r="E117" s="528">
        <f>D117</f>
        <v>280</v>
      </c>
      <c r="F117" s="338" t="s">
        <v>110</v>
      </c>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5" customHeight="1">
      <c r="A118" s="134" t="s">
        <v>7639</v>
      </c>
      <c r="B118" s="133" t="s">
        <v>105</v>
      </c>
      <c r="C118" s="99">
        <v>13</v>
      </c>
      <c r="D118" s="100" t="s">
        <v>7622</v>
      </c>
      <c r="E118" s="528">
        <f>13*28</f>
        <v>364</v>
      </c>
      <c r="F118" s="338" t="s">
        <v>1005</v>
      </c>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5" customHeight="1">
      <c r="A119" s="134" t="s">
        <v>130</v>
      </c>
      <c r="B119" s="133" t="s">
        <v>105</v>
      </c>
      <c r="C119" s="99">
        <v>13</v>
      </c>
      <c r="D119" s="100" t="s">
        <v>7622</v>
      </c>
      <c r="E119" s="528">
        <v>364</v>
      </c>
      <c r="F119" s="338" t="s">
        <v>130</v>
      </c>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15" customHeight="1">
      <c r="A120" s="134" t="s">
        <v>138</v>
      </c>
      <c r="B120" s="133" t="s">
        <v>105</v>
      </c>
      <c r="C120" s="99">
        <v>13</v>
      </c>
      <c r="D120" s="100" t="s">
        <v>7622</v>
      </c>
      <c r="E120" s="528">
        <f>13*28</f>
        <v>364</v>
      </c>
      <c r="F120" s="338" t="s">
        <v>138</v>
      </c>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5" customHeight="1">
      <c r="A121" s="134" t="s">
        <v>111</v>
      </c>
      <c r="B121" s="133" t="s">
        <v>105</v>
      </c>
      <c r="C121" s="99">
        <v>7</v>
      </c>
      <c r="D121" s="100">
        <v>196</v>
      </c>
      <c r="E121" s="528">
        <v>196</v>
      </c>
      <c r="F121" s="338" t="s">
        <v>111</v>
      </c>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5" customHeight="1">
      <c r="A122" s="447" t="s">
        <v>7640</v>
      </c>
      <c r="B122" s="162" t="s">
        <v>105</v>
      </c>
      <c r="C122" s="162">
        <v>7.25</v>
      </c>
      <c r="D122" s="737">
        <f>C122*28</f>
        <v>203</v>
      </c>
      <c r="E122" s="1005">
        <f>D122</f>
        <v>203</v>
      </c>
      <c r="F122" s="338" t="s">
        <v>112</v>
      </c>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15" customHeight="1">
      <c r="A123" s="134" t="s">
        <v>120</v>
      </c>
      <c r="B123" s="133" t="s">
        <v>105</v>
      </c>
      <c r="C123" s="133" t="s">
        <v>7641</v>
      </c>
      <c r="D123" s="100" t="s">
        <v>7642</v>
      </c>
      <c r="E123" s="528">
        <v>392</v>
      </c>
      <c r="F123" s="338" t="s">
        <v>120</v>
      </c>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5" customHeight="1">
      <c r="A124" s="134" t="s">
        <v>6907</v>
      </c>
      <c r="B124" s="133" t="s">
        <v>105</v>
      </c>
      <c r="C124" s="162">
        <v>7</v>
      </c>
      <c r="D124" s="100" t="s">
        <v>7576</v>
      </c>
      <c r="E124" s="528">
        <f>7*28</f>
        <v>196</v>
      </c>
      <c r="F124" s="338" t="s">
        <v>113</v>
      </c>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5" customHeight="1">
      <c r="A125" s="134" t="s">
        <v>131</v>
      </c>
      <c r="B125" s="133" t="s">
        <v>105</v>
      </c>
      <c r="C125" s="99">
        <v>10</v>
      </c>
      <c r="D125" s="100">
        <f>C125*28</f>
        <v>280</v>
      </c>
      <c r="E125" s="528">
        <f>C125*28</f>
        <v>280</v>
      </c>
      <c r="F125" s="338" t="s">
        <v>131</v>
      </c>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5" customHeight="1">
      <c r="A126" s="134" t="s">
        <v>133</v>
      </c>
      <c r="B126" s="133" t="s">
        <v>105</v>
      </c>
      <c r="C126" s="99">
        <v>14</v>
      </c>
      <c r="D126" s="100" t="s">
        <v>7643</v>
      </c>
      <c r="E126" s="528">
        <f>14*28</f>
        <v>392</v>
      </c>
      <c r="F126" s="338" t="s">
        <v>133</v>
      </c>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5" customHeight="1">
      <c r="A127" s="134" t="s">
        <v>134</v>
      </c>
      <c r="B127" s="133" t="s">
        <v>105</v>
      </c>
      <c r="C127" s="133">
        <v>10</v>
      </c>
      <c r="D127" s="100" t="s">
        <v>7621</v>
      </c>
      <c r="E127" s="528">
        <v>280</v>
      </c>
      <c r="F127" s="338" t="s">
        <v>134</v>
      </c>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5.75" customHeight="1"/>
    <row r="129" spans="1:8" ht="15" customHeight="1">
      <c r="A129" s="332" t="s">
        <v>169</v>
      </c>
      <c r="E129" s="1116">
        <f>SUM(E9:E127)</f>
        <v>32046</v>
      </c>
    </row>
    <row r="130" spans="1:8" ht="15.75" customHeight="1"/>
    <row r="131" spans="1:8" ht="15" customHeight="1">
      <c r="A131" s="1231" t="s">
        <v>1156</v>
      </c>
      <c r="B131" s="1232"/>
      <c r="C131" s="1232"/>
      <c r="D131" s="1232"/>
      <c r="E131" s="1232"/>
      <c r="F131" s="1232"/>
      <c r="G131" s="1232"/>
      <c r="H131" s="1233"/>
    </row>
    <row r="132" spans="1:8" ht="15.75" customHeight="1"/>
    <row r="133" spans="1:8" ht="15.75" customHeight="1"/>
    <row r="134" spans="1:8" ht="15.75" customHeight="1"/>
    <row r="135" spans="1:8" ht="15.75" customHeight="1"/>
    <row r="136" spans="1:8" ht="15.75" customHeight="1"/>
    <row r="137" spans="1:8" ht="15.75" customHeight="1"/>
    <row r="138" spans="1:8" ht="15.75" customHeight="1"/>
    <row r="139" spans="1:8" ht="15.75" customHeight="1"/>
    <row r="140" spans="1:8" ht="15.75" customHeight="1"/>
    <row r="141" spans="1:8" ht="15.75" customHeight="1"/>
    <row r="142" spans="1:8" ht="15.75" customHeight="1"/>
    <row r="143" spans="1:8" ht="15.75" customHeight="1"/>
    <row r="144" spans="1:8"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31:H131"/>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64"/>
      <c r="B1" s="64"/>
      <c r="C1" s="65"/>
      <c r="D1" s="65"/>
      <c r="E1" s="65"/>
      <c r="F1" s="1"/>
      <c r="G1" s="1"/>
      <c r="H1" s="1"/>
    </row>
    <row r="2" spans="1:25" ht="15.75" customHeight="1">
      <c r="A2" s="1234" t="s">
        <v>7644</v>
      </c>
      <c r="B2" s="1227"/>
      <c r="C2" s="1227"/>
      <c r="D2" s="1227"/>
      <c r="E2" s="1228"/>
      <c r="F2" s="1114"/>
      <c r="G2" s="1114"/>
      <c r="H2" s="1114"/>
      <c r="I2" s="69"/>
      <c r="J2" s="69"/>
      <c r="K2" s="69"/>
      <c r="L2" s="69"/>
      <c r="M2" s="69"/>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14.25" customHeight="1">
      <c r="A4" s="1236" t="s">
        <v>7645</v>
      </c>
      <c r="B4" s="1227"/>
      <c r="C4" s="1227"/>
      <c r="D4" s="1227"/>
      <c r="E4" s="1228"/>
      <c r="F4" s="1114"/>
      <c r="G4" s="1114"/>
      <c r="H4" s="1114"/>
      <c r="I4" s="69"/>
      <c r="J4" s="69"/>
      <c r="K4" s="69"/>
      <c r="L4" s="69"/>
      <c r="M4" s="69"/>
      <c r="N4" s="69"/>
      <c r="O4" s="69"/>
      <c r="P4" s="69"/>
      <c r="Q4" s="69"/>
      <c r="R4" s="69"/>
      <c r="S4" s="69"/>
      <c r="T4" s="69"/>
      <c r="U4" s="69"/>
      <c r="V4" s="69"/>
      <c r="W4" s="69"/>
      <c r="X4" s="69"/>
      <c r="Y4" s="69"/>
    </row>
    <row r="5" spans="1:25" ht="16.5" customHeight="1">
      <c r="A5" s="1244" t="s">
        <v>7546</v>
      </c>
      <c r="B5" s="1227"/>
      <c r="C5" s="1227"/>
      <c r="D5" s="1227"/>
      <c r="E5" s="1228"/>
      <c r="F5" s="1114"/>
      <c r="G5" s="1114"/>
      <c r="H5" s="1114"/>
      <c r="I5" s="69"/>
      <c r="J5" s="69"/>
      <c r="K5" s="69"/>
      <c r="L5" s="69"/>
      <c r="M5" s="69"/>
      <c r="N5" s="69"/>
      <c r="O5" s="69"/>
      <c r="P5" s="69"/>
      <c r="Q5" s="69"/>
      <c r="R5" s="69"/>
      <c r="S5" s="69"/>
      <c r="T5" s="69"/>
      <c r="U5" s="69"/>
      <c r="V5" s="69"/>
      <c r="W5" s="69"/>
      <c r="X5" s="69"/>
      <c r="Y5" s="69"/>
    </row>
    <row r="6" spans="1:25" ht="27" customHeight="1">
      <c r="A6" s="1258" t="s">
        <v>7646</v>
      </c>
      <c r="B6" s="1227"/>
      <c r="C6" s="1227"/>
      <c r="D6" s="1227"/>
      <c r="E6" s="1228"/>
      <c r="F6" s="1114"/>
      <c r="G6" s="1114"/>
      <c r="H6" s="1114"/>
      <c r="I6" s="69"/>
      <c r="J6" s="69"/>
      <c r="K6" s="69"/>
      <c r="L6" s="69"/>
      <c r="M6" s="69"/>
      <c r="N6" s="69"/>
      <c r="O6" s="69"/>
      <c r="P6" s="69"/>
      <c r="Q6" s="69"/>
      <c r="R6" s="69"/>
      <c r="S6" s="69"/>
      <c r="T6" s="69"/>
      <c r="U6" s="69"/>
      <c r="V6" s="69"/>
      <c r="W6" s="69"/>
      <c r="X6" s="69"/>
      <c r="Y6" s="69"/>
    </row>
    <row r="7" spans="1:25" ht="14.25">
      <c r="A7" s="77"/>
      <c r="B7" s="77"/>
      <c r="C7" s="78"/>
      <c r="D7" s="78"/>
      <c r="E7" s="78"/>
      <c r="F7" s="77"/>
      <c r="G7" s="77"/>
      <c r="H7" s="77"/>
      <c r="I7" s="69"/>
      <c r="J7" s="69"/>
      <c r="K7" s="69"/>
      <c r="L7" s="69"/>
      <c r="M7" s="69"/>
      <c r="N7" s="69"/>
      <c r="O7" s="69"/>
      <c r="P7" s="69"/>
      <c r="Q7" s="69"/>
      <c r="R7" s="69"/>
      <c r="S7" s="69"/>
      <c r="T7" s="69"/>
      <c r="U7" s="69"/>
      <c r="V7" s="69"/>
      <c r="W7" s="69"/>
      <c r="X7" s="69"/>
      <c r="Y7" s="69"/>
    </row>
    <row r="8" spans="1:25" ht="61.5" customHeight="1">
      <c r="A8" s="377" t="s">
        <v>4419</v>
      </c>
      <c r="B8" s="83" t="s">
        <v>7</v>
      </c>
      <c r="C8" s="377" t="s">
        <v>7548</v>
      </c>
      <c r="D8" s="350" t="s">
        <v>206</v>
      </c>
      <c r="E8" s="350" t="s">
        <v>210</v>
      </c>
      <c r="F8" s="336" t="s">
        <v>211</v>
      </c>
      <c r="I8" s="69"/>
      <c r="J8" s="69"/>
      <c r="K8" s="69"/>
      <c r="L8" s="69"/>
      <c r="M8" s="69"/>
      <c r="N8" s="69"/>
      <c r="O8" s="69"/>
      <c r="P8" s="69"/>
      <c r="Q8" s="69"/>
      <c r="R8" s="69"/>
      <c r="S8" s="69"/>
      <c r="T8" s="69"/>
      <c r="U8" s="69"/>
      <c r="V8" s="69"/>
      <c r="W8" s="69"/>
      <c r="X8" s="69"/>
      <c r="Y8" s="69"/>
    </row>
    <row r="9" spans="1:25" ht="15" customHeight="1">
      <c r="A9" s="134" t="s">
        <v>7647</v>
      </c>
      <c r="B9" s="133" t="s">
        <v>51</v>
      </c>
      <c r="C9" s="133">
        <v>9</v>
      </c>
      <c r="D9" s="116" t="s">
        <v>7648</v>
      </c>
      <c r="E9" s="528">
        <v>504</v>
      </c>
      <c r="F9" s="338" t="s">
        <v>221</v>
      </c>
    </row>
    <row r="10" spans="1:25" ht="15" customHeight="1">
      <c r="A10" s="134" t="s">
        <v>7649</v>
      </c>
      <c r="B10" s="133" t="s">
        <v>51</v>
      </c>
      <c r="C10" s="133">
        <v>12</v>
      </c>
      <c r="D10" s="100">
        <f>12*2*28</f>
        <v>672</v>
      </c>
      <c r="E10" s="528">
        <v>672</v>
      </c>
      <c r="F10" s="338" t="s">
        <v>7551</v>
      </c>
    </row>
    <row r="11" spans="1:25" ht="15" customHeight="1">
      <c r="A11" s="134" t="s">
        <v>7650</v>
      </c>
      <c r="B11" s="133" t="s">
        <v>51</v>
      </c>
      <c r="C11" s="133">
        <v>7</v>
      </c>
      <c r="D11" s="100">
        <v>392</v>
      </c>
      <c r="E11" s="528">
        <v>392</v>
      </c>
      <c r="F11" s="338" t="s">
        <v>1315</v>
      </c>
    </row>
    <row r="12" spans="1:25" ht="15" customHeight="1">
      <c r="A12" s="134" t="s">
        <v>7371</v>
      </c>
      <c r="B12" s="133" t="s">
        <v>51</v>
      </c>
      <c r="C12" s="133">
        <v>2</v>
      </c>
      <c r="D12" s="116">
        <v>112</v>
      </c>
      <c r="E12" s="528">
        <v>112</v>
      </c>
      <c r="F12" s="338" t="s">
        <v>7371</v>
      </c>
    </row>
    <row r="13" spans="1:25" ht="15" customHeight="1">
      <c r="A13" s="134" t="s">
        <v>7371</v>
      </c>
      <c r="B13" s="133" t="s">
        <v>51</v>
      </c>
      <c r="C13" s="133">
        <v>2</v>
      </c>
      <c r="D13" s="116">
        <v>112</v>
      </c>
      <c r="E13" s="528">
        <v>112</v>
      </c>
      <c r="F13" s="338" t="s">
        <v>7371</v>
      </c>
    </row>
    <row r="14" spans="1:25" ht="15" customHeight="1">
      <c r="A14" s="134" t="s">
        <v>7371</v>
      </c>
      <c r="B14" s="133" t="s">
        <v>51</v>
      </c>
      <c r="C14" s="133">
        <v>2</v>
      </c>
      <c r="D14" s="116">
        <v>112</v>
      </c>
      <c r="E14" s="528">
        <v>112</v>
      </c>
      <c r="F14" s="338" t="s">
        <v>7371</v>
      </c>
    </row>
    <row r="15" spans="1:25" ht="15" customHeight="1">
      <c r="A15" s="134" t="s">
        <v>7371</v>
      </c>
      <c r="B15" s="133" t="s">
        <v>51</v>
      </c>
      <c r="C15" s="133">
        <v>1</v>
      </c>
      <c r="D15" s="116">
        <v>56</v>
      </c>
      <c r="E15" s="528">
        <v>56</v>
      </c>
      <c r="F15" s="338" t="s">
        <v>7371</v>
      </c>
    </row>
    <row r="16" spans="1:25" ht="15" customHeight="1">
      <c r="A16" s="134" t="s">
        <v>7371</v>
      </c>
      <c r="B16" s="133" t="s">
        <v>51</v>
      </c>
      <c r="C16" s="133">
        <v>2</v>
      </c>
      <c r="D16" s="116">
        <v>112</v>
      </c>
      <c r="E16" s="528">
        <v>112</v>
      </c>
      <c r="F16" s="338" t="s">
        <v>7371</v>
      </c>
    </row>
    <row r="17" spans="1:6" ht="15" customHeight="1">
      <c r="A17" s="134" t="s">
        <v>1331</v>
      </c>
      <c r="B17" s="133" t="s">
        <v>51</v>
      </c>
      <c r="C17" s="99">
        <v>7</v>
      </c>
      <c r="D17" s="100">
        <v>196</v>
      </c>
      <c r="E17" s="528">
        <v>392</v>
      </c>
      <c r="F17" s="338" t="s">
        <v>1331</v>
      </c>
    </row>
    <row r="18" spans="1:6" ht="15" customHeight="1">
      <c r="A18" s="134" t="s">
        <v>7553</v>
      </c>
      <c r="B18" s="133" t="s">
        <v>51</v>
      </c>
      <c r="C18" s="133">
        <v>13.5</v>
      </c>
      <c r="D18" s="100">
        <v>756</v>
      </c>
      <c r="E18" s="528">
        <v>756</v>
      </c>
      <c r="F18" s="338" t="s">
        <v>231</v>
      </c>
    </row>
    <row r="19" spans="1:6" ht="15" customHeight="1">
      <c r="A19" s="121" t="s">
        <v>6237</v>
      </c>
      <c r="B19" s="763" t="s">
        <v>51</v>
      </c>
      <c r="C19" s="133">
        <v>9.5</v>
      </c>
      <c r="D19" s="100">
        <f>9.5*2*28</f>
        <v>532</v>
      </c>
      <c r="E19" s="528">
        <v>532</v>
      </c>
      <c r="F19" s="338" t="s">
        <v>1339</v>
      </c>
    </row>
    <row r="20" spans="1:6" ht="15" customHeight="1">
      <c r="A20" s="134" t="s">
        <v>7554</v>
      </c>
      <c r="B20" s="133" t="s">
        <v>51</v>
      </c>
      <c r="C20" s="133">
        <v>12</v>
      </c>
      <c r="D20" s="100">
        <v>672</v>
      </c>
      <c r="E20" s="528">
        <v>672</v>
      </c>
      <c r="F20" s="338" t="s">
        <v>1359</v>
      </c>
    </row>
    <row r="21" spans="1:6" ht="15" customHeight="1">
      <c r="A21" s="134" t="s">
        <v>6254</v>
      </c>
      <c r="B21" s="134" t="s">
        <v>51</v>
      </c>
      <c r="C21" s="133">
        <v>7</v>
      </c>
      <c r="D21" s="100">
        <f>7*2*28</f>
        <v>392</v>
      </c>
      <c r="E21" s="528">
        <v>392</v>
      </c>
      <c r="F21" s="338" t="s">
        <v>249</v>
      </c>
    </row>
    <row r="22" spans="1:6" ht="15" customHeight="1">
      <c r="A22" s="134" t="s">
        <v>359</v>
      </c>
      <c r="B22" s="99" t="s">
        <v>51</v>
      </c>
      <c r="C22" s="99">
        <v>9</v>
      </c>
      <c r="D22" s="116" t="s">
        <v>7651</v>
      </c>
      <c r="E22" s="528">
        <v>504</v>
      </c>
      <c r="F22" s="338" t="s">
        <v>359</v>
      </c>
    </row>
    <row r="23" spans="1:6" ht="15" customHeight="1">
      <c r="A23" s="134" t="s">
        <v>4471</v>
      </c>
      <c r="B23" s="133" t="s">
        <v>51</v>
      </c>
      <c r="C23" s="133" t="s">
        <v>7556</v>
      </c>
      <c r="D23" s="116">
        <v>56</v>
      </c>
      <c r="E23" s="528">
        <v>56</v>
      </c>
      <c r="F23" s="338" t="s">
        <v>4471</v>
      </c>
    </row>
    <row r="24" spans="1:6" ht="15" customHeight="1">
      <c r="A24" s="134" t="s">
        <v>4471</v>
      </c>
      <c r="B24" s="133" t="s">
        <v>51</v>
      </c>
      <c r="C24" s="133" t="s">
        <v>7557</v>
      </c>
      <c r="D24" s="116">
        <v>112</v>
      </c>
      <c r="E24" s="528">
        <v>112</v>
      </c>
      <c r="F24" s="338" t="s">
        <v>4471</v>
      </c>
    </row>
    <row r="25" spans="1:6" ht="15" customHeight="1">
      <c r="A25" s="134" t="s">
        <v>4471</v>
      </c>
      <c r="B25" s="133" t="s">
        <v>51</v>
      </c>
      <c r="C25" s="133" t="s">
        <v>7557</v>
      </c>
      <c r="D25" s="116">
        <v>56</v>
      </c>
      <c r="E25" s="528">
        <v>56</v>
      </c>
      <c r="F25" s="338" t="s">
        <v>4471</v>
      </c>
    </row>
    <row r="26" spans="1:6" ht="15" customHeight="1">
      <c r="A26" s="134" t="s">
        <v>4471</v>
      </c>
      <c r="B26" s="133" t="s">
        <v>51</v>
      </c>
      <c r="C26" s="133" t="s">
        <v>7558</v>
      </c>
      <c r="D26" s="116">
        <v>56</v>
      </c>
      <c r="E26" s="528">
        <v>56</v>
      </c>
      <c r="F26" s="338" t="s">
        <v>4471</v>
      </c>
    </row>
    <row r="27" spans="1:6" ht="15" customHeight="1">
      <c r="A27" s="134" t="s">
        <v>4471</v>
      </c>
      <c r="B27" s="133" t="s">
        <v>51</v>
      </c>
      <c r="C27" s="133" t="s">
        <v>7559</v>
      </c>
      <c r="D27" s="116">
        <v>56</v>
      </c>
      <c r="E27" s="528">
        <v>56</v>
      </c>
      <c r="F27" s="338" t="s">
        <v>4471</v>
      </c>
    </row>
    <row r="28" spans="1:6" ht="15" customHeight="1">
      <c r="A28" s="134" t="s">
        <v>4471</v>
      </c>
      <c r="B28" s="133" t="s">
        <v>51</v>
      </c>
      <c r="C28" s="133" t="s">
        <v>7560</v>
      </c>
      <c r="D28" s="116">
        <v>112</v>
      </c>
      <c r="E28" s="528">
        <v>112</v>
      </c>
      <c r="F28" s="338" t="s">
        <v>4471</v>
      </c>
    </row>
    <row r="29" spans="1:6" ht="15" customHeight="1">
      <c r="A29" s="134" t="s">
        <v>4471</v>
      </c>
      <c r="B29" s="133" t="s">
        <v>51</v>
      </c>
      <c r="C29" s="133" t="s">
        <v>7560</v>
      </c>
      <c r="D29" s="116">
        <v>56</v>
      </c>
      <c r="E29" s="528">
        <v>56</v>
      </c>
      <c r="F29" s="338" t="s">
        <v>4471</v>
      </c>
    </row>
    <row r="30" spans="1:6" ht="15" customHeight="1">
      <c r="A30" s="134" t="s">
        <v>4471</v>
      </c>
      <c r="B30" s="133" t="s">
        <v>51</v>
      </c>
      <c r="C30" s="133" t="s">
        <v>7561</v>
      </c>
      <c r="D30" s="116">
        <v>112</v>
      </c>
      <c r="E30" s="528">
        <v>112</v>
      </c>
      <c r="F30" s="338" t="s">
        <v>4471</v>
      </c>
    </row>
    <row r="31" spans="1:6" ht="15" customHeight="1">
      <c r="A31" s="134" t="s">
        <v>4471</v>
      </c>
      <c r="B31" s="133" t="s">
        <v>51</v>
      </c>
      <c r="C31" s="133" t="s">
        <v>7561</v>
      </c>
      <c r="D31" s="116">
        <v>56</v>
      </c>
      <c r="E31" s="528">
        <v>56</v>
      </c>
      <c r="F31" s="338" t="s">
        <v>4471</v>
      </c>
    </row>
    <row r="32" spans="1:6" ht="15" customHeight="1">
      <c r="A32" s="134" t="s">
        <v>7379</v>
      </c>
      <c r="B32" s="134" t="s">
        <v>51</v>
      </c>
      <c r="C32" s="133">
        <v>9</v>
      </c>
      <c r="D32" s="100">
        <v>504</v>
      </c>
      <c r="E32" s="528">
        <v>504</v>
      </c>
      <c r="F32" s="338" t="s">
        <v>384</v>
      </c>
    </row>
    <row r="33" spans="1:6" ht="15" customHeight="1">
      <c r="A33" s="134" t="s">
        <v>7562</v>
      </c>
      <c r="B33" s="133" t="s">
        <v>51</v>
      </c>
      <c r="C33" s="133">
        <v>16</v>
      </c>
      <c r="D33" s="100">
        <f t="shared" ref="D33:E33" si="0">16*2*28</f>
        <v>896</v>
      </c>
      <c r="E33" s="528">
        <f t="shared" si="0"/>
        <v>896</v>
      </c>
      <c r="F33" s="338" t="s">
        <v>7563</v>
      </c>
    </row>
    <row r="34" spans="1:6" ht="15" customHeight="1">
      <c r="A34" s="381" t="s">
        <v>1822</v>
      </c>
      <c r="B34" s="133" t="s">
        <v>51</v>
      </c>
      <c r="C34" s="133" t="s">
        <v>7564</v>
      </c>
      <c r="D34" s="100">
        <v>560</v>
      </c>
      <c r="E34" s="528">
        <v>560</v>
      </c>
      <c r="F34" s="338" t="s">
        <v>1822</v>
      </c>
    </row>
    <row r="35" spans="1:6" ht="15" customHeight="1">
      <c r="A35" s="134" t="s">
        <v>7565</v>
      </c>
      <c r="B35" s="133" t="s">
        <v>51</v>
      </c>
      <c r="C35" s="133">
        <v>7</v>
      </c>
      <c r="D35" s="100">
        <f>C35*2*28</f>
        <v>392</v>
      </c>
      <c r="E35" s="528">
        <f>D35</f>
        <v>392</v>
      </c>
      <c r="F35" s="338" t="s">
        <v>1869</v>
      </c>
    </row>
    <row r="36" spans="1:6" ht="15" customHeight="1">
      <c r="A36" s="134" t="s">
        <v>409</v>
      </c>
      <c r="B36" s="133" t="s">
        <v>401</v>
      </c>
      <c r="C36" s="133" t="s">
        <v>7652</v>
      </c>
      <c r="D36" s="100" t="s">
        <v>7653</v>
      </c>
      <c r="E36" s="528">
        <v>392</v>
      </c>
      <c r="F36" s="338" t="s">
        <v>409</v>
      </c>
    </row>
    <row r="37" spans="1:6" ht="15" customHeight="1">
      <c r="A37" s="134" t="s">
        <v>7047</v>
      </c>
      <c r="B37" s="99" t="s">
        <v>401</v>
      </c>
      <c r="C37" s="133" t="s">
        <v>7568</v>
      </c>
      <c r="D37" s="100" t="s">
        <v>7654</v>
      </c>
      <c r="E37" s="528">
        <v>672</v>
      </c>
      <c r="F37" s="338" t="s">
        <v>2115</v>
      </c>
    </row>
    <row r="38" spans="1:6" ht="15" customHeight="1">
      <c r="A38" s="134" t="s">
        <v>466</v>
      </c>
      <c r="B38" s="133" t="s">
        <v>401</v>
      </c>
      <c r="C38" s="133" t="s">
        <v>7655</v>
      </c>
      <c r="D38" s="100">
        <v>392</v>
      </c>
      <c r="E38" s="528">
        <v>392</v>
      </c>
      <c r="F38" s="338" t="s">
        <v>466</v>
      </c>
    </row>
    <row r="39" spans="1:6" ht="15" customHeight="1">
      <c r="A39" s="134" t="s">
        <v>7656</v>
      </c>
      <c r="B39" s="133" t="s">
        <v>51</v>
      </c>
      <c r="C39" s="133">
        <v>12</v>
      </c>
      <c r="D39" s="100">
        <v>672</v>
      </c>
      <c r="E39" s="528">
        <v>672</v>
      </c>
      <c r="F39" s="338" t="s">
        <v>7657</v>
      </c>
    </row>
    <row r="40" spans="1:6" ht="15" customHeight="1">
      <c r="A40" s="134" t="s">
        <v>4848</v>
      </c>
      <c r="B40" s="133" t="s">
        <v>51</v>
      </c>
      <c r="C40" s="133">
        <v>10</v>
      </c>
      <c r="D40" s="100">
        <v>28</v>
      </c>
      <c r="E40" s="528">
        <v>280</v>
      </c>
      <c r="F40" s="338" t="s">
        <v>2207</v>
      </c>
    </row>
    <row r="41" spans="1:6" ht="15" customHeight="1">
      <c r="A41" s="134" t="s">
        <v>7571</v>
      </c>
      <c r="B41" s="133" t="s">
        <v>51</v>
      </c>
      <c r="C41" s="133">
        <v>15</v>
      </c>
      <c r="D41" s="116">
        <v>840</v>
      </c>
      <c r="E41" s="528">
        <v>840</v>
      </c>
      <c r="F41" s="338" t="s">
        <v>7571</v>
      </c>
    </row>
    <row r="42" spans="1:6" ht="15" customHeight="1">
      <c r="A42" s="134" t="s">
        <v>473</v>
      </c>
      <c r="B42" s="133" t="s">
        <v>51</v>
      </c>
      <c r="C42" s="133">
        <v>10</v>
      </c>
      <c r="D42" s="100">
        <f>C42*2*28</f>
        <v>560</v>
      </c>
      <c r="E42" s="528">
        <v>560</v>
      </c>
      <c r="F42" s="338" t="s">
        <v>473</v>
      </c>
    </row>
    <row r="43" spans="1:6" ht="15" customHeight="1">
      <c r="A43" s="134" t="s">
        <v>7382</v>
      </c>
      <c r="B43" s="162" t="s">
        <v>51</v>
      </c>
      <c r="C43" s="133" t="s">
        <v>7572</v>
      </c>
      <c r="D43" s="100">
        <f>8*2*28</f>
        <v>448</v>
      </c>
      <c r="E43" s="528">
        <f>D43</f>
        <v>448</v>
      </c>
      <c r="F43" s="338" t="s">
        <v>2260</v>
      </c>
    </row>
    <row r="44" spans="1:6" ht="15" customHeight="1">
      <c r="A44" s="134" t="s">
        <v>5254</v>
      </c>
      <c r="B44" s="133" t="s">
        <v>51</v>
      </c>
      <c r="C44" s="133" t="s">
        <v>7574</v>
      </c>
      <c r="D44" s="100">
        <v>868</v>
      </c>
      <c r="E44" s="528">
        <v>868</v>
      </c>
      <c r="F44" s="338" t="s">
        <v>5254</v>
      </c>
    </row>
    <row r="45" spans="1:6" ht="15" customHeight="1">
      <c r="A45" s="134" t="s">
        <v>6415</v>
      </c>
      <c r="B45" s="133" t="s">
        <v>51</v>
      </c>
      <c r="C45" s="133" t="s">
        <v>7658</v>
      </c>
      <c r="D45" s="100" t="s">
        <v>7659</v>
      </c>
      <c r="E45" s="528">
        <f>7*2*28</f>
        <v>392</v>
      </c>
      <c r="F45" s="338" t="s">
        <v>482</v>
      </c>
    </row>
    <row r="46" spans="1:6" ht="15" customHeight="1">
      <c r="A46" s="134" t="s">
        <v>6435</v>
      </c>
      <c r="B46" s="133" t="s">
        <v>51</v>
      </c>
      <c r="C46" s="133">
        <v>14.5</v>
      </c>
      <c r="D46" s="100">
        <v>812</v>
      </c>
      <c r="E46" s="528">
        <v>812</v>
      </c>
      <c r="F46" s="338" t="s">
        <v>2358</v>
      </c>
    </row>
    <row r="47" spans="1:6" ht="15" customHeight="1">
      <c r="A47" s="134" t="s">
        <v>7577</v>
      </c>
      <c r="B47" s="133" t="s">
        <v>51</v>
      </c>
      <c r="C47" s="133">
        <v>15.5</v>
      </c>
      <c r="D47" s="100">
        <f>C47*2*28</f>
        <v>868</v>
      </c>
      <c r="E47" s="100">
        <f>C47*2*28</f>
        <v>868</v>
      </c>
      <c r="F47" s="338" t="s">
        <v>7578</v>
      </c>
    </row>
    <row r="48" spans="1:6" ht="15" customHeight="1">
      <c r="A48" s="162" t="s">
        <v>2372</v>
      </c>
      <c r="B48" s="162" t="s">
        <v>51</v>
      </c>
      <c r="C48" s="162" t="s">
        <v>7579</v>
      </c>
      <c r="D48" s="163" t="s">
        <v>7660</v>
      </c>
      <c r="E48" s="483">
        <v>504</v>
      </c>
      <c r="F48" s="338" t="s">
        <v>2372</v>
      </c>
    </row>
    <row r="49" spans="1:6" ht="15" customHeight="1">
      <c r="A49" s="134" t="s">
        <v>7097</v>
      </c>
      <c r="B49" s="133" t="s">
        <v>51</v>
      </c>
      <c r="C49" s="133">
        <v>12</v>
      </c>
      <c r="D49" s="100">
        <f>C49*2*28</f>
        <v>672</v>
      </c>
      <c r="E49" s="528">
        <f>D49</f>
        <v>672</v>
      </c>
      <c r="F49" s="338" t="s">
        <v>2392</v>
      </c>
    </row>
    <row r="50" spans="1:6" ht="15" customHeight="1">
      <c r="A50" s="134" t="s">
        <v>4888</v>
      </c>
      <c r="B50" s="133" t="s">
        <v>51</v>
      </c>
      <c r="C50" s="133" t="s">
        <v>7658</v>
      </c>
      <c r="D50" s="116" t="s">
        <v>7661</v>
      </c>
      <c r="E50" s="528">
        <v>672</v>
      </c>
      <c r="F50" s="338" t="s">
        <v>2399</v>
      </c>
    </row>
    <row r="51" spans="1:6" ht="15" customHeight="1">
      <c r="A51" s="134" t="s">
        <v>488</v>
      </c>
      <c r="B51" s="133" t="s">
        <v>51</v>
      </c>
      <c r="C51" s="99">
        <v>10</v>
      </c>
      <c r="D51" s="100">
        <f>10*2*28</f>
        <v>560</v>
      </c>
      <c r="E51" s="528">
        <f>D51</f>
        <v>560</v>
      </c>
      <c r="F51" s="338" t="s">
        <v>488</v>
      </c>
    </row>
    <row r="52" spans="1:6" ht="15" customHeight="1">
      <c r="A52" s="134" t="s">
        <v>1223</v>
      </c>
      <c r="B52" s="133" t="s">
        <v>51</v>
      </c>
      <c r="C52" s="133">
        <v>10</v>
      </c>
      <c r="D52" s="100">
        <v>10</v>
      </c>
      <c r="E52" s="528">
        <f>D52*2*28</f>
        <v>560</v>
      </c>
      <c r="F52" s="338" t="s">
        <v>510</v>
      </c>
    </row>
    <row r="53" spans="1:6" ht="15" customHeight="1">
      <c r="A53" s="134" t="s">
        <v>1230</v>
      </c>
      <c r="B53" s="133" t="s">
        <v>51</v>
      </c>
      <c r="C53" s="133">
        <v>8</v>
      </c>
      <c r="D53" s="100">
        <f>2*28*C53</f>
        <v>448</v>
      </c>
      <c r="E53" s="528">
        <f>D53</f>
        <v>448</v>
      </c>
      <c r="F53" s="338" t="s">
        <v>518</v>
      </c>
    </row>
    <row r="54" spans="1:6" ht="15" customHeight="1">
      <c r="A54" s="134" t="s">
        <v>2513</v>
      </c>
      <c r="B54" s="133" t="s">
        <v>51</v>
      </c>
      <c r="C54" s="133" t="s">
        <v>7662</v>
      </c>
      <c r="D54" s="100">
        <v>15</v>
      </c>
      <c r="E54" s="528">
        <f>15*2*28</f>
        <v>840</v>
      </c>
      <c r="F54" s="338" t="s">
        <v>2513</v>
      </c>
    </row>
    <row r="55" spans="1:6" ht="15" customHeight="1">
      <c r="A55" s="134" t="s">
        <v>7584</v>
      </c>
      <c r="B55" s="133" t="s">
        <v>401</v>
      </c>
      <c r="C55" s="133" t="s">
        <v>7585</v>
      </c>
      <c r="D55" s="116" t="s">
        <v>7663</v>
      </c>
      <c r="E55" s="528">
        <v>560</v>
      </c>
      <c r="F55" s="338" t="s">
        <v>4565</v>
      </c>
    </row>
    <row r="56" spans="1:6" ht="15" customHeight="1">
      <c r="A56" s="134" t="s">
        <v>7587</v>
      </c>
      <c r="B56" s="133" t="s">
        <v>51</v>
      </c>
      <c r="C56" s="133" t="s">
        <v>7588</v>
      </c>
      <c r="D56" s="100">
        <f>336*2</f>
        <v>672</v>
      </c>
      <c r="E56" s="528">
        <f>D56</f>
        <v>672</v>
      </c>
      <c r="F56" s="338" t="s">
        <v>7589</v>
      </c>
    </row>
    <row r="57" spans="1:6" ht="15" customHeight="1">
      <c r="A57" s="134" t="s">
        <v>2514</v>
      </c>
      <c r="B57" s="133" t="s">
        <v>51</v>
      </c>
      <c r="C57" s="133">
        <v>12</v>
      </c>
      <c r="D57" s="100" t="s">
        <v>7654</v>
      </c>
      <c r="E57" s="528">
        <v>672</v>
      </c>
      <c r="F57" s="338" t="s">
        <v>2514</v>
      </c>
    </row>
    <row r="58" spans="1:6" ht="15" customHeight="1">
      <c r="A58" s="134" t="s">
        <v>2520</v>
      </c>
      <c r="B58" s="133" t="s">
        <v>51</v>
      </c>
      <c r="C58" s="133" t="s">
        <v>7590</v>
      </c>
      <c r="D58" s="100">
        <f>2*2*28</f>
        <v>112</v>
      </c>
      <c r="E58" s="528">
        <f t="shared" ref="E58:E64" si="1">D58</f>
        <v>112</v>
      </c>
      <c r="F58" s="338" t="s">
        <v>2520</v>
      </c>
    </row>
    <row r="59" spans="1:6" ht="15" customHeight="1">
      <c r="A59" s="134" t="s">
        <v>2520</v>
      </c>
      <c r="B59" s="133" t="s">
        <v>51</v>
      </c>
      <c r="C59" s="133" t="s">
        <v>7591</v>
      </c>
      <c r="D59" s="116">
        <v>0</v>
      </c>
      <c r="E59" s="528">
        <f t="shared" si="1"/>
        <v>0</v>
      </c>
      <c r="F59" s="338" t="s">
        <v>2520</v>
      </c>
    </row>
    <row r="60" spans="1:6" ht="15" customHeight="1">
      <c r="A60" s="134" t="s">
        <v>2520</v>
      </c>
      <c r="B60" s="133" t="s">
        <v>51</v>
      </c>
      <c r="C60" s="133" t="s">
        <v>7592</v>
      </c>
      <c r="D60" s="100">
        <f>2.5*2*28</f>
        <v>140</v>
      </c>
      <c r="E60" s="528">
        <f t="shared" si="1"/>
        <v>140</v>
      </c>
      <c r="F60" s="338" t="s">
        <v>2520</v>
      </c>
    </row>
    <row r="61" spans="1:6" ht="15" customHeight="1">
      <c r="A61" s="134" t="s">
        <v>2520</v>
      </c>
      <c r="B61" s="133" t="s">
        <v>51</v>
      </c>
      <c r="C61" s="133" t="s">
        <v>7593</v>
      </c>
      <c r="D61" s="116">
        <v>0</v>
      </c>
      <c r="E61" s="528">
        <f t="shared" si="1"/>
        <v>0</v>
      </c>
      <c r="F61" s="338" t="s">
        <v>2520</v>
      </c>
    </row>
    <row r="62" spans="1:6" ht="15" customHeight="1">
      <c r="A62" s="134" t="s">
        <v>2520</v>
      </c>
      <c r="B62" s="133" t="s">
        <v>51</v>
      </c>
      <c r="C62" s="133" t="s">
        <v>7594</v>
      </c>
      <c r="D62" s="116">
        <f>1.25*2*28</f>
        <v>70</v>
      </c>
      <c r="E62" s="528">
        <f t="shared" si="1"/>
        <v>70</v>
      </c>
      <c r="F62" s="338" t="s">
        <v>2520</v>
      </c>
    </row>
    <row r="63" spans="1:6" ht="15" customHeight="1">
      <c r="A63" s="134" t="s">
        <v>2520</v>
      </c>
      <c r="B63" s="133" t="s">
        <v>51</v>
      </c>
      <c r="C63" s="133" t="s">
        <v>7664</v>
      </c>
      <c r="D63" s="116">
        <f>1.5*2*28</f>
        <v>84</v>
      </c>
      <c r="E63" s="528">
        <f t="shared" si="1"/>
        <v>84</v>
      </c>
      <c r="F63" s="338" t="s">
        <v>2520</v>
      </c>
    </row>
    <row r="64" spans="1:6" ht="15" customHeight="1">
      <c r="A64" s="134" t="s">
        <v>2520</v>
      </c>
      <c r="B64" s="133" t="s">
        <v>51</v>
      </c>
      <c r="C64" s="133" t="s">
        <v>7595</v>
      </c>
      <c r="D64" s="116">
        <f>2*2*28</f>
        <v>112</v>
      </c>
      <c r="E64" s="528">
        <f t="shared" si="1"/>
        <v>112</v>
      </c>
      <c r="F64" s="338" t="s">
        <v>2520</v>
      </c>
    </row>
    <row r="65" spans="1:26" ht="15" customHeight="1">
      <c r="A65" s="134" t="s">
        <v>7596</v>
      </c>
      <c r="B65" s="133" t="s">
        <v>51</v>
      </c>
      <c r="C65" s="133">
        <v>13.25</v>
      </c>
      <c r="D65" s="116">
        <f>13.25*2*28</f>
        <v>742</v>
      </c>
      <c r="E65" s="528">
        <v>742</v>
      </c>
      <c r="F65" s="338" t="s">
        <v>545</v>
      </c>
    </row>
    <row r="66" spans="1:26" ht="15" customHeight="1">
      <c r="A66" s="134" t="s">
        <v>7597</v>
      </c>
      <c r="B66" s="133" t="s">
        <v>401</v>
      </c>
      <c r="C66" s="133" t="s">
        <v>7598</v>
      </c>
      <c r="D66" s="116" t="s">
        <v>7654</v>
      </c>
      <c r="E66" s="528">
        <v>672</v>
      </c>
      <c r="F66" s="338" t="s">
        <v>546</v>
      </c>
    </row>
    <row r="67" spans="1:26" ht="15" customHeight="1">
      <c r="A67" s="134" t="s">
        <v>7599</v>
      </c>
      <c r="B67" s="133" t="s">
        <v>51</v>
      </c>
      <c r="C67" s="133">
        <v>16</v>
      </c>
      <c r="D67" s="100">
        <f>16*28*2</f>
        <v>896</v>
      </c>
      <c r="E67" s="528">
        <f>D67</f>
        <v>896</v>
      </c>
      <c r="F67" s="338" t="s">
        <v>7600</v>
      </c>
    </row>
    <row r="68" spans="1:26" ht="15" customHeight="1">
      <c r="A68" s="134" t="s">
        <v>547</v>
      </c>
      <c r="B68" s="133" t="s">
        <v>51</v>
      </c>
      <c r="C68" s="133" t="s">
        <v>7658</v>
      </c>
      <c r="D68" s="100" t="s">
        <v>7665</v>
      </c>
      <c r="E68" s="528">
        <f>8*2*28</f>
        <v>448</v>
      </c>
      <c r="F68" s="338" t="s">
        <v>547</v>
      </c>
    </row>
    <row r="69" spans="1:26" ht="15" customHeight="1">
      <c r="A69" s="134" t="s">
        <v>563</v>
      </c>
      <c r="B69" s="99" t="s">
        <v>51</v>
      </c>
      <c r="C69" s="99">
        <v>14.25</v>
      </c>
      <c r="D69" s="116" t="s">
        <v>7651</v>
      </c>
      <c r="E69" s="528">
        <v>798</v>
      </c>
      <c r="F69" s="338" t="s">
        <v>563</v>
      </c>
    </row>
    <row r="70" spans="1:26" ht="15" customHeight="1">
      <c r="A70" s="134" t="s">
        <v>580</v>
      </c>
      <c r="B70" s="133" t="s">
        <v>51</v>
      </c>
      <c r="C70" s="133" t="s">
        <v>7603</v>
      </c>
      <c r="D70" s="100">
        <f>9*2*28</f>
        <v>504</v>
      </c>
      <c r="E70" s="528">
        <f>D70</f>
        <v>504</v>
      </c>
      <c r="F70" s="338" t="s">
        <v>580</v>
      </c>
    </row>
    <row r="71" spans="1:26" ht="15" customHeight="1">
      <c r="A71" s="134" t="s">
        <v>7604</v>
      </c>
      <c r="B71" s="133" t="s">
        <v>51</v>
      </c>
      <c r="C71" s="133">
        <v>672</v>
      </c>
      <c r="D71" s="100">
        <v>672</v>
      </c>
      <c r="E71" s="528">
        <v>672</v>
      </c>
      <c r="F71" s="338" t="s">
        <v>7606</v>
      </c>
    </row>
    <row r="72" spans="1:26" ht="15" customHeight="1">
      <c r="A72" s="134" t="s">
        <v>7666</v>
      </c>
      <c r="B72" s="133" t="s">
        <v>51</v>
      </c>
      <c r="C72" s="133">
        <v>12</v>
      </c>
      <c r="D72" s="100">
        <v>672</v>
      </c>
      <c r="E72" s="528">
        <v>672</v>
      </c>
      <c r="F72" s="338" t="s">
        <v>592</v>
      </c>
    </row>
    <row r="73" spans="1:26" ht="15" customHeight="1">
      <c r="A73" s="134" t="s">
        <v>7607</v>
      </c>
      <c r="B73" s="133" t="s">
        <v>51</v>
      </c>
      <c r="C73" s="133">
        <v>7</v>
      </c>
      <c r="D73" s="100">
        <v>392</v>
      </c>
      <c r="E73" s="528">
        <v>392</v>
      </c>
      <c r="F73" s="338" t="s">
        <v>608</v>
      </c>
    </row>
    <row r="74" spans="1:26" ht="15" customHeight="1">
      <c r="A74" s="134" t="s">
        <v>7148</v>
      </c>
      <c r="B74" s="133" t="s">
        <v>401</v>
      </c>
      <c r="C74" s="133" t="s">
        <v>7608</v>
      </c>
      <c r="D74" s="100" t="s">
        <v>7667</v>
      </c>
      <c r="E74" s="528">
        <f>12*2*28</f>
        <v>672</v>
      </c>
      <c r="F74" s="338" t="s">
        <v>2783</v>
      </c>
    </row>
    <row r="75" spans="1:26" ht="15.75" customHeight="1">
      <c r="A75" s="134" t="s">
        <v>7401</v>
      </c>
      <c r="B75" s="133" t="s">
        <v>141</v>
      </c>
      <c r="C75" s="99">
        <v>16</v>
      </c>
      <c r="D75" s="100">
        <v>896</v>
      </c>
      <c r="E75" s="528">
        <v>896</v>
      </c>
      <c r="F75" s="216" t="s">
        <v>7668</v>
      </c>
      <c r="G75" s="216"/>
      <c r="H75" s="216"/>
      <c r="I75" s="216"/>
      <c r="J75" s="216"/>
      <c r="K75" s="216"/>
      <c r="L75" s="216"/>
      <c r="M75" s="216"/>
      <c r="N75" s="216"/>
      <c r="O75" s="216"/>
      <c r="P75" s="216"/>
      <c r="Q75" s="216"/>
      <c r="R75" s="216"/>
      <c r="S75" s="216"/>
      <c r="T75" s="216"/>
      <c r="U75" s="216"/>
      <c r="V75" s="216"/>
      <c r="W75" s="216"/>
      <c r="X75" s="216"/>
      <c r="Y75" s="216"/>
      <c r="Z75" s="216"/>
    </row>
    <row r="76" spans="1:26" ht="15.75" customHeight="1">
      <c r="A76" s="107" t="s">
        <v>730</v>
      </c>
      <c r="B76" s="108" t="s">
        <v>141</v>
      </c>
      <c r="C76" s="99">
        <v>8</v>
      </c>
      <c r="D76" s="100">
        <v>448</v>
      </c>
      <c r="E76" s="528">
        <v>448</v>
      </c>
      <c r="F76" s="216" t="str">
        <f t="shared" ref="F76:F98" si="2">A76</f>
        <v>Bogdan Mihai</v>
      </c>
      <c r="G76" s="216"/>
      <c r="H76" s="216"/>
      <c r="I76" s="216"/>
      <c r="J76" s="216"/>
      <c r="K76" s="216"/>
      <c r="L76" s="216"/>
      <c r="M76" s="216"/>
      <c r="N76" s="216"/>
      <c r="O76" s="216"/>
      <c r="P76" s="216"/>
      <c r="Q76" s="216"/>
      <c r="R76" s="216"/>
      <c r="S76" s="216"/>
      <c r="T76" s="216"/>
      <c r="U76" s="216"/>
      <c r="V76" s="216"/>
      <c r="W76" s="216"/>
      <c r="X76" s="216"/>
      <c r="Y76" s="216"/>
      <c r="Z76" s="216"/>
    </row>
    <row r="77" spans="1:26" ht="15.75" customHeight="1">
      <c r="A77" s="134" t="s">
        <v>2825</v>
      </c>
      <c r="B77" s="133" t="s">
        <v>141</v>
      </c>
      <c r="C77" s="99">
        <v>14</v>
      </c>
      <c r="D77" s="100">
        <f>C77*2*28</f>
        <v>784</v>
      </c>
      <c r="E77" s="528">
        <f>D77</f>
        <v>784</v>
      </c>
      <c r="F77" s="216" t="str">
        <f t="shared" si="2"/>
        <v>Bouleanu Iulian</v>
      </c>
      <c r="G77" s="216"/>
      <c r="H77" s="216"/>
      <c r="I77" s="216"/>
      <c r="J77" s="216"/>
      <c r="K77" s="216"/>
      <c r="L77" s="216"/>
      <c r="M77" s="216"/>
      <c r="N77" s="216"/>
      <c r="O77" s="216"/>
      <c r="P77" s="216"/>
      <c r="Q77" s="216"/>
      <c r="R77" s="216"/>
      <c r="S77" s="216"/>
      <c r="T77" s="216"/>
      <c r="U77" s="216"/>
      <c r="V77" s="216"/>
      <c r="W77" s="216"/>
      <c r="X77" s="216"/>
      <c r="Y77" s="216"/>
      <c r="Z77" s="216"/>
    </row>
    <row r="78" spans="1:26" ht="15.75" customHeight="1">
      <c r="A78" s="134" t="s">
        <v>7610</v>
      </c>
      <c r="B78" s="133" t="s">
        <v>141</v>
      </c>
      <c r="C78" s="99">
        <v>7</v>
      </c>
      <c r="D78" s="100" t="s">
        <v>7659</v>
      </c>
      <c r="E78" s="528">
        <f>7*2*28</f>
        <v>392</v>
      </c>
      <c r="F78" s="216" t="str">
        <f t="shared" si="2"/>
        <v xml:space="preserve">Brad Remus </v>
      </c>
      <c r="G78" s="216"/>
      <c r="H78" s="216"/>
      <c r="I78" s="216"/>
      <c r="J78" s="216"/>
      <c r="K78" s="216"/>
      <c r="L78" s="216"/>
      <c r="M78" s="216"/>
      <c r="N78" s="216"/>
      <c r="O78" s="216"/>
      <c r="P78" s="216"/>
      <c r="Q78" s="216"/>
      <c r="R78" s="216"/>
      <c r="S78" s="216"/>
      <c r="T78" s="216"/>
      <c r="U78" s="216"/>
      <c r="V78" s="216"/>
      <c r="W78" s="216"/>
      <c r="X78" s="216"/>
      <c r="Y78" s="216"/>
      <c r="Z78" s="216"/>
    </row>
    <row r="79" spans="1:26" ht="15.75" customHeight="1">
      <c r="A79" s="134" t="s">
        <v>2962</v>
      </c>
      <c r="B79" s="99" t="s">
        <v>141</v>
      </c>
      <c r="C79" s="99">
        <v>11</v>
      </c>
      <c r="D79" s="100">
        <v>616</v>
      </c>
      <c r="E79" s="528">
        <v>616</v>
      </c>
      <c r="F79" s="216" t="str">
        <f t="shared" si="2"/>
        <v>Breazu Macarie</v>
      </c>
      <c r="G79" s="216"/>
      <c r="H79" s="216"/>
      <c r="I79" s="216"/>
      <c r="J79" s="216"/>
      <c r="K79" s="216"/>
      <c r="L79" s="216"/>
      <c r="M79" s="216"/>
      <c r="N79" s="216"/>
      <c r="O79" s="216"/>
      <c r="P79" s="216"/>
      <c r="Q79" s="216"/>
      <c r="R79" s="216"/>
      <c r="S79" s="216"/>
      <c r="T79" s="216"/>
      <c r="U79" s="216"/>
      <c r="V79" s="216"/>
      <c r="W79" s="216"/>
      <c r="X79" s="216"/>
      <c r="Y79" s="216"/>
      <c r="Z79" s="216"/>
    </row>
    <row r="80" spans="1:26" ht="15.75" customHeight="1">
      <c r="A80" s="438" t="s">
        <v>758</v>
      </c>
      <c r="B80" s="1118" t="s">
        <v>141</v>
      </c>
      <c r="C80" s="228">
        <v>16</v>
      </c>
      <c r="D80" s="229">
        <v>896</v>
      </c>
      <c r="E80" s="1117">
        <v>896</v>
      </c>
      <c r="F80" s="216" t="str">
        <f t="shared" si="2"/>
        <v>Chis Radu</v>
      </c>
      <c r="G80" s="216"/>
      <c r="H80" s="216"/>
      <c r="I80" s="216"/>
      <c r="J80" s="216"/>
      <c r="K80" s="216"/>
      <c r="L80" s="216"/>
      <c r="M80" s="216"/>
      <c r="N80" s="216"/>
      <c r="O80" s="216"/>
      <c r="P80" s="216"/>
      <c r="Q80" s="216"/>
      <c r="R80" s="216"/>
      <c r="S80" s="216"/>
      <c r="T80" s="216"/>
      <c r="U80" s="216"/>
      <c r="V80" s="216"/>
      <c r="W80" s="216"/>
      <c r="X80" s="216"/>
      <c r="Y80" s="216"/>
      <c r="Z80" s="216"/>
    </row>
    <row r="81" spans="1:26" ht="15.75" customHeight="1">
      <c r="A81" s="438" t="s">
        <v>7169</v>
      </c>
      <c r="B81" s="138" t="s">
        <v>141</v>
      </c>
      <c r="C81" s="228">
        <v>12</v>
      </c>
      <c r="D81" s="229">
        <v>672</v>
      </c>
      <c r="E81" s="1117">
        <v>672</v>
      </c>
      <c r="F81" s="216" t="str">
        <f t="shared" si="2"/>
        <v>Ciurea Stelian</v>
      </c>
      <c r="G81" s="216"/>
      <c r="H81" s="216"/>
      <c r="I81" s="216"/>
      <c r="J81" s="216"/>
      <c r="K81" s="216"/>
      <c r="L81" s="216"/>
      <c r="M81" s="216"/>
      <c r="N81" s="216"/>
      <c r="O81" s="216"/>
      <c r="P81" s="216"/>
      <c r="Q81" s="216"/>
      <c r="R81" s="216"/>
      <c r="S81" s="216"/>
      <c r="T81" s="216"/>
      <c r="U81" s="216"/>
      <c r="V81" s="216"/>
      <c r="W81" s="216"/>
      <c r="X81" s="216"/>
      <c r="Y81" s="216"/>
      <c r="Z81" s="216"/>
    </row>
    <row r="82" spans="1:26" ht="15.75" customHeight="1">
      <c r="A82" s="134" t="s">
        <v>7669</v>
      </c>
      <c r="B82" s="133" t="s">
        <v>141</v>
      </c>
      <c r="C82" s="133">
        <v>10</v>
      </c>
      <c r="D82" s="100">
        <v>56</v>
      </c>
      <c r="E82" s="528">
        <v>560</v>
      </c>
      <c r="F82" s="216" t="str">
        <f t="shared" si="2"/>
        <v xml:space="preserve">Cofaru Ileana Ioana </v>
      </c>
      <c r="G82" s="216"/>
      <c r="H82" s="216"/>
      <c r="I82" s="216"/>
      <c r="J82" s="216"/>
      <c r="K82" s="216"/>
      <c r="L82" s="216"/>
      <c r="M82" s="216"/>
      <c r="N82" s="216"/>
      <c r="O82" s="216"/>
      <c r="P82" s="216"/>
      <c r="Q82" s="216"/>
      <c r="R82" s="216"/>
      <c r="S82" s="216"/>
      <c r="T82" s="216"/>
      <c r="U82" s="216"/>
      <c r="V82" s="216"/>
      <c r="W82" s="216"/>
      <c r="X82" s="216"/>
      <c r="Y82" s="216"/>
      <c r="Z82" s="216"/>
    </row>
    <row r="83" spans="1:26" ht="15.75" customHeight="1">
      <c r="A83" s="134" t="s">
        <v>761</v>
      </c>
      <c r="B83" s="133" t="s">
        <v>141</v>
      </c>
      <c r="C83" s="133">
        <v>16</v>
      </c>
      <c r="D83" s="100" t="s">
        <v>7670</v>
      </c>
      <c r="E83" s="528">
        <v>896</v>
      </c>
      <c r="F83" s="216" t="str">
        <f t="shared" si="2"/>
        <v>Craciunas Gabriela</v>
      </c>
      <c r="G83" s="216"/>
      <c r="H83" s="216"/>
      <c r="I83" s="216"/>
      <c r="J83" s="216"/>
      <c r="K83" s="216"/>
      <c r="L83" s="216"/>
      <c r="M83" s="216"/>
      <c r="N83" s="216"/>
      <c r="O83" s="216"/>
      <c r="P83" s="216"/>
      <c r="Q83" s="216"/>
      <c r="R83" s="216"/>
      <c r="S83" s="216"/>
      <c r="T83" s="216"/>
      <c r="U83" s="216"/>
      <c r="V83" s="216"/>
      <c r="W83" s="216"/>
      <c r="X83" s="216"/>
      <c r="Y83" s="216"/>
      <c r="Z83" s="216"/>
    </row>
    <row r="84" spans="1:26" ht="15.75" customHeight="1">
      <c r="A84" s="134" t="s">
        <v>7612</v>
      </c>
      <c r="B84" s="133" t="s">
        <v>141</v>
      </c>
      <c r="C84" s="133">
        <v>13</v>
      </c>
      <c r="D84" s="100">
        <v>728</v>
      </c>
      <c r="E84" s="528">
        <v>728</v>
      </c>
      <c r="F84" s="216" t="str">
        <f t="shared" si="2"/>
        <v>Craciunean Daniel-Cristian</v>
      </c>
      <c r="G84" s="216"/>
      <c r="H84" s="216"/>
      <c r="I84" s="216"/>
      <c r="J84" s="216"/>
      <c r="K84" s="216"/>
      <c r="L84" s="216"/>
      <c r="M84" s="216"/>
      <c r="N84" s="216"/>
      <c r="O84" s="216"/>
      <c r="P84" s="216"/>
      <c r="Q84" s="216"/>
      <c r="R84" s="216"/>
      <c r="S84" s="216"/>
      <c r="T84" s="216"/>
      <c r="U84" s="216"/>
      <c r="V84" s="216"/>
      <c r="W84" s="216"/>
      <c r="X84" s="216"/>
      <c r="Y84" s="216"/>
      <c r="Z84" s="216"/>
    </row>
    <row r="85" spans="1:26" ht="15.75" customHeight="1">
      <c r="A85" s="134" t="s">
        <v>7404</v>
      </c>
      <c r="B85" s="133" t="s">
        <v>141</v>
      </c>
      <c r="C85" s="133">
        <v>10</v>
      </c>
      <c r="D85" s="100">
        <v>560</v>
      </c>
      <c r="E85" s="528">
        <v>560</v>
      </c>
      <c r="F85" s="216" t="str">
        <f t="shared" si="2"/>
        <v>Crețulescu Radu</v>
      </c>
      <c r="G85" s="216"/>
      <c r="H85" s="216"/>
      <c r="I85" s="216"/>
      <c r="J85" s="216"/>
      <c r="K85" s="216"/>
      <c r="L85" s="216"/>
      <c r="M85" s="216"/>
      <c r="N85" s="216"/>
      <c r="O85" s="216"/>
      <c r="P85" s="216"/>
      <c r="Q85" s="216"/>
      <c r="R85" s="216"/>
      <c r="S85" s="216"/>
      <c r="T85" s="216"/>
      <c r="U85" s="216"/>
      <c r="V85" s="216"/>
      <c r="W85" s="216"/>
      <c r="X85" s="216"/>
      <c r="Y85" s="216"/>
      <c r="Z85" s="216"/>
    </row>
    <row r="86" spans="1:26" ht="15.75" customHeight="1">
      <c r="A86" s="134" t="s">
        <v>7613</v>
      </c>
      <c r="B86" s="133" t="s">
        <v>141</v>
      </c>
      <c r="C86" s="133">
        <v>13</v>
      </c>
      <c r="D86" s="100">
        <v>728</v>
      </c>
      <c r="E86" s="528">
        <v>728</v>
      </c>
      <c r="F86" s="216" t="str">
        <f t="shared" si="2"/>
        <v>DOROBANȚIU Alexandru</v>
      </c>
      <c r="G86" s="216"/>
      <c r="H86" s="216"/>
      <c r="I86" s="216"/>
      <c r="J86" s="216"/>
      <c r="K86" s="216"/>
      <c r="L86" s="216"/>
      <c r="M86" s="216"/>
      <c r="N86" s="216"/>
      <c r="O86" s="216"/>
      <c r="P86" s="216"/>
      <c r="Q86" s="216"/>
      <c r="R86" s="216"/>
      <c r="S86" s="216"/>
      <c r="T86" s="216"/>
      <c r="U86" s="216"/>
      <c r="V86" s="216"/>
      <c r="W86" s="216"/>
      <c r="X86" s="216"/>
      <c r="Y86" s="216"/>
      <c r="Z86" s="216"/>
    </row>
    <row r="87" spans="1:26" ht="15.75" customHeight="1">
      <c r="A87" s="134" t="s">
        <v>7351</v>
      </c>
      <c r="B87" s="133" t="s">
        <v>141</v>
      </c>
      <c r="C87" s="162">
        <v>7</v>
      </c>
      <c r="D87" s="100">
        <f>C87*2*28</f>
        <v>392</v>
      </c>
      <c r="E87" s="528">
        <f>D87</f>
        <v>392</v>
      </c>
      <c r="F87" s="216" t="str">
        <f t="shared" si="2"/>
        <v>Prof.dr.ing. Florea Adrian</v>
      </c>
      <c r="G87" s="216"/>
      <c r="H87" s="216"/>
      <c r="I87" s="216"/>
      <c r="J87" s="216"/>
      <c r="K87" s="216"/>
      <c r="L87" s="216"/>
      <c r="M87" s="216"/>
      <c r="N87" s="216"/>
      <c r="O87" s="216"/>
      <c r="P87" s="216"/>
      <c r="Q87" s="216"/>
      <c r="R87" s="216"/>
      <c r="S87" s="216"/>
      <c r="T87" s="216"/>
      <c r="U87" s="216"/>
      <c r="V87" s="216"/>
      <c r="W87" s="216"/>
      <c r="X87" s="216"/>
      <c r="Y87" s="216"/>
      <c r="Z87" s="216"/>
    </row>
    <row r="88" spans="1:26" ht="15.75" customHeight="1">
      <c r="A88" s="134" t="s">
        <v>829</v>
      </c>
      <c r="B88" s="133" t="s">
        <v>141</v>
      </c>
      <c r="C88" s="133" t="s">
        <v>7614</v>
      </c>
      <c r="D88" s="116">
        <v>448</v>
      </c>
      <c r="E88" s="528">
        <v>448</v>
      </c>
      <c r="F88" s="216" t="str">
        <f t="shared" si="2"/>
        <v>Gellert Arpad</v>
      </c>
      <c r="G88" s="216"/>
      <c r="H88" s="216"/>
      <c r="I88" s="216"/>
      <c r="J88" s="216"/>
      <c r="K88" s="216"/>
      <c r="L88" s="216"/>
      <c r="M88" s="216"/>
      <c r="N88" s="216"/>
      <c r="O88" s="216"/>
      <c r="P88" s="216"/>
      <c r="Q88" s="216"/>
      <c r="R88" s="216"/>
      <c r="S88" s="216"/>
      <c r="T88" s="216"/>
      <c r="U88" s="216"/>
      <c r="V88" s="216"/>
      <c r="W88" s="216"/>
      <c r="X88" s="216"/>
      <c r="Y88" s="216"/>
      <c r="Z88" s="216"/>
    </row>
    <row r="89" spans="1:26" ht="15.75" customHeight="1">
      <c r="A89" s="134" t="s">
        <v>7615</v>
      </c>
      <c r="B89" s="133" t="s">
        <v>141</v>
      </c>
      <c r="C89" s="133">
        <v>16</v>
      </c>
      <c r="D89" s="100">
        <f t="shared" ref="D89:D90" si="3">C89*2*28</f>
        <v>896</v>
      </c>
      <c r="E89" s="528">
        <f>D89</f>
        <v>896</v>
      </c>
      <c r="F89" s="216" t="str">
        <f t="shared" si="2"/>
        <v>ILIE Constantin Beriliu</v>
      </c>
      <c r="G89" s="216"/>
      <c r="H89" s="216"/>
      <c r="I89" s="216"/>
      <c r="J89" s="216"/>
      <c r="K89" s="216"/>
      <c r="L89" s="216"/>
      <c r="M89" s="216"/>
      <c r="N89" s="216"/>
      <c r="O89" s="216"/>
      <c r="P89" s="216"/>
      <c r="Q89" s="216"/>
      <c r="R89" s="216"/>
      <c r="S89" s="216"/>
      <c r="T89" s="216"/>
      <c r="U89" s="216"/>
      <c r="V89" s="216"/>
      <c r="W89" s="216"/>
      <c r="X89" s="216"/>
      <c r="Y89" s="216"/>
      <c r="Z89" s="216"/>
    </row>
    <row r="90" spans="1:26" ht="15.75" customHeight="1">
      <c r="A90" s="134" t="s">
        <v>3249</v>
      </c>
      <c r="B90" s="133" t="s">
        <v>51</v>
      </c>
      <c r="C90" s="133">
        <v>10</v>
      </c>
      <c r="D90" s="100">
        <f t="shared" si="3"/>
        <v>560</v>
      </c>
      <c r="E90" s="528">
        <v>560</v>
      </c>
      <c r="F90" s="216" t="str">
        <f t="shared" si="2"/>
        <v>Morariu Daniel</v>
      </c>
      <c r="G90" s="216"/>
      <c r="H90" s="216"/>
      <c r="I90" s="216"/>
      <c r="J90" s="216"/>
      <c r="K90" s="216"/>
      <c r="L90" s="216"/>
      <c r="M90" s="216"/>
      <c r="N90" s="216"/>
      <c r="O90" s="216"/>
      <c r="P90" s="216"/>
      <c r="Q90" s="216"/>
      <c r="R90" s="216"/>
      <c r="S90" s="216"/>
      <c r="T90" s="216"/>
      <c r="U90" s="216"/>
      <c r="V90" s="216"/>
      <c r="W90" s="216"/>
      <c r="X90" s="216"/>
      <c r="Y90" s="216"/>
      <c r="Z90" s="216"/>
    </row>
    <row r="91" spans="1:26" ht="15.75" customHeight="1">
      <c r="A91" s="134" t="s">
        <v>3258</v>
      </c>
      <c r="B91" s="133" t="s">
        <v>141</v>
      </c>
      <c r="C91" s="133">
        <v>12</v>
      </c>
      <c r="D91" s="100">
        <f>12*2*28</f>
        <v>672</v>
      </c>
      <c r="E91" s="528">
        <v>672</v>
      </c>
      <c r="F91" s="216" t="str">
        <f t="shared" si="2"/>
        <v>Neghina Catalina</v>
      </c>
      <c r="G91" s="216"/>
      <c r="H91" s="216"/>
      <c r="I91" s="216"/>
      <c r="J91" s="216"/>
      <c r="K91" s="216"/>
      <c r="L91" s="216"/>
      <c r="M91" s="216"/>
      <c r="N91" s="216"/>
      <c r="O91" s="216"/>
      <c r="P91" s="216"/>
      <c r="Q91" s="216"/>
      <c r="R91" s="216"/>
      <c r="S91" s="216"/>
      <c r="T91" s="216"/>
      <c r="U91" s="216"/>
      <c r="V91" s="216"/>
      <c r="W91" s="216"/>
      <c r="X91" s="216"/>
      <c r="Y91" s="216"/>
      <c r="Z91" s="216"/>
    </row>
    <row r="92" spans="1:26" ht="15.75" customHeight="1">
      <c r="A92" s="134" t="s">
        <v>1272</v>
      </c>
      <c r="B92" s="133" t="s">
        <v>141</v>
      </c>
      <c r="C92" s="133">
        <v>7</v>
      </c>
      <c r="D92" s="116">
        <v>392</v>
      </c>
      <c r="E92" s="528">
        <v>392</v>
      </c>
      <c r="F92" s="216" t="str">
        <f t="shared" si="2"/>
        <v>Zamfirescu Bălă-Constantin</v>
      </c>
      <c r="G92" s="216"/>
      <c r="H92" s="216"/>
      <c r="I92" s="216"/>
      <c r="J92" s="216"/>
      <c r="K92" s="216"/>
      <c r="L92" s="216"/>
      <c r="M92" s="216"/>
      <c r="N92" s="216"/>
      <c r="O92" s="216"/>
      <c r="P92" s="216"/>
      <c r="Q92" s="216"/>
      <c r="R92" s="216"/>
      <c r="S92" s="216"/>
      <c r="T92" s="216"/>
      <c r="U92" s="216"/>
      <c r="V92" s="216"/>
      <c r="W92" s="216"/>
      <c r="X92" s="216"/>
      <c r="Y92" s="216"/>
      <c r="Z92" s="216"/>
    </row>
    <row r="93" spans="1:26" ht="15.75" customHeight="1">
      <c r="A93" s="134" t="s">
        <v>1273</v>
      </c>
      <c r="B93" s="133" t="s">
        <v>141</v>
      </c>
      <c r="C93" s="133">
        <v>10</v>
      </c>
      <c r="D93" s="100">
        <v>560</v>
      </c>
      <c r="E93" s="528">
        <v>560</v>
      </c>
      <c r="F93" s="216" t="str">
        <f t="shared" si="2"/>
        <v>Mihai Neghina</v>
      </c>
      <c r="G93" s="216"/>
      <c r="H93" s="216"/>
      <c r="I93" s="216"/>
      <c r="J93" s="216"/>
      <c r="K93" s="216"/>
      <c r="L93" s="216"/>
      <c r="M93" s="216"/>
      <c r="N93" s="216"/>
      <c r="O93" s="216"/>
      <c r="P93" s="216"/>
      <c r="Q93" s="216"/>
      <c r="R93" s="216"/>
      <c r="S93" s="216"/>
      <c r="T93" s="216"/>
      <c r="U93" s="216"/>
      <c r="V93" s="216"/>
      <c r="W93" s="216"/>
      <c r="X93" s="216"/>
      <c r="Y93" s="216"/>
      <c r="Z93" s="216"/>
    </row>
    <row r="94" spans="1:26" ht="15.75" customHeight="1">
      <c r="A94" s="107" t="s">
        <v>3415</v>
      </c>
      <c r="B94" s="108" t="s">
        <v>141</v>
      </c>
      <c r="C94" s="133">
        <v>15</v>
      </c>
      <c r="D94" s="100">
        <v>840</v>
      </c>
      <c r="E94" s="100">
        <v>840</v>
      </c>
      <c r="F94" s="216" t="str">
        <f t="shared" si="2"/>
        <v>Panu Mihai</v>
      </c>
      <c r="G94" s="216"/>
      <c r="H94" s="216"/>
      <c r="I94" s="216"/>
      <c r="J94" s="216"/>
      <c r="K94" s="216"/>
      <c r="L94" s="216"/>
      <c r="M94" s="216"/>
      <c r="N94" s="216"/>
      <c r="O94" s="216"/>
      <c r="P94" s="216"/>
      <c r="Q94" s="216"/>
      <c r="R94" s="216"/>
      <c r="S94" s="216"/>
      <c r="T94" s="216"/>
      <c r="U94" s="216"/>
      <c r="V94" s="216"/>
      <c r="W94" s="216"/>
      <c r="X94" s="216"/>
      <c r="Y94" s="216"/>
      <c r="Z94" s="216"/>
    </row>
    <row r="95" spans="1:26" ht="15.75" customHeight="1">
      <c r="A95" s="134" t="s">
        <v>3417</v>
      </c>
      <c r="B95" s="133" t="s">
        <v>141</v>
      </c>
      <c r="C95" s="133">
        <v>12</v>
      </c>
      <c r="D95" s="100">
        <f>C95*56</f>
        <v>672</v>
      </c>
      <c r="E95" s="528">
        <f>D95</f>
        <v>672</v>
      </c>
      <c r="F95" s="216" t="str">
        <f t="shared" si="2"/>
        <v>Pitic Antoniu</v>
      </c>
      <c r="G95" s="216"/>
      <c r="H95" s="216"/>
      <c r="I95" s="216"/>
      <c r="J95" s="216"/>
      <c r="K95" s="216"/>
      <c r="L95" s="216"/>
      <c r="M95" s="216"/>
      <c r="N95" s="216"/>
      <c r="O95" s="216"/>
      <c r="P95" s="216"/>
      <c r="Q95" s="216"/>
      <c r="R95" s="216"/>
      <c r="S95" s="216"/>
      <c r="T95" s="216"/>
      <c r="U95" s="216"/>
      <c r="V95" s="216"/>
      <c r="W95" s="216"/>
      <c r="X95" s="216"/>
      <c r="Y95" s="216"/>
      <c r="Z95" s="216"/>
    </row>
    <row r="96" spans="1:26" ht="15.75" customHeight="1">
      <c r="A96" s="134" t="s">
        <v>906</v>
      </c>
      <c r="B96" s="133" t="s">
        <v>141</v>
      </c>
      <c r="C96" s="162">
        <v>11</v>
      </c>
      <c r="D96" s="100" t="s">
        <v>7671</v>
      </c>
      <c r="E96" s="528">
        <f>11*2*28</f>
        <v>616</v>
      </c>
      <c r="F96" s="216" t="str">
        <f t="shared" si="2"/>
        <v>Vintan Maria</v>
      </c>
      <c r="G96" s="1"/>
      <c r="H96" s="1"/>
      <c r="I96" s="216"/>
      <c r="J96" s="216"/>
      <c r="K96" s="216"/>
      <c r="L96" s="216"/>
      <c r="M96" s="216"/>
      <c r="N96" s="216"/>
      <c r="O96" s="216"/>
      <c r="P96" s="216"/>
      <c r="Q96" s="216"/>
      <c r="R96" s="216"/>
      <c r="S96" s="216"/>
      <c r="T96" s="216"/>
      <c r="U96" s="216"/>
      <c r="V96" s="216"/>
      <c r="W96" s="216"/>
      <c r="X96" s="216"/>
      <c r="Y96" s="216"/>
      <c r="Z96" s="216"/>
    </row>
    <row r="97" spans="1:26" ht="14.25" customHeight="1">
      <c r="A97" s="134" t="s">
        <v>3450</v>
      </c>
      <c r="B97" s="133" t="s">
        <v>141</v>
      </c>
      <c r="C97" s="133">
        <v>15.5</v>
      </c>
      <c r="D97" s="100">
        <v>868</v>
      </c>
      <c r="E97" s="528">
        <v>868</v>
      </c>
      <c r="F97" s="216" t="str">
        <f t="shared" si="2"/>
        <v>Viorel Alina</v>
      </c>
      <c r="G97" s="216"/>
      <c r="H97" s="216"/>
      <c r="I97" s="64"/>
      <c r="J97" s="64"/>
      <c r="K97" s="64"/>
      <c r="L97" s="64"/>
      <c r="M97" s="64"/>
      <c r="N97" s="64"/>
      <c r="O97" s="64"/>
      <c r="P97" s="64"/>
      <c r="Q97" s="64"/>
      <c r="R97" s="64"/>
      <c r="S97" s="64"/>
      <c r="T97" s="64"/>
      <c r="U97" s="64"/>
      <c r="V97" s="64"/>
      <c r="W97" s="64"/>
      <c r="X97" s="64"/>
      <c r="Y97" s="64"/>
      <c r="Z97" s="216"/>
    </row>
    <row r="98" spans="1:26" ht="15.75" customHeight="1">
      <c r="A98" s="134" t="s">
        <v>1204</v>
      </c>
      <c r="B98" s="133" t="s">
        <v>141</v>
      </c>
      <c r="C98" s="133">
        <v>9</v>
      </c>
      <c r="D98" s="100">
        <v>504</v>
      </c>
      <c r="E98" s="528">
        <v>504</v>
      </c>
      <c r="F98" s="216" t="str">
        <f t="shared" si="2"/>
        <v>Volovici Daniel</v>
      </c>
      <c r="G98" s="1"/>
      <c r="H98" s="1"/>
      <c r="I98" s="216"/>
      <c r="J98" s="216"/>
      <c r="K98" s="216"/>
      <c r="L98" s="216"/>
      <c r="M98" s="216"/>
      <c r="N98" s="216"/>
      <c r="O98" s="216"/>
      <c r="P98" s="216"/>
      <c r="Q98" s="216"/>
      <c r="R98" s="216"/>
      <c r="S98" s="216"/>
      <c r="T98" s="216"/>
      <c r="U98" s="216"/>
      <c r="V98" s="216"/>
      <c r="W98" s="216"/>
      <c r="X98" s="216"/>
      <c r="Y98" s="216"/>
      <c r="Z98" s="216"/>
    </row>
    <row r="99" spans="1:26" ht="15.75" customHeight="1">
      <c r="A99" s="134" t="s">
        <v>6654</v>
      </c>
      <c r="B99" s="133" t="s">
        <v>141</v>
      </c>
      <c r="C99" s="133" t="s">
        <v>7617</v>
      </c>
      <c r="D99" s="100" t="s">
        <v>7672</v>
      </c>
      <c r="E99" s="528">
        <v>560</v>
      </c>
      <c r="F99" s="216" t="s">
        <v>6654</v>
      </c>
      <c r="G99" s="1"/>
      <c r="H99" s="1"/>
      <c r="I99" s="216"/>
      <c r="J99" s="216"/>
      <c r="K99" s="216"/>
      <c r="L99" s="216"/>
      <c r="M99" s="216"/>
      <c r="N99" s="216"/>
      <c r="O99" s="216"/>
      <c r="P99" s="216"/>
      <c r="Q99" s="216"/>
      <c r="R99" s="216"/>
      <c r="S99" s="216"/>
      <c r="T99" s="216"/>
      <c r="U99" s="216"/>
      <c r="V99" s="216"/>
      <c r="W99" s="216"/>
      <c r="X99" s="216"/>
      <c r="Y99" s="216"/>
      <c r="Z99" s="216"/>
    </row>
    <row r="100" spans="1:26" ht="15.75" customHeight="1">
      <c r="A100" s="107" t="s">
        <v>7619</v>
      </c>
      <c r="B100" s="108" t="s">
        <v>141</v>
      </c>
      <c r="C100" s="133">
        <v>16</v>
      </c>
      <c r="D100" s="100">
        <v>896</v>
      </c>
      <c r="E100" s="528">
        <v>896</v>
      </c>
      <c r="F100" s="216" t="s">
        <v>7620</v>
      </c>
      <c r="G100" s="1"/>
      <c r="H100" s="1"/>
      <c r="I100" s="216"/>
      <c r="J100" s="216"/>
      <c r="K100" s="216"/>
      <c r="L100" s="216"/>
      <c r="M100" s="216"/>
      <c r="N100" s="216"/>
      <c r="O100" s="216"/>
      <c r="P100" s="216"/>
      <c r="Q100" s="216"/>
      <c r="R100" s="216"/>
      <c r="S100" s="216"/>
      <c r="T100" s="216"/>
      <c r="U100" s="216"/>
      <c r="V100" s="216"/>
      <c r="W100" s="216"/>
      <c r="X100" s="216"/>
      <c r="Y100" s="216"/>
      <c r="Z100" s="216"/>
    </row>
    <row r="101" spans="1:26" ht="15" customHeight="1">
      <c r="A101" s="134" t="s">
        <v>114</v>
      </c>
      <c r="B101" s="133" t="s">
        <v>105</v>
      </c>
      <c r="C101" s="133">
        <v>10</v>
      </c>
      <c r="D101" s="100" t="s">
        <v>7673</v>
      </c>
      <c r="E101" s="528">
        <f>10*28*2</f>
        <v>560</v>
      </c>
      <c r="F101" s="338" t="s">
        <v>114</v>
      </c>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5" customHeight="1">
      <c r="A102" s="133" t="s">
        <v>139</v>
      </c>
      <c r="B102" s="133" t="s">
        <v>105</v>
      </c>
      <c r="C102" s="99">
        <v>13</v>
      </c>
      <c r="D102" s="116" t="s">
        <v>7674</v>
      </c>
      <c r="E102" s="528">
        <f t="shared" ref="E102:E103" si="4">13*2*28</f>
        <v>728</v>
      </c>
      <c r="F102" s="338" t="s">
        <v>916</v>
      </c>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5" customHeight="1">
      <c r="A103" s="134" t="s">
        <v>6669</v>
      </c>
      <c r="B103" s="133" t="s">
        <v>105</v>
      </c>
      <c r="C103" s="99">
        <v>13</v>
      </c>
      <c r="D103" s="100" t="s">
        <v>7674</v>
      </c>
      <c r="E103" s="528">
        <f t="shared" si="4"/>
        <v>728</v>
      </c>
      <c r="F103" s="338" t="s">
        <v>931</v>
      </c>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5" customHeight="1">
      <c r="A104" s="134" t="s">
        <v>952</v>
      </c>
      <c r="B104" s="133" t="s">
        <v>105</v>
      </c>
      <c r="C104" s="99">
        <v>10.5</v>
      </c>
      <c r="D104" s="100" t="s">
        <v>7675</v>
      </c>
      <c r="E104" s="528">
        <f>10.5*2*28</f>
        <v>588</v>
      </c>
      <c r="F104" s="338" t="s">
        <v>952</v>
      </c>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5" customHeight="1">
      <c r="A105" s="134" t="s">
        <v>123</v>
      </c>
      <c r="B105" s="133" t="s">
        <v>105</v>
      </c>
      <c r="C105" s="99">
        <v>14</v>
      </c>
      <c r="D105" s="100" t="s">
        <v>7676</v>
      </c>
      <c r="E105" s="528">
        <f>14*2*28</f>
        <v>784</v>
      </c>
      <c r="F105" s="338" t="s">
        <v>123</v>
      </c>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15" customHeight="1">
      <c r="A106" s="134" t="s">
        <v>6722</v>
      </c>
      <c r="B106" s="99" t="s">
        <v>105</v>
      </c>
      <c r="C106" s="99">
        <v>7</v>
      </c>
      <c r="D106" s="100">
        <f>7*2*28</f>
        <v>392</v>
      </c>
      <c r="E106" s="528">
        <f>D106</f>
        <v>392</v>
      </c>
      <c r="F106" s="338" t="s">
        <v>104</v>
      </c>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5" customHeight="1">
      <c r="A107" s="134" t="s">
        <v>132</v>
      </c>
      <c r="B107" s="133" t="s">
        <v>105</v>
      </c>
      <c r="C107" s="99">
        <v>12</v>
      </c>
      <c r="D107" s="100" t="s">
        <v>7677</v>
      </c>
      <c r="E107" s="528">
        <f>12*2*28</f>
        <v>672</v>
      </c>
      <c r="F107" s="338" t="s">
        <v>132</v>
      </c>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5" customHeight="1">
      <c r="A108" s="134" t="s">
        <v>7262</v>
      </c>
      <c r="B108" s="133" t="s">
        <v>105</v>
      </c>
      <c r="C108" s="133" t="s">
        <v>7626</v>
      </c>
      <c r="D108" s="100" t="s">
        <v>7678</v>
      </c>
      <c r="E108" s="528">
        <v>448</v>
      </c>
      <c r="F108" s="338" t="s">
        <v>971</v>
      </c>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5" customHeight="1">
      <c r="A109" s="134" t="s">
        <v>7628</v>
      </c>
      <c r="B109" s="133" t="s">
        <v>105</v>
      </c>
      <c r="C109" s="133">
        <v>16</v>
      </c>
      <c r="D109" s="100" t="s">
        <v>7679</v>
      </c>
      <c r="E109" s="528">
        <f>16*2*28</f>
        <v>896</v>
      </c>
      <c r="F109" s="338" t="s">
        <v>124</v>
      </c>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5" customHeight="1">
      <c r="A110" s="134" t="s">
        <v>7263</v>
      </c>
      <c r="B110" s="133" t="s">
        <v>105</v>
      </c>
      <c r="C110" s="133">
        <v>15</v>
      </c>
      <c r="D110" s="100" t="s">
        <v>7680</v>
      </c>
      <c r="E110" s="528">
        <v>840</v>
      </c>
      <c r="F110" s="338" t="s">
        <v>125</v>
      </c>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5" customHeight="1">
      <c r="A111" s="134" t="s">
        <v>7266</v>
      </c>
      <c r="B111" s="99" t="s">
        <v>105</v>
      </c>
      <c r="C111" s="99">
        <v>10</v>
      </c>
      <c r="D111" s="100" t="s">
        <v>7681</v>
      </c>
      <c r="E111" s="528">
        <v>560</v>
      </c>
      <c r="F111" s="338" t="s">
        <v>118</v>
      </c>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5" customHeight="1">
      <c r="A112" s="134" t="s">
        <v>6796</v>
      </c>
      <c r="B112" s="133" t="s">
        <v>105</v>
      </c>
      <c r="C112" s="133">
        <v>10</v>
      </c>
      <c r="D112" s="100" t="s">
        <v>7681</v>
      </c>
      <c r="E112" s="528">
        <f>10*2*28</f>
        <v>560</v>
      </c>
      <c r="F112" s="338" t="s">
        <v>126</v>
      </c>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5" customHeight="1">
      <c r="A113" s="134" t="s">
        <v>127</v>
      </c>
      <c r="B113" s="133" t="s">
        <v>3753</v>
      </c>
      <c r="C113" s="133">
        <v>12</v>
      </c>
      <c r="D113" s="100" t="s">
        <v>7682</v>
      </c>
      <c r="E113" s="528">
        <v>672</v>
      </c>
      <c r="F113" s="338" t="s">
        <v>127</v>
      </c>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5" customHeight="1">
      <c r="A114" s="134" t="s">
        <v>107</v>
      </c>
      <c r="B114" s="133" t="s">
        <v>105</v>
      </c>
      <c r="C114" s="133">
        <v>16</v>
      </c>
      <c r="D114" s="100" t="s">
        <v>7679</v>
      </c>
      <c r="E114" s="528">
        <f>16*2*28</f>
        <v>896</v>
      </c>
      <c r="F114" s="338" t="s">
        <v>107</v>
      </c>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5" customHeight="1">
      <c r="A115" s="134" t="s">
        <v>128</v>
      </c>
      <c r="B115" s="99" t="s">
        <v>105</v>
      </c>
      <c r="C115" s="99">
        <v>16</v>
      </c>
      <c r="D115" s="100" t="s">
        <v>7679</v>
      </c>
      <c r="E115" s="528">
        <v>896</v>
      </c>
      <c r="F115" s="338" t="s">
        <v>128</v>
      </c>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5" customHeight="1">
      <c r="A116" s="134" t="s">
        <v>109</v>
      </c>
      <c r="B116" s="133" t="s">
        <v>105</v>
      </c>
      <c r="C116" s="133">
        <v>16</v>
      </c>
      <c r="D116" s="100" t="s">
        <v>7679</v>
      </c>
      <c r="E116" s="528">
        <v>896</v>
      </c>
      <c r="F116" s="338" t="s">
        <v>109</v>
      </c>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5" customHeight="1">
      <c r="A117" s="134" t="s">
        <v>6823</v>
      </c>
      <c r="B117" s="133" t="s">
        <v>105</v>
      </c>
      <c r="C117" s="133">
        <v>8</v>
      </c>
      <c r="D117" s="100" t="s">
        <v>7665</v>
      </c>
      <c r="E117" s="528">
        <f>8*2*28</f>
        <v>448</v>
      </c>
      <c r="F117" s="338" t="s">
        <v>119</v>
      </c>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5" customHeight="1">
      <c r="A118" s="134" t="s">
        <v>7637</v>
      </c>
      <c r="B118" s="133" t="s">
        <v>105</v>
      </c>
      <c r="C118" s="133">
        <v>16</v>
      </c>
      <c r="D118" s="100" t="s">
        <v>7683</v>
      </c>
      <c r="E118" s="528">
        <v>896</v>
      </c>
      <c r="F118" s="338" t="s">
        <v>129</v>
      </c>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5" customHeight="1">
      <c r="A119" s="134" t="s">
        <v>110</v>
      </c>
      <c r="B119" s="99" t="s">
        <v>105</v>
      </c>
      <c r="C119" s="99">
        <v>10</v>
      </c>
      <c r="D119" s="100">
        <f>C119*2*28</f>
        <v>560</v>
      </c>
      <c r="E119" s="528">
        <f>D119</f>
        <v>560</v>
      </c>
      <c r="F119" s="338" t="s">
        <v>110</v>
      </c>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15" customHeight="1">
      <c r="A120" s="134" t="s">
        <v>7639</v>
      </c>
      <c r="B120" s="133" t="s">
        <v>105</v>
      </c>
      <c r="C120" s="99">
        <v>13</v>
      </c>
      <c r="D120" s="100" t="s">
        <v>7674</v>
      </c>
      <c r="E120" s="528">
        <f>13*2*28</f>
        <v>728</v>
      </c>
      <c r="F120" s="338" t="s">
        <v>1005</v>
      </c>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5" customHeight="1">
      <c r="A121" s="134" t="s">
        <v>130</v>
      </c>
      <c r="B121" s="133" t="s">
        <v>105</v>
      </c>
      <c r="C121" s="99">
        <v>13</v>
      </c>
      <c r="D121" s="100" t="s">
        <v>7674</v>
      </c>
      <c r="E121" s="528">
        <v>728</v>
      </c>
      <c r="F121" s="338" t="s">
        <v>130</v>
      </c>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5" customHeight="1">
      <c r="A122" s="134" t="s">
        <v>138</v>
      </c>
      <c r="B122" s="133" t="s">
        <v>105</v>
      </c>
      <c r="C122" s="99">
        <v>13</v>
      </c>
      <c r="D122" s="100" t="s">
        <v>7674</v>
      </c>
      <c r="E122" s="528">
        <f>13*2*28</f>
        <v>728</v>
      </c>
      <c r="F122" s="338" t="s">
        <v>138</v>
      </c>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15" customHeight="1">
      <c r="A123" s="134" t="s">
        <v>111</v>
      </c>
      <c r="B123" s="133" t="s">
        <v>105</v>
      </c>
      <c r="C123" s="99">
        <v>7</v>
      </c>
      <c r="D123" s="116">
        <v>392</v>
      </c>
      <c r="E123" s="528">
        <v>392</v>
      </c>
      <c r="F123" s="338" t="s">
        <v>111</v>
      </c>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5" customHeight="1">
      <c r="A124" s="447" t="s">
        <v>7640</v>
      </c>
      <c r="B124" s="162" t="s">
        <v>105</v>
      </c>
      <c r="C124" s="162">
        <v>7.25</v>
      </c>
      <c r="D124" s="116">
        <f>C124*2*28</f>
        <v>406</v>
      </c>
      <c r="E124" s="186">
        <f>D124</f>
        <v>406</v>
      </c>
      <c r="F124" s="338" t="s">
        <v>112</v>
      </c>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5" customHeight="1">
      <c r="A125" s="134" t="s">
        <v>120</v>
      </c>
      <c r="B125" s="133" t="s">
        <v>105</v>
      </c>
      <c r="C125" s="133" t="s">
        <v>7641</v>
      </c>
      <c r="D125" s="100" t="s">
        <v>7684</v>
      </c>
      <c r="E125" s="528">
        <v>784</v>
      </c>
      <c r="F125" s="338" t="s">
        <v>120</v>
      </c>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5" customHeight="1">
      <c r="A126" s="134" t="s">
        <v>6907</v>
      </c>
      <c r="B126" s="133" t="s">
        <v>105</v>
      </c>
      <c r="C126" s="133">
        <v>7</v>
      </c>
      <c r="D126" s="100" t="s">
        <v>7659</v>
      </c>
      <c r="E126" s="528">
        <f>7*2*28</f>
        <v>392</v>
      </c>
      <c r="F126" s="338" t="s">
        <v>113</v>
      </c>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5" customHeight="1">
      <c r="A127" s="134" t="s">
        <v>131</v>
      </c>
      <c r="B127" s="133" t="s">
        <v>105</v>
      </c>
      <c r="C127" s="99">
        <v>10</v>
      </c>
      <c r="D127" s="100">
        <f>C127*2*28</f>
        <v>560</v>
      </c>
      <c r="E127" s="528">
        <f>C127*2*28</f>
        <v>560</v>
      </c>
      <c r="F127" s="338" t="s">
        <v>131</v>
      </c>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5" customHeight="1">
      <c r="A128" s="134" t="s">
        <v>133</v>
      </c>
      <c r="B128" s="133" t="s">
        <v>105</v>
      </c>
      <c r="C128" s="99">
        <v>14</v>
      </c>
      <c r="D128" s="100" t="s">
        <v>7684</v>
      </c>
      <c r="E128" s="528">
        <f>14*2*28</f>
        <v>784</v>
      </c>
      <c r="F128" s="338" t="s">
        <v>133</v>
      </c>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15" customHeight="1">
      <c r="A129" s="134" t="s">
        <v>1278</v>
      </c>
      <c r="B129" s="133" t="s">
        <v>105</v>
      </c>
      <c r="C129" s="133">
        <v>10</v>
      </c>
      <c r="D129" s="100" t="s">
        <v>7681</v>
      </c>
      <c r="E129" s="528">
        <v>560</v>
      </c>
      <c r="F129" s="338" t="s">
        <v>134</v>
      </c>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15.75" customHeight="1"/>
    <row r="131" spans="1:26" ht="15" customHeight="1">
      <c r="A131" s="332" t="s">
        <v>169</v>
      </c>
      <c r="E131" s="1116">
        <f>SUM(E9:E129)</f>
        <v>64820</v>
      </c>
    </row>
    <row r="132" spans="1:26" ht="15.75" customHeight="1"/>
    <row r="133" spans="1:26" ht="15" customHeight="1">
      <c r="A133" s="1231" t="s">
        <v>1156</v>
      </c>
      <c r="B133" s="1232"/>
      <c r="C133" s="1232"/>
      <c r="D133" s="1232"/>
      <c r="E133" s="1232"/>
      <c r="F133" s="1232"/>
      <c r="G133" s="1232"/>
      <c r="H133" s="1233"/>
    </row>
    <row r="134" spans="1:26" ht="15.75" customHeight="1"/>
    <row r="135" spans="1:26" ht="15.75" customHeight="1"/>
    <row r="136" spans="1:26" ht="15.75" customHeight="1"/>
    <row r="137" spans="1:26" ht="15.75" customHeight="1"/>
    <row r="138" spans="1:26" ht="15.75" customHeight="1"/>
    <row r="139" spans="1:26" ht="15.75" customHeight="1"/>
    <row r="140" spans="1:26" ht="15.75" customHeight="1"/>
    <row r="141" spans="1:26" ht="15.75" customHeight="1"/>
    <row r="142" spans="1:26" ht="15.75" customHeight="1"/>
    <row r="143" spans="1:26" ht="15.75" customHeight="1"/>
    <row r="144" spans="1:26"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33:H133"/>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Z1507"/>
  <sheetViews>
    <sheetView workbookViewId="0"/>
  </sheetViews>
  <sheetFormatPr defaultColWidth="14.3984375" defaultRowHeight="15" customHeight="1"/>
  <cols>
    <col min="1" max="1" width="23.73046875" customWidth="1"/>
    <col min="2" max="2" width="14.59765625" customWidth="1"/>
    <col min="3" max="3" width="37.86328125" customWidth="1"/>
    <col min="4" max="5" width="34.3984375" customWidth="1"/>
    <col min="6" max="6" width="36" customWidth="1"/>
    <col min="7" max="9" width="13.73046875" customWidth="1"/>
    <col min="10" max="26" width="8" customWidth="1"/>
  </cols>
  <sheetData>
    <row r="1" spans="1:26" ht="14.25">
      <c r="A1" s="64"/>
      <c r="B1" s="64"/>
      <c r="C1" s="65"/>
      <c r="D1" s="65"/>
      <c r="E1" s="65"/>
      <c r="F1" s="65"/>
      <c r="G1" s="1"/>
      <c r="H1" s="1"/>
      <c r="I1" s="1"/>
    </row>
    <row r="2" spans="1:26" ht="15.75" customHeight="1">
      <c r="A2" s="1234" t="s">
        <v>7685</v>
      </c>
      <c r="B2" s="1227"/>
      <c r="C2" s="1227"/>
      <c r="D2" s="1227"/>
      <c r="E2" s="1227"/>
      <c r="F2" s="1228"/>
      <c r="G2" s="1114"/>
      <c r="H2" s="1114"/>
      <c r="I2" s="1114"/>
      <c r="J2" s="69"/>
      <c r="K2" s="69"/>
      <c r="L2" s="69"/>
      <c r="M2" s="69"/>
      <c r="N2" s="69"/>
      <c r="O2" s="69"/>
      <c r="P2" s="69"/>
      <c r="Q2" s="69"/>
      <c r="R2" s="69"/>
      <c r="S2" s="69"/>
      <c r="T2" s="69"/>
      <c r="U2" s="69"/>
      <c r="V2" s="69"/>
      <c r="W2" s="69"/>
      <c r="X2" s="69"/>
      <c r="Y2" s="69"/>
      <c r="Z2" s="69"/>
    </row>
    <row r="3" spans="1:26" ht="15.75" customHeight="1">
      <c r="A3" s="375"/>
      <c r="B3" s="375"/>
      <c r="C3" s="375"/>
      <c r="D3" s="375"/>
      <c r="E3" s="375"/>
      <c r="F3" s="1115"/>
      <c r="G3" s="1114"/>
      <c r="H3" s="1114"/>
      <c r="I3" s="1114"/>
      <c r="J3" s="69"/>
      <c r="K3" s="69"/>
      <c r="L3" s="69"/>
      <c r="M3" s="69"/>
      <c r="N3" s="69"/>
      <c r="O3" s="69"/>
      <c r="P3" s="69"/>
      <c r="Q3" s="69"/>
      <c r="R3" s="69"/>
      <c r="S3" s="69"/>
      <c r="T3" s="69"/>
      <c r="U3" s="69"/>
      <c r="V3" s="69"/>
      <c r="W3" s="69"/>
      <c r="X3" s="69"/>
      <c r="Y3" s="69"/>
      <c r="Z3" s="69"/>
    </row>
    <row r="4" spans="1:26" ht="18" customHeight="1">
      <c r="A4" s="1244" t="s">
        <v>7686</v>
      </c>
      <c r="B4" s="1227"/>
      <c r="C4" s="1227"/>
      <c r="D4" s="1227"/>
      <c r="E4" s="1227"/>
      <c r="F4" s="1228"/>
      <c r="G4" s="1114"/>
      <c r="H4" s="1114"/>
      <c r="I4" s="1114"/>
      <c r="J4" s="69"/>
      <c r="K4" s="69"/>
      <c r="L4" s="69"/>
      <c r="M4" s="69"/>
      <c r="N4" s="69"/>
      <c r="O4" s="69"/>
      <c r="P4" s="69"/>
      <c r="Q4" s="69"/>
      <c r="R4" s="69"/>
      <c r="S4" s="69"/>
      <c r="T4" s="69"/>
      <c r="U4" s="69"/>
      <c r="V4" s="69"/>
      <c r="W4" s="69"/>
      <c r="X4" s="69"/>
      <c r="Y4" s="69"/>
      <c r="Z4" s="69"/>
    </row>
    <row r="5" spans="1:26" ht="16.5" customHeight="1">
      <c r="A5" s="1244" t="s">
        <v>7687</v>
      </c>
      <c r="B5" s="1227"/>
      <c r="C5" s="1227"/>
      <c r="D5" s="1227"/>
      <c r="E5" s="1227"/>
      <c r="F5" s="1228"/>
      <c r="G5" s="1114"/>
      <c r="H5" s="1114"/>
      <c r="I5" s="1114"/>
      <c r="J5" s="69"/>
      <c r="K5" s="69"/>
      <c r="L5" s="69"/>
      <c r="M5" s="69"/>
      <c r="N5" s="69"/>
      <c r="O5" s="69"/>
      <c r="P5" s="69"/>
      <c r="Q5" s="69"/>
      <c r="R5" s="69"/>
      <c r="S5" s="69"/>
      <c r="T5" s="69"/>
      <c r="U5" s="69"/>
      <c r="V5" s="69"/>
      <c r="W5" s="69"/>
      <c r="X5" s="69"/>
      <c r="Y5" s="69"/>
      <c r="Z5" s="69"/>
    </row>
    <row r="6" spans="1:26" ht="21.75" customHeight="1">
      <c r="A6" s="1244" t="s">
        <v>7688</v>
      </c>
      <c r="B6" s="1227"/>
      <c r="C6" s="1227"/>
      <c r="D6" s="1227"/>
      <c r="E6" s="1227"/>
      <c r="F6" s="1228"/>
      <c r="G6" s="1114"/>
      <c r="H6" s="1114"/>
      <c r="I6" s="1114"/>
      <c r="J6" s="69"/>
      <c r="K6" s="69"/>
      <c r="L6" s="69"/>
      <c r="M6" s="69"/>
      <c r="N6" s="69"/>
      <c r="O6" s="69"/>
      <c r="P6" s="69"/>
      <c r="Q6" s="69"/>
      <c r="R6" s="69"/>
      <c r="S6" s="69"/>
      <c r="T6" s="69"/>
      <c r="U6" s="69"/>
      <c r="V6" s="69"/>
      <c r="W6" s="69"/>
      <c r="X6" s="69"/>
      <c r="Y6" s="69"/>
      <c r="Z6" s="69"/>
    </row>
    <row r="7" spans="1:26" ht="21.75" customHeight="1">
      <c r="A7" s="1244" t="s">
        <v>7689</v>
      </c>
      <c r="B7" s="1227"/>
      <c r="C7" s="1227"/>
      <c r="D7" s="1227"/>
      <c r="E7" s="1227"/>
      <c r="F7" s="1228"/>
      <c r="G7" s="1114"/>
      <c r="H7" s="1114"/>
      <c r="I7" s="1114"/>
      <c r="J7" s="69"/>
      <c r="K7" s="69"/>
      <c r="L7" s="69"/>
      <c r="M7" s="69"/>
      <c r="N7" s="69"/>
      <c r="O7" s="69"/>
      <c r="P7" s="69"/>
      <c r="Q7" s="69"/>
      <c r="R7" s="69"/>
      <c r="S7" s="69"/>
      <c r="T7" s="69"/>
      <c r="U7" s="69"/>
      <c r="V7" s="69"/>
      <c r="W7" s="69"/>
      <c r="X7" s="69"/>
      <c r="Y7" s="69"/>
      <c r="Z7" s="69"/>
    </row>
    <row r="8" spans="1:26" ht="21.75" customHeight="1">
      <c r="A8" s="1244" t="s">
        <v>7690</v>
      </c>
      <c r="B8" s="1227"/>
      <c r="C8" s="1227"/>
      <c r="D8" s="1227"/>
      <c r="E8" s="1227"/>
      <c r="F8" s="1228"/>
      <c r="G8" s="1114"/>
      <c r="H8" s="1114"/>
      <c r="I8" s="1114"/>
      <c r="J8" s="69"/>
      <c r="K8" s="69"/>
      <c r="L8" s="69"/>
      <c r="M8" s="69"/>
      <c r="N8" s="69"/>
      <c r="O8" s="69"/>
      <c r="P8" s="69"/>
      <c r="Q8" s="69"/>
      <c r="R8" s="69"/>
      <c r="S8" s="69"/>
      <c r="T8" s="69"/>
      <c r="U8" s="69"/>
      <c r="V8" s="69"/>
      <c r="W8" s="69"/>
      <c r="X8" s="69"/>
      <c r="Y8" s="69"/>
      <c r="Z8" s="69"/>
    </row>
    <row r="9" spans="1:26" ht="18.75" customHeight="1">
      <c r="A9" s="1244" t="s">
        <v>7691</v>
      </c>
      <c r="B9" s="1227"/>
      <c r="C9" s="1227"/>
      <c r="D9" s="1227"/>
      <c r="E9" s="1227"/>
      <c r="F9" s="1228"/>
      <c r="G9" s="1114"/>
      <c r="H9" s="1114"/>
      <c r="I9" s="1114"/>
      <c r="J9" s="69"/>
      <c r="K9" s="69"/>
      <c r="L9" s="69"/>
      <c r="M9" s="69"/>
      <c r="N9" s="69"/>
      <c r="O9" s="69"/>
      <c r="P9" s="69"/>
      <c r="Q9" s="69"/>
      <c r="R9" s="69"/>
      <c r="S9" s="69"/>
      <c r="T9" s="69"/>
      <c r="U9" s="69"/>
      <c r="V9" s="69"/>
      <c r="W9" s="69"/>
      <c r="X9" s="69"/>
      <c r="Y9" s="69"/>
      <c r="Z9" s="69"/>
    </row>
    <row r="10" spans="1:26" ht="27" customHeight="1">
      <c r="A10" s="1259" t="s">
        <v>7692</v>
      </c>
      <c r="B10" s="1227"/>
      <c r="C10" s="1227"/>
      <c r="D10" s="1227"/>
      <c r="E10" s="1227"/>
      <c r="F10" s="1228"/>
      <c r="G10" s="1114"/>
      <c r="H10" s="1114"/>
      <c r="I10" s="1114"/>
      <c r="J10" s="69"/>
      <c r="K10" s="69"/>
      <c r="L10" s="69"/>
      <c r="M10" s="69"/>
      <c r="N10" s="69"/>
      <c r="O10" s="69"/>
      <c r="P10" s="69"/>
      <c r="Q10" s="69"/>
      <c r="R10" s="69"/>
      <c r="S10" s="69"/>
      <c r="T10" s="69"/>
      <c r="U10" s="69"/>
      <c r="V10" s="69"/>
      <c r="W10" s="69"/>
      <c r="X10" s="69"/>
      <c r="Y10" s="69"/>
      <c r="Z10" s="69"/>
    </row>
    <row r="11" spans="1:26" ht="21.75" customHeight="1">
      <c r="A11" s="1259" t="s">
        <v>7693</v>
      </c>
      <c r="B11" s="1227"/>
      <c r="C11" s="1227"/>
      <c r="D11" s="1227"/>
      <c r="E11" s="1227"/>
      <c r="F11" s="1228"/>
      <c r="G11" s="1114"/>
      <c r="H11" s="1114"/>
      <c r="I11" s="1114"/>
      <c r="J11" s="69"/>
      <c r="K11" s="69"/>
      <c r="L11" s="69"/>
      <c r="M11" s="69"/>
      <c r="N11" s="69"/>
      <c r="O11" s="69"/>
      <c r="P11" s="69"/>
      <c r="Q11" s="69"/>
      <c r="R11" s="69"/>
      <c r="S11" s="69"/>
      <c r="T11" s="69"/>
      <c r="U11" s="69"/>
      <c r="V11" s="69"/>
      <c r="W11" s="69"/>
      <c r="X11" s="69"/>
      <c r="Y11" s="69"/>
      <c r="Z11" s="69"/>
    </row>
    <row r="12" spans="1:26" ht="99.75" customHeight="1">
      <c r="A12" s="1260" t="s">
        <v>7694</v>
      </c>
      <c r="B12" s="1227"/>
      <c r="C12" s="1227"/>
      <c r="D12" s="1227"/>
      <c r="E12" s="1227"/>
      <c r="F12" s="1228"/>
      <c r="G12" s="1114"/>
      <c r="H12" s="1114"/>
      <c r="I12" s="1114"/>
      <c r="J12" s="69"/>
      <c r="K12" s="69"/>
      <c r="L12" s="69"/>
      <c r="M12" s="69"/>
      <c r="N12" s="69"/>
      <c r="O12" s="69"/>
      <c r="P12" s="69"/>
      <c r="Q12" s="69"/>
      <c r="R12" s="69"/>
      <c r="S12" s="69"/>
      <c r="T12" s="69"/>
      <c r="U12" s="69"/>
      <c r="V12" s="69"/>
      <c r="W12" s="69"/>
      <c r="X12" s="69"/>
      <c r="Y12" s="69"/>
      <c r="Z12" s="69"/>
    </row>
    <row r="13" spans="1:26" ht="14.25">
      <c r="A13" s="77"/>
      <c r="B13" s="77"/>
      <c r="C13" s="78"/>
      <c r="D13" s="78"/>
      <c r="E13" s="78"/>
      <c r="F13" s="78"/>
      <c r="G13" s="77"/>
      <c r="H13" s="77"/>
      <c r="I13" s="77"/>
      <c r="J13" s="69"/>
      <c r="K13" s="69"/>
      <c r="L13" s="69"/>
      <c r="M13" s="69"/>
      <c r="N13" s="69"/>
      <c r="O13" s="69"/>
      <c r="P13" s="69"/>
      <c r="Q13" s="69"/>
      <c r="R13" s="69"/>
      <c r="S13" s="69"/>
      <c r="T13" s="69"/>
      <c r="U13" s="69"/>
      <c r="V13" s="69"/>
      <c r="W13" s="69"/>
      <c r="X13" s="69"/>
      <c r="Y13" s="69"/>
      <c r="Z13" s="69"/>
    </row>
    <row r="14" spans="1:26" ht="61.5" customHeight="1">
      <c r="A14" s="377" t="s">
        <v>4419</v>
      </c>
      <c r="B14" s="83" t="s">
        <v>7</v>
      </c>
      <c r="C14" s="83" t="s">
        <v>7695</v>
      </c>
      <c r="D14" s="83" t="s">
        <v>7696</v>
      </c>
      <c r="E14" s="350" t="s">
        <v>206</v>
      </c>
      <c r="F14" s="350" t="s">
        <v>210</v>
      </c>
      <c r="G14" s="336" t="s">
        <v>211</v>
      </c>
      <c r="J14" s="69"/>
      <c r="K14" s="69"/>
      <c r="L14" s="69"/>
      <c r="M14" s="69"/>
      <c r="N14" s="69"/>
      <c r="O14" s="69"/>
      <c r="P14" s="69"/>
      <c r="Q14" s="69"/>
      <c r="R14" s="69"/>
      <c r="S14" s="69"/>
      <c r="T14" s="69"/>
      <c r="U14" s="69"/>
      <c r="V14" s="69"/>
      <c r="W14" s="69"/>
      <c r="X14" s="69"/>
      <c r="Y14" s="69"/>
      <c r="Z14" s="69"/>
    </row>
    <row r="15" spans="1:26" ht="15.75" customHeight="1">
      <c r="A15" s="134" t="s">
        <v>7647</v>
      </c>
      <c r="B15" s="133" t="s">
        <v>51</v>
      </c>
      <c r="C15" s="133" t="s">
        <v>7697</v>
      </c>
      <c r="D15" s="141" t="s">
        <v>7698</v>
      </c>
      <c r="E15" s="116" t="s">
        <v>7699</v>
      </c>
      <c r="F15" s="528">
        <v>10.48</v>
      </c>
      <c r="G15" s="338" t="s">
        <v>221</v>
      </c>
    </row>
    <row r="16" spans="1:26" ht="15.75" customHeight="1">
      <c r="A16" s="134" t="s">
        <v>7647</v>
      </c>
      <c r="B16" s="133" t="s">
        <v>51</v>
      </c>
      <c r="C16" s="133" t="s">
        <v>7700</v>
      </c>
      <c r="D16" s="141" t="s">
        <v>7698</v>
      </c>
      <c r="E16" s="116" t="s">
        <v>7701</v>
      </c>
      <c r="F16" s="528">
        <v>18.399999999999999</v>
      </c>
      <c r="G16" s="338" t="s">
        <v>221</v>
      </c>
    </row>
    <row r="17" spans="1:7" ht="15.75" customHeight="1">
      <c r="A17" s="134" t="s">
        <v>7647</v>
      </c>
      <c r="B17" s="133" t="s">
        <v>51</v>
      </c>
      <c r="C17" s="133" t="s">
        <v>7702</v>
      </c>
      <c r="D17" s="141" t="s">
        <v>7698</v>
      </c>
      <c r="E17" s="116" t="s">
        <v>7703</v>
      </c>
      <c r="F17" s="528">
        <v>26</v>
      </c>
      <c r="G17" s="338" t="s">
        <v>221</v>
      </c>
    </row>
    <row r="18" spans="1:7" ht="15.75" customHeight="1">
      <c r="A18" s="134" t="s">
        <v>7647</v>
      </c>
      <c r="B18" s="133" t="s">
        <v>51</v>
      </c>
      <c r="C18" s="133" t="s">
        <v>7704</v>
      </c>
      <c r="D18" s="141" t="s">
        <v>7705</v>
      </c>
      <c r="E18" s="116" t="s">
        <v>7706</v>
      </c>
      <c r="F18" s="528">
        <v>6.07</v>
      </c>
      <c r="G18" s="338" t="s">
        <v>221</v>
      </c>
    </row>
    <row r="19" spans="1:7" ht="15.75" customHeight="1">
      <c r="A19" s="134" t="s">
        <v>7647</v>
      </c>
      <c r="B19" s="133" t="s">
        <v>51</v>
      </c>
      <c r="C19" s="133" t="s">
        <v>7707</v>
      </c>
      <c r="D19" s="141"/>
      <c r="E19" s="116" t="s">
        <v>7708</v>
      </c>
      <c r="F19" s="528">
        <v>20.3</v>
      </c>
      <c r="G19" s="338" t="s">
        <v>221</v>
      </c>
    </row>
    <row r="20" spans="1:7" ht="15" customHeight="1">
      <c r="A20" s="134" t="s">
        <v>7709</v>
      </c>
      <c r="B20" s="133" t="s">
        <v>51</v>
      </c>
      <c r="C20" s="133" t="s">
        <v>7710</v>
      </c>
      <c r="D20" s="116" t="s">
        <v>7698</v>
      </c>
      <c r="E20" s="100" t="s">
        <v>7711</v>
      </c>
      <c r="F20" s="528">
        <v>9.24</v>
      </c>
      <c r="G20" s="338" t="s">
        <v>7551</v>
      </c>
    </row>
    <row r="21" spans="1:7" ht="15" customHeight="1">
      <c r="A21" s="134" t="s">
        <v>7709</v>
      </c>
      <c r="B21" s="133" t="s">
        <v>401</v>
      </c>
      <c r="C21" s="133" t="s">
        <v>7712</v>
      </c>
      <c r="D21" s="116" t="s">
        <v>7698</v>
      </c>
      <c r="E21" s="100" t="s">
        <v>7711</v>
      </c>
      <c r="F21" s="528">
        <v>9.24</v>
      </c>
      <c r="G21" s="338" t="s">
        <v>7551</v>
      </c>
    </row>
    <row r="22" spans="1:7" ht="15" customHeight="1">
      <c r="A22" s="134" t="s">
        <v>7709</v>
      </c>
      <c r="B22" s="133" t="s">
        <v>51</v>
      </c>
      <c r="C22" s="133" t="s">
        <v>7713</v>
      </c>
      <c r="D22" s="116" t="s">
        <v>7698</v>
      </c>
      <c r="E22" s="100" t="s">
        <v>7714</v>
      </c>
      <c r="F22" s="528">
        <v>2.31</v>
      </c>
      <c r="G22" s="338" t="s">
        <v>7551</v>
      </c>
    </row>
    <row r="23" spans="1:7" ht="15" customHeight="1">
      <c r="A23" s="134" t="s">
        <v>7709</v>
      </c>
      <c r="B23" s="133" t="s">
        <v>51</v>
      </c>
      <c r="C23" s="133" t="s">
        <v>7715</v>
      </c>
      <c r="D23" s="116" t="s">
        <v>7698</v>
      </c>
      <c r="E23" s="100" t="s">
        <v>7716</v>
      </c>
      <c r="F23" s="528">
        <v>0.92</v>
      </c>
      <c r="G23" s="338" t="s">
        <v>7551</v>
      </c>
    </row>
    <row r="24" spans="1:7" ht="15" customHeight="1">
      <c r="A24" s="134" t="s">
        <v>7709</v>
      </c>
      <c r="B24" s="133" t="s">
        <v>51</v>
      </c>
      <c r="C24" s="133" t="s">
        <v>7717</v>
      </c>
      <c r="D24" s="116" t="s">
        <v>7698</v>
      </c>
      <c r="E24" s="100" t="s">
        <v>7711</v>
      </c>
      <c r="F24" s="528">
        <v>9.24</v>
      </c>
      <c r="G24" s="338" t="s">
        <v>7551</v>
      </c>
    </row>
    <row r="25" spans="1:7" ht="15" customHeight="1">
      <c r="A25" s="134" t="s">
        <v>7709</v>
      </c>
      <c r="B25" s="133" t="s">
        <v>51</v>
      </c>
      <c r="C25" s="133" t="s">
        <v>7718</v>
      </c>
      <c r="D25" s="116" t="s">
        <v>7698</v>
      </c>
      <c r="E25" s="100" t="s">
        <v>7711</v>
      </c>
      <c r="F25" s="528">
        <v>9.24</v>
      </c>
      <c r="G25" s="338" t="s">
        <v>7551</v>
      </c>
    </row>
    <row r="26" spans="1:7" ht="15" customHeight="1">
      <c r="A26" s="134" t="s">
        <v>7709</v>
      </c>
      <c r="B26" s="133" t="s">
        <v>51</v>
      </c>
      <c r="C26" s="133" t="s">
        <v>7719</v>
      </c>
      <c r="D26" s="116" t="s">
        <v>7698</v>
      </c>
      <c r="E26" s="100" t="s">
        <v>7711</v>
      </c>
      <c r="F26" s="528">
        <v>9.24</v>
      </c>
      <c r="G26" s="338" t="s">
        <v>7551</v>
      </c>
    </row>
    <row r="27" spans="1:7" ht="15" customHeight="1">
      <c r="A27" s="134" t="s">
        <v>7709</v>
      </c>
      <c r="B27" s="133" t="s">
        <v>51</v>
      </c>
      <c r="C27" s="133" t="s">
        <v>7720</v>
      </c>
      <c r="D27" s="116" t="s">
        <v>7698</v>
      </c>
      <c r="E27" s="100" t="s">
        <v>7714</v>
      </c>
      <c r="F27" s="528">
        <v>2.31</v>
      </c>
      <c r="G27" s="338" t="s">
        <v>7551</v>
      </c>
    </row>
    <row r="28" spans="1:7" ht="15" customHeight="1">
      <c r="A28" s="134" t="s">
        <v>7709</v>
      </c>
      <c r="B28" s="133" t="s">
        <v>51</v>
      </c>
      <c r="C28" s="133" t="s">
        <v>7721</v>
      </c>
      <c r="D28" s="116" t="s">
        <v>7698</v>
      </c>
      <c r="E28" s="100" t="s">
        <v>7716</v>
      </c>
      <c r="F28" s="528">
        <v>0.92</v>
      </c>
      <c r="G28" s="338" t="s">
        <v>7551</v>
      </c>
    </row>
    <row r="29" spans="1:7" ht="15" customHeight="1">
      <c r="A29" s="134" t="s">
        <v>7709</v>
      </c>
      <c r="B29" s="133" t="s">
        <v>51</v>
      </c>
      <c r="C29" s="133" t="s">
        <v>7722</v>
      </c>
      <c r="D29" s="116" t="s">
        <v>7698</v>
      </c>
      <c r="E29" s="100" t="s">
        <v>7723</v>
      </c>
      <c r="F29" s="528">
        <v>4.62</v>
      </c>
      <c r="G29" s="338" t="s">
        <v>7551</v>
      </c>
    </row>
    <row r="30" spans="1:7" ht="15" customHeight="1">
      <c r="A30" s="134" t="s">
        <v>7709</v>
      </c>
      <c r="B30" s="133" t="s">
        <v>51</v>
      </c>
      <c r="C30" s="133" t="s">
        <v>7724</v>
      </c>
      <c r="D30" s="116" t="s">
        <v>7698</v>
      </c>
      <c r="E30" s="100" t="s">
        <v>7723</v>
      </c>
      <c r="F30" s="528">
        <v>4.62</v>
      </c>
      <c r="G30" s="338" t="s">
        <v>7551</v>
      </c>
    </row>
    <row r="31" spans="1:7" ht="15" customHeight="1">
      <c r="A31" s="134" t="s">
        <v>7709</v>
      </c>
      <c r="B31" s="133" t="s">
        <v>51</v>
      </c>
      <c r="C31" s="133" t="s">
        <v>7725</v>
      </c>
      <c r="D31" s="116" t="s">
        <v>7698</v>
      </c>
      <c r="E31" s="100" t="s">
        <v>7726</v>
      </c>
      <c r="F31" s="528">
        <v>1.1599999999999999</v>
      </c>
      <c r="G31" s="338" t="s">
        <v>7551</v>
      </c>
    </row>
    <row r="32" spans="1:7" ht="15" customHeight="1">
      <c r="A32" s="134" t="s">
        <v>7709</v>
      </c>
      <c r="B32" s="133" t="s">
        <v>51</v>
      </c>
      <c r="C32" s="133" t="s">
        <v>7727</v>
      </c>
      <c r="D32" s="116" t="s">
        <v>7698</v>
      </c>
      <c r="E32" s="100" t="s">
        <v>7728</v>
      </c>
      <c r="F32" s="1119">
        <v>0.46</v>
      </c>
      <c r="G32" s="338" t="s">
        <v>7551</v>
      </c>
    </row>
    <row r="33" spans="1:7" ht="15" customHeight="1">
      <c r="A33" s="134" t="s">
        <v>7709</v>
      </c>
      <c r="B33" s="133" t="s">
        <v>51</v>
      </c>
      <c r="C33" s="133" t="s">
        <v>7729</v>
      </c>
      <c r="D33" s="116" t="s">
        <v>7698</v>
      </c>
      <c r="E33" s="100" t="s">
        <v>7730</v>
      </c>
      <c r="F33" s="528">
        <v>4.29</v>
      </c>
      <c r="G33" s="338" t="s">
        <v>7551</v>
      </c>
    </row>
    <row r="34" spans="1:7" ht="15" customHeight="1">
      <c r="A34" s="134" t="s">
        <v>7709</v>
      </c>
      <c r="B34" s="133" t="s">
        <v>51</v>
      </c>
      <c r="C34" s="133" t="s">
        <v>7731</v>
      </c>
      <c r="D34" s="116" t="s">
        <v>7698</v>
      </c>
      <c r="E34" s="100" t="s">
        <v>7730</v>
      </c>
      <c r="F34" s="528">
        <v>4.29</v>
      </c>
      <c r="G34" s="338" t="s">
        <v>7551</v>
      </c>
    </row>
    <row r="35" spans="1:7" ht="15" customHeight="1">
      <c r="A35" s="134" t="s">
        <v>7709</v>
      </c>
      <c r="B35" s="133" t="s">
        <v>51</v>
      </c>
      <c r="C35" s="133" t="s">
        <v>7732</v>
      </c>
      <c r="D35" s="116" t="s">
        <v>7698</v>
      </c>
      <c r="E35" s="100" t="s">
        <v>7733</v>
      </c>
      <c r="F35" s="1120">
        <v>1.07</v>
      </c>
      <c r="G35" s="338" t="s">
        <v>7551</v>
      </c>
    </row>
    <row r="36" spans="1:7" ht="15" customHeight="1">
      <c r="A36" s="134" t="s">
        <v>7709</v>
      </c>
      <c r="B36" s="133" t="s">
        <v>51</v>
      </c>
      <c r="C36" s="133" t="s">
        <v>7734</v>
      </c>
      <c r="D36" s="116" t="s">
        <v>7698</v>
      </c>
      <c r="E36" s="140" t="s">
        <v>7735</v>
      </c>
      <c r="F36" s="241">
        <v>0.43</v>
      </c>
      <c r="G36" s="338" t="s">
        <v>7551</v>
      </c>
    </row>
    <row r="37" spans="1:7" ht="15" customHeight="1">
      <c r="A37" s="134" t="s">
        <v>7709</v>
      </c>
      <c r="B37" s="133" t="s">
        <v>51</v>
      </c>
      <c r="C37" s="469" t="s">
        <v>7736</v>
      </c>
      <c r="D37" s="259" t="s">
        <v>7698</v>
      </c>
      <c r="E37" s="1121" t="s">
        <v>7730</v>
      </c>
      <c r="F37" s="241">
        <v>4.29</v>
      </c>
      <c r="G37" s="338" t="s">
        <v>7551</v>
      </c>
    </row>
    <row r="38" spans="1:7" ht="15" customHeight="1">
      <c r="A38" s="134" t="s">
        <v>7709</v>
      </c>
      <c r="B38" s="133" t="s">
        <v>51</v>
      </c>
      <c r="C38" s="133" t="s">
        <v>7737</v>
      </c>
      <c r="D38" s="116" t="s">
        <v>7698</v>
      </c>
      <c r="E38" s="241" t="s">
        <v>7738</v>
      </c>
      <c r="F38" s="241">
        <v>7.59</v>
      </c>
      <c r="G38" s="338" t="s">
        <v>7551</v>
      </c>
    </row>
    <row r="39" spans="1:7" ht="15" customHeight="1">
      <c r="A39" s="134" t="s">
        <v>7709</v>
      </c>
      <c r="B39" s="133" t="s">
        <v>51</v>
      </c>
      <c r="C39" s="133" t="s">
        <v>7739</v>
      </c>
      <c r="D39" s="116" t="s">
        <v>7698</v>
      </c>
      <c r="E39" s="241" t="s">
        <v>7740</v>
      </c>
      <c r="F39" s="241">
        <v>15.84</v>
      </c>
      <c r="G39" s="338" t="s">
        <v>7551</v>
      </c>
    </row>
    <row r="40" spans="1:7" ht="15" customHeight="1">
      <c r="A40" s="134" t="s">
        <v>7709</v>
      </c>
      <c r="B40" s="133" t="s">
        <v>51</v>
      </c>
      <c r="C40" s="133" t="s">
        <v>7741</v>
      </c>
      <c r="D40" s="241" t="s">
        <v>7742</v>
      </c>
      <c r="E40" s="241" t="s">
        <v>7743</v>
      </c>
      <c r="F40" s="241">
        <v>3.89</v>
      </c>
      <c r="G40" s="338" t="s">
        <v>7551</v>
      </c>
    </row>
    <row r="41" spans="1:7" ht="15" customHeight="1">
      <c r="A41" s="134" t="s">
        <v>7709</v>
      </c>
      <c r="B41" s="133" t="s">
        <v>51</v>
      </c>
      <c r="C41" s="133" t="s">
        <v>7744</v>
      </c>
      <c r="D41" s="241" t="s">
        <v>7742</v>
      </c>
      <c r="E41" s="241" t="s">
        <v>7745</v>
      </c>
      <c r="F41" s="241">
        <v>7.92</v>
      </c>
      <c r="G41" s="338" t="s">
        <v>7551</v>
      </c>
    </row>
    <row r="42" spans="1:7" ht="15" customHeight="1">
      <c r="A42" s="134" t="s">
        <v>6216</v>
      </c>
      <c r="B42" s="133" t="s">
        <v>51</v>
      </c>
      <c r="C42" s="133" t="s">
        <v>7746</v>
      </c>
      <c r="D42" s="116" t="s">
        <v>7698</v>
      </c>
      <c r="E42" s="100" t="s">
        <v>7747</v>
      </c>
      <c r="F42" s="528">
        <v>7.67</v>
      </c>
      <c r="G42" s="338" t="s">
        <v>1315</v>
      </c>
    </row>
    <row r="43" spans="1:7" ht="15" customHeight="1">
      <c r="A43" s="134" t="s">
        <v>6216</v>
      </c>
      <c r="B43" s="133" t="s">
        <v>51</v>
      </c>
      <c r="C43" s="133" t="s">
        <v>7748</v>
      </c>
      <c r="D43" s="116" t="s">
        <v>7698</v>
      </c>
      <c r="E43" s="100" t="s">
        <v>7747</v>
      </c>
      <c r="F43" s="528">
        <v>7.67</v>
      </c>
      <c r="G43" s="338" t="s">
        <v>1315</v>
      </c>
    </row>
    <row r="44" spans="1:7" ht="15" customHeight="1">
      <c r="A44" s="134" t="s">
        <v>6216</v>
      </c>
      <c r="B44" s="133" t="s">
        <v>51</v>
      </c>
      <c r="C44" s="133" t="s">
        <v>7749</v>
      </c>
      <c r="D44" s="116" t="s">
        <v>7698</v>
      </c>
      <c r="E44" s="100" t="s">
        <v>7750</v>
      </c>
      <c r="F44" s="528">
        <v>1.58</v>
      </c>
      <c r="G44" s="338" t="s">
        <v>1315</v>
      </c>
    </row>
    <row r="45" spans="1:7" ht="15" customHeight="1">
      <c r="A45" s="134" t="s">
        <v>6216</v>
      </c>
      <c r="B45" s="133" t="s">
        <v>51</v>
      </c>
      <c r="C45" s="133" t="s">
        <v>7751</v>
      </c>
      <c r="D45" s="116" t="s">
        <v>7698</v>
      </c>
      <c r="E45" s="100" t="s">
        <v>7752</v>
      </c>
      <c r="F45" s="528">
        <v>0.77</v>
      </c>
      <c r="G45" s="338" t="s">
        <v>1315</v>
      </c>
    </row>
    <row r="46" spans="1:7" ht="15" customHeight="1">
      <c r="A46" s="134" t="s">
        <v>6216</v>
      </c>
      <c r="B46" s="133" t="s">
        <v>51</v>
      </c>
      <c r="C46" s="133" t="s">
        <v>7753</v>
      </c>
      <c r="D46" s="116" t="s">
        <v>7698</v>
      </c>
      <c r="E46" s="116" t="s">
        <v>7754</v>
      </c>
      <c r="F46" s="528">
        <v>13.67</v>
      </c>
      <c r="G46" s="338" t="s">
        <v>1315</v>
      </c>
    </row>
    <row r="47" spans="1:7" ht="15" customHeight="1">
      <c r="A47" s="134" t="s">
        <v>6216</v>
      </c>
      <c r="B47" s="133" t="s">
        <v>51</v>
      </c>
      <c r="C47" s="133" t="s">
        <v>7755</v>
      </c>
      <c r="D47" s="116" t="s">
        <v>7698</v>
      </c>
      <c r="E47" s="116" t="s">
        <v>7754</v>
      </c>
      <c r="F47" s="528">
        <v>13.67</v>
      </c>
      <c r="G47" s="338" t="s">
        <v>1315</v>
      </c>
    </row>
    <row r="48" spans="1:7" ht="15" customHeight="1">
      <c r="A48" s="134" t="s">
        <v>6216</v>
      </c>
      <c r="B48" s="133" t="s">
        <v>51</v>
      </c>
      <c r="C48" s="133" t="s">
        <v>7756</v>
      </c>
      <c r="D48" s="116" t="s">
        <v>7698</v>
      </c>
      <c r="E48" s="116" t="s">
        <v>7757</v>
      </c>
      <c r="F48" s="528">
        <v>3.42</v>
      </c>
      <c r="G48" s="338" t="s">
        <v>1315</v>
      </c>
    </row>
    <row r="49" spans="1:7" ht="15" customHeight="1">
      <c r="A49" s="134" t="s">
        <v>6216</v>
      </c>
      <c r="B49" s="133" t="s">
        <v>51</v>
      </c>
      <c r="C49" s="133" t="s">
        <v>7758</v>
      </c>
      <c r="D49" s="116" t="s">
        <v>7698</v>
      </c>
      <c r="E49" s="116" t="s">
        <v>7759</v>
      </c>
      <c r="F49" s="528">
        <v>1.17</v>
      </c>
      <c r="G49" s="338" t="s">
        <v>1315</v>
      </c>
    </row>
    <row r="50" spans="1:7" ht="15" customHeight="1">
      <c r="A50" s="134" t="s">
        <v>6216</v>
      </c>
      <c r="B50" s="133" t="s">
        <v>51</v>
      </c>
      <c r="C50" s="133" t="s">
        <v>7760</v>
      </c>
      <c r="D50" s="116" t="s">
        <v>7698</v>
      </c>
      <c r="E50" s="100" t="s">
        <v>7761</v>
      </c>
      <c r="F50" s="528">
        <v>15.84</v>
      </c>
      <c r="G50" s="338" t="s">
        <v>1315</v>
      </c>
    </row>
    <row r="51" spans="1:7" ht="15" customHeight="1">
      <c r="A51" s="134" t="s">
        <v>6216</v>
      </c>
      <c r="B51" s="133" t="s">
        <v>51</v>
      </c>
      <c r="C51" s="133" t="s">
        <v>7762</v>
      </c>
      <c r="D51" s="116" t="s">
        <v>7698</v>
      </c>
      <c r="E51" s="100" t="s">
        <v>7763</v>
      </c>
      <c r="F51" s="528">
        <v>3.96</v>
      </c>
      <c r="G51" s="338" t="s">
        <v>1315</v>
      </c>
    </row>
    <row r="52" spans="1:7" ht="15" customHeight="1">
      <c r="A52" s="134" t="s">
        <v>6216</v>
      </c>
      <c r="B52" s="133" t="s">
        <v>51</v>
      </c>
      <c r="C52" s="133" t="s">
        <v>7764</v>
      </c>
      <c r="D52" s="116" t="s">
        <v>7698</v>
      </c>
      <c r="E52" s="100" t="s">
        <v>7765</v>
      </c>
      <c r="F52" s="528">
        <v>1.1599999999999999</v>
      </c>
      <c r="G52" s="338" t="s">
        <v>1315</v>
      </c>
    </row>
    <row r="53" spans="1:7" ht="15" customHeight="1">
      <c r="A53" s="134" t="s">
        <v>6216</v>
      </c>
      <c r="B53" s="133" t="s">
        <v>51</v>
      </c>
      <c r="C53" s="133" t="s">
        <v>7766</v>
      </c>
      <c r="D53" s="116" t="s">
        <v>7698</v>
      </c>
      <c r="E53" s="116" t="s">
        <v>7767</v>
      </c>
      <c r="F53" s="528">
        <v>11.22</v>
      </c>
      <c r="G53" s="338" t="s">
        <v>1315</v>
      </c>
    </row>
    <row r="54" spans="1:7" ht="15" customHeight="1">
      <c r="A54" s="134" t="s">
        <v>6216</v>
      </c>
      <c r="B54" s="133" t="s">
        <v>51</v>
      </c>
      <c r="C54" s="133" t="s">
        <v>7768</v>
      </c>
      <c r="D54" s="116" t="s">
        <v>7769</v>
      </c>
      <c r="E54" s="100" t="s">
        <v>7770</v>
      </c>
      <c r="F54" s="528">
        <v>3.67</v>
      </c>
      <c r="G54" s="338" t="s">
        <v>1315</v>
      </c>
    </row>
    <row r="55" spans="1:7" ht="15" customHeight="1">
      <c r="A55" s="134" t="s">
        <v>6216</v>
      </c>
      <c r="B55" s="133" t="s">
        <v>51</v>
      </c>
      <c r="C55" s="133" t="s">
        <v>7771</v>
      </c>
      <c r="D55" s="116" t="s">
        <v>7772</v>
      </c>
      <c r="E55" s="116" t="s">
        <v>7773</v>
      </c>
      <c r="F55" s="528">
        <v>6.33</v>
      </c>
      <c r="G55" s="338" t="s">
        <v>1315</v>
      </c>
    </row>
    <row r="56" spans="1:7" ht="15" customHeight="1">
      <c r="A56" s="134" t="s">
        <v>6216</v>
      </c>
      <c r="B56" s="133" t="s">
        <v>51</v>
      </c>
      <c r="C56" s="133" t="s">
        <v>7774</v>
      </c>
      <c r="D56" s="116" t="s">
        <v>7772</v>
      </c>
      <c r="E56" s="116" t="s">
        <v>7775</v>
      </c>
      <c r="F56" s="528">
        <v>94</v>
      </c>
      <c r="G56" s="338" t="s">
        <v>1315</v>
      </c>
    </row>
    <row r="57" spans="1:7" ht="15" customHeight="1">
      <c r="A57" s="134" t="s">
        <v>7371</v>
      </c>
      <c r="B57" s="133" t="s">
        <v>7776</v>
      </c>
      <c r="C57" s="133" t="s">
        <v>7777</v>
      </c>
      <c r="D57" s="100" t="s">
        <v>7778</v>
      </c>
      <c r="E57" s="116">
        <v>8</v>
      </c>
      <c r="F57" s="528">
        <v>8</v>
      </c>
      <c r="G57" s="338" t="s">
        <v>7371</v>
      </c>
    </row>
    <row r="58" spans="1:7" ht="15" customHeight="1">
      <c r="A58" s="134" t="s">
        <v>7371</v>
      </c>
      <c r="B58" s="133" t="s">
        <v>7776</v>
      </c>
      <c r="C58" s="133" t="s">
        <v>7779</v>
      </c>
      <c r="D58" s="100" t="s">
        <v>7778</v>
      </c>
      <c r="E58" s="116">
        <v>20</v>
      </c>
      <c r="F58" s="528">
        <v>20</v>
      </c>
      <c r="G58" s="338" t="s">
        <v>7371</v>
      </c>
    </row>
    <row r="59" spans="1:7" ht="15" customHeight="1">
      <c r="A59" s="134" t="s">
        <v>7371</v>
      </c>
      <c r="B59" s="133" t="s">
        <v>7776</v>
      </c>
      <c r="C59" s="133" t="s">
        <v>7780</v>
      </c>
      <c r="D59" s="100" t="s">
        <v>7778</v>
      </c>
      <c r="E59" s="116">
        <v>2.875</v>
      </c>
      <c r="F59" s="528">
        <v>2.9750000000000001</v>
      </c>
      <c r="G59" s="338" t="s">
        <v>7371</v>
      </c>
    </row>
    <row r="60" spans="1:7" ht="15" customHeight="1">
      <c r="A60" s="134" t="s">
        <v>7371</v>
      </c>
      <c r="B60" s="133" t="s">
        <v>7776</v>
      </c>
      <c r="C60" s="133" t="s">
        <v>7781</v>
      </c>
      <c r="D60" s="100" t="s">
        <v>7778</v>
      </c>
      <c r="E60" s="116">
        <v>10.6</v>
      </c>
      <c r="F60" s="528">
        <v>10.6</v>
      </c>
      <c r="G60" s="338" t="s">
        <v>7371</v>
      </c>
    </row>
    <row r="61" spans="1:7" ht="15" customHeight="1">
      <c r="A61" s="134" t="s">
        <v>7371</v>
      </c>
      <c r="B61" s="133" t="s">
        <v>7776</v>
      </c>
      <c r="C61" s="133" t="s">
        <v>7782</v>
      </c>
      <c r="D61" s="100" t="s">
        <v>7778</v>
      </c>
      <c r="E61" s="116">
        <v>8</v>
      </c>
      <c r="F61" s="528">
        <v>8</v>
      </c>
      <c r="G61" s="338" t="s">
        <v>7371</v>
      </c>
    </row>
    <row r="62" spans="1:7" ht="15" customHeight="1">
      <c r="A62" s="134" t="s">
        <v>1331</v>
      </c>
      <c r="B62" s="133" t="s">
        <v>51</v>
      </c>
      <c r="C62" s="133" t="s">
        <v>7783</v>
      </c>
      <c r="D62" s="100" t="s">
        <v>7698</v>
      </c>
      <c r="E62" s="100">
        <v>5</v>
      </c>
      <c r="F62" s="528">
        <v>5</v>
      </c>
      <c r="G62" s="338" t="s">
        <v>1331</v>
      </c>
    </row>
    <row r="63" spans="1:7" ht="15" customHeight="1">
      <c r="A63" s="134" t="s">
        <v>1331</v>
      </c>
      <c r="B63" s="133" t="s">
        <v>51</v>
      </c>
      <c r="C63" s="133" t="s">
        <v>7784</v>
      </c>
      <c r="D63" s="100" t="s">
        <v>7698</v>
      </c>
      <c r="E63" s="100">
        <v>11</v>
      </c>
      <c r="F63" s="528">
        <v>11</v>
      </c>
      <c r="G63" s="338" t="s">
        <v>1331</v>
      </c>
    </row>
    <row r="64" spans="1:7" ht="15" customHeight="1">
      <c r="A64" s="134" t="s">
        <v>1331</v>
      </c>
      <c r="B64" s="133" t="s">
        <v>51</v>
      </c>
      <c r="C64" s="133" t="s">
        <v>7785</v>
      </c>
      <c r="D64" s="100" t="s">
        <v>7698</v>
      </c>
      <c r="E64" s="100">
        <v>19</v>
      </c>
      <c r="F64" s="528">
        <v>19</v>
      </c>
      <c r="G64" s="338" t="s">
        <v>1331</v>
      </c>
    </row>
    <row r="65" spans="1:7" ht="15" customHeight="1">
      <c r="A65" s="134" t="s">
        <v>1331</v>
      </c>
      <c r="B65" s="133" t="s">
        <v>51</v>
      </c>
      <c r="C65" s="133" t="s">
        <v>7785</v>
      </c>
      <c r="D65" s="100" t="s">
        <v>7698</v>
      </c>
      <c r="E65" s="100">
        <v>19</v>
      </c>
      <c r="F65" s="528">
        <v>19</v>
      </c>
      <c r="G65" s="338" t="s">
        <v>1331</v>
      </c>
    </row>
    <row r="66" spans="1:7" ht="15" customHeight="1">
      <c r="A66" s="134" t="s">
        <v>1331</v>
      </c>
      <c r="B66" s="133" t="s">
        <v>51</v>
      </c>
      <c r="C66" s="133" t="s">
        <v>7786</v>
      </c>
      <c r="D66" s="116" t="s">
        <v>7698</v>
      </c>
      <c r="E66" s="116">
        <v>19</v>
      </c>
      <c r="F66" s="528">
        <v>38</v>
      </c>
      <c r="G66" s="338" t="s">
        <v>1331</v>
      </c>
    </row>
    <row r="67" spans="1:7" ht="15" customHeight="1">
      <c r="A67" s="134" t="s">
        <v>1331</v>
      </c>
      <c r="B67" s="133" t="s">
        <v>51</v>
      </c>
      <c r="C67" s="133" t="s">
        <v>7787</v>
      </c>
      <c r="D67" s="116" t="s">
        <v>7698</v>
      </c>
      <c r="E67" s="116">
        <v>14</v>
      </c>
      <c r="F67" s="528">
        <v>28</v>
      </c>
      <c r="G67" s="338" t="s">
        <v>1331</v>
      </c>
    </row>
    <row r="68" spans="1:7" ht="15" customHeight="1">
      <c r="A68" s="134" t="s">
        <v>1331</v>
      </c>
      <c r="B68" s="133" t="s">
        <v>51</v>
      </c>
      <c r="C68" s="133" t="s">
        <v>7787</v>
      </c>
      <c r="D68" s="116" t="s">
        <v>7698</v>
      </c>
      <c r="E68" s="116">
        <v>9</v>
      </c>
      <c r="F68" s="528">
        <v>18</v>
      </c>
      <c r="G68" s="338" t="s">
        <v>1331</v>
      </c>
    </row>
    <row r="69" spans="1:7" ht="15" customHeight="1">
      <c r="A69" s="134" t="s">
        <v>1331</v>
      </c>
      <c r="B69" s="133" t="s">
        <v>51</v>
      </c>
      <c r="C69" s="133" t="s">
        <v>7788</v>
      </c>
      <c r="D69" s="100" t="s">
        <v>7698</v>
      </c>
      <c r="E69" s="100">
        <v>5</v>
      </c>
      <c r="F69" s="528">
        <v>5</v>
      </c>
      <c r="G69" s="338" t="s">
        <v>1331</v>
      </c>
    </row>
    <row r="70" spans="1:7" ht="15" customHeight="1">
      <c r="A70" s="134" t="s">
        <v>7553</v>
      </c>
      <c r="B70" s="133" t="s">
        <v>51</v>
      </c>
      <c r="C70" s="133" t="s">
        <v>7789</v>
      </c>
      <c r="D70" s="100" t="s">
        <v>7790</v>
      </c>
      <c r="E70" s="186">
        <v>12.33</v>
      </c>
      <c r="F70" s="186">
        <v>12.33</v>
      </c>
      <c r="G70" s="338" t="s">
        <v>231</v>
      </c>
    </row>
    <row r="71" spans="1:7" ht="15" customHeight="1">
      <c r="A71" s="134" t="s">
        <v>7553</v>
      </c>
      <c r="B71" s="133" t="s">
        <v>51</v>
      </c>
      <c r="C71" s="133" t="s">
        <v>7791</v>
      </c>
      <c r="D71" s="100" t="s">
        <v>7790</v>
      </c>
      <c r="E71" s="528">
        <v>6.5</v>
      </c>
      <c r="F71" s="528">
        <v>6.5</v>
      </c>
      <c r="G71" s="338" t="s">
        <v>231</v>
      </c>
    </row>
    <row r="72" spans="1:7" ht="15" customHeight="1">
      <c r="A72" s="134" t="s">
        <v>7553</v>
      </c>
      <c r="B72" s="133" t="s">
        <v>51</v>
      </c>
      <c r="C72" s="133" t="s">
        <v>7792</v>
      </c>
      <c r="D72" s="100" t="s">
        <v>7778</v>
      </c>
      <c r="E72" s="186">
        <v>17.66</v>
      </c>
      <c r="F72" s="186">
        <v>17.66</v>
      </c>
      <c r="G72" s="338" t="s">
        <v>231</v>
      </c>
    </row>
    <row r="73" spans="1:7" ht="15" customHeight="1">
      <c r="A73" s="134" t="s">
        <v>7553</v>
      </c>
      <c r="B73" s="133" t="s">
        <v>51</v>
      </c>
      <c r="C73" s="133" t="s">
        <v>7793</v>
      </c>
      <c r="D73" s="116" t="s">
        <v>7790</v>
      </c>
      <c r="E73" s="528">
        <v>8.83</v>
      </c>
      <c r="F73" s="528">
        <v>8.83</v>
      </c>
      <c r="G73" s="338" t="s">
        <v>231</v>
      </c>
    </row>
    <row r="74" spans="1:7" ht="15" customHeight="1">
      <c r="A74" s="438" t="s">
        <v>7553</v>
      </c>
      <c r="B74" s="183" t="s">
        <v>51</v>
      </c>
      <c r="C74" s="133" t="s">
        <v>7794</v>
      </c>
      <c r="D74" s="116" t="s">
        <v>7790</v>
      </c>
      <c r="E74" s="528">
        <v>1.1599999999999999</v>
      </c>
      <c r="F74" s="528">
        <v>1.1599999999999999</v>
      </c>
      <c r="G74" s="338" t="s">
        <v>231</v>
      </c>
    </row>
    <row r="75" spans="1:7" ht="15" customHeight="1">
      <c r="A75" s="438" t="s">
        <v>7553</v>
      </c>
      <c r="B75" s="183" t="s">
        <v>51</v>
      </c>
      <c r="C75" s="133" t="s">
        <v>7795</v>
      </c>
      <c r="D75" s="116" t="s">
        <v>7790</v>
      </c>
      <c r="E75" s="528">
        <v>6.16</v>
      </c>
      <c r="F75" s="528">
        <v>6.16</v>
      </c>
      <c r="G75" s="338" t="s">
        <v>231</v>
      </c>
    </row>
    <row r="76" spans="1:7" ht="15" customHeight="1">
      <c r="A76" s="438" t="s">
        <v>7553</v>
      </c>
      <c r="B76" s="183" t="s">
        <v>51</v>
      </c>
      <c r="C76" s="133" t="s">
        <v>7796</v>
      </c>
      <c r="D76" s="100" t="s">
        <v>7778</v>
      </c>
      <c r="E76" s="528">
        <v>12.33</v>
      </c>
      <c r="F76" s="528">
        <v>12.33</v>
      </c>
      <c r="G76" s="338" t="s">
        <v>231</v>
      </c>
    </row>
    <row r="77" spans="1:7" ht="15" customHeight="1">
      <c r="A77" s="438" t="s">
        <v>7553</v>
      </c>
      <c r="B77" s="183" t="s">
        <v>51</v>
      </c>
      <c r="C77" s="133" t="s">
        <v>7797</v>
      </c>
      <c r="D77" s="116" t="s">
        <v>7790</v>
      </c>
      <c r="E77" s="528">
        <v>6.16</v>
      </c>
      <c r="F77" s="528">
        <v>6.16</v>
      </c>
      <c r="G77" s="338" t="s">
        <v>231</v>
      </c>
    </row>
    <row r="78" spans="1:7" ht="15" customHeight="1">
      <c r="A78" s="438" t="s">
        <v>7553</v>
      </c>
      <c r="B78" s="183" t="s">
        <v>51</v>
      </c>
      <c r="C78" s="133" t="s">
        <v>7798</v>
      </c>
      <c r="D78" s="116" t="s">
        <v>7790</v>
      </c>
      <c r="E78" s="528">
        <v>6.16</v>
      </c>
      <c r="F78" s="528">
        <v>6.16</v>
      </c>
      <c r="G78" s="338" t="s">
        <v>231</v>
      </c>
    </row>
    <row r="79" spans="1:7" ht="15" customHeight="1">
      <c r="A79" s="386" t="s">
        <v>6237</v>
      </c>
      <c r="B79" s="387" t="s">
        <v>51</v>
      </c>
      <c r="C79" s="427" t="s">
        <v>7799</v>
      </c>
      <c r="D79" s="1122" t="s">
        <v>7800</v>
      </c>
      <c r="E79" s="1123">
        <f>53/3*0.5</f>
        <v>8.8333333333333339</v>
      </c>
      <c r="F79" s="1123">
        <f t="shared" ref="F79:F89" si="0">E79</f>
        <v>8.8333333333333339</v>
      </c>
      <c r="G79" s="338" t="s">
        <v>1339</v>
      </c>
    </row>
    <row r="80" spans="1:7" ht="15" customHeight="1">
      <c r="A80" s="386" t="s">
        <v>6237</v>
      </c>
      <c r="B80" s="387" t="s">
        <v>51</v>
      </c>
      <c r="C80" s="427" t="s">
        <v>7801</v>
      </c>
      <c r="D80" s="1122" t="s">
        <v>7790</v>
      </c>
      <c r="E80" s="1123">
        <f>19/3*0.5</f>
        <v>3.1666666666666665</v>
      </c>
      <c r="F80" s="1123">
        <f t="shared" si="0"/>
        <v>3.1666666666666665</v>
      </c>
      <c r="G80" s="338" t="s">
        <v>1339</v>
      </c>
    </row>
    <row r="81" spans="1:7" ht="15" customHeight="1">
      <c r="A81" s="386" t="s">
        <v>6237</v>
      </c>
      <c r="B81" s="387" t="s">
        <v>51</v>
      </c>
      <c r="C81" s="427" t="s">
        <v>7802</v>
      </c>
      <c r="D81" s="1122" t="s">
        <v>7790</v>
      </c>
      <c r="E81" s="1123">
        <f>17/3*0.5</f>
        <v>2.8333333333333335</v>
      </c>
      <c r="F81" s="1123">
        <f t="shared" si="0"/>
        <v>2.8333333333333335</v>
      </c>
      <c r="G81" s="338" t="s">
        <v>1339</v>
      </c>
    </row>
    <row r="82" spans="1:7" ht="15" customHeight="1">
      <c r="A82" s="386" t="s">
        <v>6237</v>
      </c>
      <c r="B82" s="387" t="s">
        <v>51</v>
      </c>
      <c r="C82" s="427" t="s">
        <v>7803</v>
      </c>
      <c r="D82" s="1122" t="s">
        <v>7790</v>
      </c>
      <c r="E82" s="1123">
        <f>30/3*0.5</f>
        <v>5</v>
      </c>
      <c r="F82" s="1123">
        <f t="shared" si="0"/>
        <v>5</v>
      </c>
      <c r="G82" s="338" t="s">
        <v>1339</v>
      </c>
    </row>
    <row r="83" spans="1:7" ht="15" customHeight="1">
      <c r="A83" s="386" t="s">
        <v>6237</v>
      </c>
      <c r="B83" s="387" t="s">
        <v>51</v>
      </c>
      <c r="C83" s="427" t="s">
        <v>7804</v>
      </c>
      <c r="D83" s="1122" t="s">
        <v>7790</v>
      </c>
      <c r="E83" s="1123">
        <f>28/3*0.5</f>
        <v>4.666666666666667</v>
      </c>
      <c r="F83" s="1123">
        <f t="shared" si="0"/>
        <v>4.666666666666667</v>
      </c>
      <c r="G83" s="338" t="s">
        <v>1339</v>
      </c>
    </row>
    <row r="84" spans="1:7" ht="15" customHeight="1">
      <c r="A84" s="386" t="s">
        <v>6237</v>
      </c>
      <c r="B84" s="387" t="s">
        <v>51</v>
      </c>
      <c r="C84" s="427" t="s">
        <v>7805</v>
      </c>
      <c r="D84" s="386" t="s">
        <v>7778</v>
      </c>
      <c r="E84" s="1123">
        <f>19/3</f>
        <v>6.333333333333333</v>
      </c>
      <c r="F84" s="1123">
        <f t="shared" si="0"/>
        <v>6.333333333333333</v>
      </c>
      <c r="G84" s="338" t="s">
        <v>1339</v>
      </c>
    </row>
    <row r="85" spans="1:7" ht="15" customHeight="1">
      <c r="A85" s="386" t="s">
        <v>6237</v>
      </c>
      <c r="B85" s="387" t="s">
        <v>51</v>
      </c>
      <c r="C85" s="427" t="s">
        <v>7806</v>
      </c>
      <c r="D85" s="1122" t="s">
        <v>7790</v>
      </c>
      <c r="E85" s="1123">
        <f>45/3*0.5</f>
        <v>7.5</v>
      </c>
      <c r="F85" s="1123">
        <f t="shared" si="0"/>
        <v>7.5</v>
      </c>
      <c r="G85" s="338" t="s">
        <v>1339</v>
      </c>
    </row>
    <row r="86" spans="1:7" ht="15" customHeight="1">
      <c r="A86" s="386" t="s">
        <v>6237</v>
      </c>
      <c r="B86" s="387" t="s">
        <v>51</v>
      </c>
      <c r="C86" s="427" t="s">
        <v>7807</v>
      </c>
      <c r="D86" s="1122" t="s">
        <v>7790</v>
      </c>
      <c r="E86" s="1123">
        <f>19/3*0.5</f>
        <v>3.1666666666666665</v>
      </c>
      <c r="F86" s="1123">
        <f t="shared" si="0"/>
        <v>3.1666666666666665</v>
      </c>
      <c r="G86" s="338" t="s">
        <v>1339</v>
      </c>
    </row>
    <row r="87" spans="1:7" ht="15" customHeight="1">
      <c r="A87" s="386" t="s">
        <v>6237</v>
      </c>
      <c r="B87" s="387" t="s">
        <v>51</v>
      </c>
      <c r="C87" s="427" t="s">
        <v>7808</v>
      </c>
      <c r="D87" s="1122" t="s">
        <v>7790</v>
      </c>
      <c r="E87" s="1123">
        <f>28/3*0.5</f>
        <v>4.666666666666667</v>
      </c>
      <c r="F87" s="1123">
        <f t="shared" si="0"/>
        <v>4.666666666666667</v>
      </c>
      <c r="G87" s="338" t="s">
        <v>1339</v>
      </c>
    </row>
    <row r="88" spans="1:7" ht="15" customHeight="1">
      <c r="A88" s="386" t="s">
        <v>6237</v>
      </c>
      <c r="B88" s="387" t="s">
        <v>51</v>
      </c>
      <c r="C88" s="427" t="s">
        <v>7809</v>
      </c>
      <c r="D88" s="386" t="s">
        <v>7778</v>
      </c>
      <c r="E88" s="1123">
        <f t="shared" ref="E88:E89" si="1">18/3</f>
        <v>6</v>
      </c>
      <c r="F88" s="1123">
        <f t="shared" si="0"/>
        <v>6</v>
      </c>
      <c r="G88" s="338" t="s">
        <v>1339</v>
      </c>
    </row>
    <row r="89" spans="1:7" ht="15" customHeight="1">
      <c r="A89" s="386" t="s">
        <v>6237</v>
      </c>
      <c r="B89" s="387" t="s">
        <v>51</v>
      </c>
      <c r="C89" s="427" t="s">
        <v>7810</v>
      </c>
      <c r="D89" s="386" t="s">
        <v>7778</v>
      </c>
      <c r="E89" s="1123">
        <f t="shared" si="1"/>
        <v>6</v>
      </c>
      <c r="F89" s="1123">
        <f t="shared" si="0"/>
        <v>6</v>
      </c>
      <c r="G89" s="338" t="s">
        <v>1339</v>
      </c>
    </row>
    <row r="90" spans="1:7" ht="15" customHeight="1">
      <c r="A90" s="386" t="s">
        <v>6237</v>
      </c>
      <c r="B90" s="387" t="s">
        <v>105</v>
      </c>
      <c r="C90" s="427" t="s">
        <v>7811</v>
      </c>
      <c r="D90" s="386"/>
      <c r="E90" s="1123">
        <v>30</v>
      </c>
      <c r="F90" s="1123">
        <v>30</v>
      </c>
      <c r="G90" s="338" t="s">
        <v>1339</v>
      </c>
    </row>
    <row r="91" spans="1:7" ht="15" customHeight="1">
      <c r="A91" s="134" t="s">
        <v>7554</v>
      </c>
      <c r="B91" s="133" t="s">
        <v>51</v>
      </c>
      <c r="C91" s="133" t="s">
        <v>7812</v>
      </c>
      <c r="D91" s="100" t="s">
        <v>7778</v>
      </c>
      <c r="E91" s="186">
        <v>15</v>
      </c>
      <c r="F91" s="528">
        <v>15</v>
      </c>
      <c r="G91" s="338" t="s">
        <v>1359</v>
      </c>
    </row>
    <row r="92" spans="1:7" ht="15" customHeight="1">
      <c r="A92" s="134" t="s">
        <v>7554</v>
      </c>
      <c r="B92" s="133" t="s">
        <v>51</v>
      </c>
      <c r="C92" s="133" t="s">
        <v>7813</v>
      </c>
      <c r="D92" s="100" t="s">
        <v>7778</v>
      </c>
      <c r="E92" s="186">
        <v>15</v>
      </c>
      <c r="F92" s="528">
        <v>15</v>
      </c>
      <c r="G92" s="338" t="s">
        <v>1359</v>
      </c>
    </row>
    <row r="93" spans="1:7" ht="15" customHeight="1">
      <c r="A93" s="134" t="s">
        <v>7554</v>
      </c>
      <c r="B93" s="133" t="s">
        <v>51</v>
      </c>
      <c r="C93" s="133" t="s">
        <v>7814</v>
      </c>
      <c r="D93" s="100" t="s">
        <v>7778</v>
      </c>
      <c r="E93" s="186">
        <v>15</v>
      </c>
      <c r="F93" s="528">
        <v>15</v>
      </c>
      <c r="G93" s="338" t="s">
        <v>1359</v>
      </c>
    </row>
    <row r="94" spans="1:7" ht="15" customHeight="1">
      <c r="A94" s="134" t="s">
        <v>7554</v>
      </c>
      <c r="B94" s="133" t="s">
        <v>51</v>
      </c>
      <c r="C94" s="133" t="s">
        <v>7815</v>
      </c>
      <c r="D94" s="100" t="s">
        <v>7778</v>
      </c>
      <c r="E94" s="186">
        <v>3.75</v>
      </c>
      <c r="F94" s="528">
        <v>3.75</v>
      </c>
      <c r="G94" s="338" t="s">
        <v>1359</v>
      </c>
    </row>
    <row r="95" spans="1:7" ht="15" customHeight="1">
      <c r="A95" s="134" t="s">
        <v>7554</v>
      </c>
      <c r="B95" s="133" t="s">
        <v>51</v>
      </c>
      <c r="C95" s="133" t="s">
        <v>7816</v>
      </c>
      <c r="D95" s="100" t="s">
        <v>7778</v>
      </c>
      <c r="E95" s="186">
        <v>6.33</v>
      </c>
      <c r="F95" s="528">
        <v>6.33</v>
      </c>
      <c r="G95" s="338" t="s">
        <v>1359</v>
      </c>
    </row>
    <row r="96" spans="1:7" ht="15" customHeight="1">
      <c r="A96" s="134" t="s">
        <v>7554</v>
      </c>
      <c r="B96" s="133" t="s">
        <v>51</v>
      </c>
      <c r="C96" s="133" t="s">
        <v>7817</v>
      </c>
      <c r="D96" s="100" t="s">
        <v>7778</v>
      </c>
      <c r="E96" s="186">
        <v>6.33</v>
      </c>
      <c r="F96" s="528">
        <v>6.33</v>
      </c>
      <c r="G96" s="338" t="s">
        <v>1359</v>
      </c>
    </row>
    <row r="97" spans="1:7" ht="15" customHeight="1">
      <c r="A97" s="134" t="s">
        <v>7554</v>
      </c>
      <c r="B97" s="133" t="s">
        <v>51</v>
      </c>
      <c r="C97" s="133" t="s">
        <v>7818</v>
      </c>
      <c r="D97" s="100" t="s">
        <v>7778</v>
      </c>
      <c r="E97" s="186">
        <v>6.33</v>
      </c>
      <c r="F97" s="528">
        <v>6.33</v>
      </c>
      <c r="G97" s="338" t="s">
        <v>1359</v>
      </c>
    </row>
    <row r="98" spans="1:7" ht="15" customHeight="1">
      <c r="A98" s="134" t="s">
        <v>7554</v>
      </c>
      <c r="B98" s="133" t="s">
        <v>51</v>
      </c>
      <c r="C98" s="133" t="s">
        <v>7819</v>
      </c>
      <c r="D98" s="100" t="s">
        <v>7778</v>
      </c>
      <c r="E98" s="186">
        <v>1.58</v>
      </c>
      <c r="F98" s="528">
        <v>1.58</v>
      </c>
      <c r="G98" s="338" t="s">
        <v>1359</v>
      </c>
    </row>
    <row r="99" spans="1:7" ht="15" customHeight="1">
      <c r="A99" s="134" t="s">
        <v>7554</v>
      </c>
      <c r="B99" s="133" t="s">
        <v>51</v>
      </c>
      <c r="C99" s="133" t="s">
        <v>7820</v>
      </c>
      <c r="D99" s="100" t="s">
        <v>7778</v>
      </c>
      <c r="E99" s="186">
        <v>13</v>
      </c>
      <c r="F99" s="528">
        <v>13</v>
      </c>
      <c r="G99" s="338" t="s">
        <v>1359</v>
      </c>
    </row>
    <row r="100" spans="1:7" ht="15" customHeight="1">
      <c r="A100" s="134" t="s">
        <v>7554</v>
      </c>
      <c r="B100" s="133" t="s">
        <v>51</v>
      </c>
      <c r="C100" s="133" t="s">
        <v>7821</v>
      </c>
      <c r="D100" s="100" t="s">
        <v>7778</v>
      </c>
      <c r="E100" s="186">
        <v>13</v>
      </c>
      <c r="F100" s="528">
        <v>13</v>
      </c>
      <c r="G100" s="338" t="s">
        <v>1359</v>
      </c>
    </row>
    <row r="101" spans="1:7" ht="15" customHeight="1">
      <c r="A101" s="134" t="s">
        <v>7554</v>
      </c>
      <c r="B101" s="133" t="s">
        <v>51</v>
      </c>
      <c r="C101" s="133" t="s">
        <v>7822</v>
      </c>
      <c r="D101" s="100" t="s">
        <v>7778</v>
      </c>
      <c r="E101" s="186">
        <v>13</v>
      </c>
      <c r="F101" s="528">
        <v>13</v>
      </c>
      <c r="G101" s="338" t="s">
        <v>1359</v>
      </c>
    </row>
    <row r="102" spans="1:7" ht="15" customHeight="1">
      <c r="A102" s="134" t="s">
        <v>7554</v>
      </c>
      <c r="B102" s="133" t="s">
        <v>51</v>
      </c>
      <c r="C102" s="133" t="s">
        <v>7823</v>
      </c>
      <c r="D102" s="100" t="s">
        <v>7778</v>
      </c>
      <c r="E102" s="186">
        <v>3.25</v>
      </c>
      <c r="F102" s="528">
        <v>3.25</v>
      </c>
      <c r="G102" s="338" t="s">
        <v>1359</v>
      </c>
    </row>
    <row r="103" spans="1:7" ht="15" customHeight="1">
      <c r="A103" s="134" t="s">
        <v>7554</v>
      </c>
      <c r="B103" s="133" t="s">
        <v>51</v>
      </c>
      <c r="C103" s="133" t="s">
        <v>7824</v>
      </c>
      <c r="D103" s="100" t="s">
        <v>7778</v>
      </c>
      <c r="E103" s="186">
        <v>7.67</v>
      </c>
      <c r="F103" s="528">
        <v>7.67</v>
      </c>
      <c r="G103" s="338" t="s">
        <v>1359</v>
      </c>
    </row>
    <row r="104" spans="1:7" ht="15" customHeight="1">
      <c r="A104" s="134" t="s">
        <v>7554</v>
      </c>
      <c r="B104" s="133" t="s">
        <v>51</v>
      </c>
      <c r="C104" s="133" t="s">
        <v>7825</v>
      </c>
      <c r="D104" s="100" t="s">
        <v>7778</v>
      </c>
      <c r="E104" s="186">
        <v>4</v>
      </c>
      <c r="F104" s="528">
        <v>4</v>
      </c>
      <c r="G104" s="338" t="s">
        <v>1359</v>
      </c>
    </row>
    <row r="105" spans="1:7" ht="15" customHeight="1">
      <c r="A105" s="134" t="s">
        <v>7554</v>
      </c>
      <c r="B105" s="133" t="s">
        <v>51</v>
      </c>
      <c r="C105" s="133" t="s">
        <v>7826</v>
      </c>
      <c r="D105" s="100" t="s">
        <v>7778</v>
      </c>
      <c r="E105" s="186">
        <v>7.67</v>
      </c>
      <c r="F105" s="528">
        <v>7.67</v>
      </c>
      <c r="G105" s="338" t="s">
        <v>1359</v>
      </c>
    </row>
    <row r="106" spans="1:7" ht="15" customHeight="1">
      <c r="A106" s="134" t="s">
        <v>7554</v>
      </c>
      <c r="B106" s="133" t="s">
        <v>51</v>
      </c>
      <c r="C106" s="133" t="s">
        <v>7827</v>
      </c>
      <c r="D106" s="100" t="s">
        <v>7778</v>
      </c>
      <c r="E106" s="186">
        <v>1.92</v>
      </c>
      <c r="F106" s="528">
        <v>1.92</v>
      </c>
      <c r="G106" s="338" t="s">
        <v>1359</v>
      </c>
    </row>
    <row r="107" spans="1:7" ht="15" customHeight="1">
      <c r="A107" s="134" t="s">
        <v>7554</v>
      </c>
      <c r="B107" s="133" t="s">
        <v>51</v>
      </c>
      <c r="C107" s="133" t="s">
        <v>7828</v>
      </c>
      <c r="D107" s="100" t="s">
        <v>7778</v>
      </c>
      <c r="E107" s="186">
        <v>5.33</v>
      </c>
      <c r="F107" s="528">
        <v>5.33</v>
      </c>
      <c r="G107" s="338" t="s">
        <v>1359</v>
      </c>
    </row>
    <row r="108" spans="1:7" ht="15" customHeight="1">
      <c r="A108" s="134" t="s">
        <v>7554</v>
      </c>
      <c r="B108" s="133" t="s">
        <v>51</v>
      </c>
      <c r="C108" s="133" t="s">
        <v>7829</v>
      </c>
      <c r="D108" s="100" t="s">
        <v>7778</v>
      </c>
      <c r="E108" s="186">
        <v>5.33</v>
      </c>
      <c r="F108" s="528">
        <v>5.33</v>
      </c>
      <c r="G108" s="338" t="s">
        <v>1359</v>
      </c>
    </row>
    <row r="109" spans="1:7" ht="15" customHeight="1">
      <c r="A109" s="134" t="s">
        <v>7554</v>
      </c>
      <c r="B109" s="133" t="s">
        <v>51</v>
      </c>
      <c r="C109" s="133" t="s">
        <v>7830</v>
      </c>
      <c r="D109" s="100" t="s">
        <v>7778</v>
      </c>
      <c r="E109" s="186">
        <v>5.33</v>
      </c>
      <c r="F109" s="528">
        <v>5.33</v>
      </c>
      <c r="G109" s="338" t="s">
        <v>1359</v>
      </c>
    </row>
    <row r="110" spans="1:7" ht="15" customHeight="1">
      <c r="A110" s="134" t="s">
        <v>7554</v>
      </c>
      <c r="B110" s="133" t="s">
        <v>51</v>
      </c>
      <c r="C110" s="133" t="s">
        <v>7831</v>
      </c>
      <c r="D110" s="100" t="s">
        <v>7778</v>
      </c>
      <c r="E110" s="186">
        <v>1.33</v>
      </c>
      <c r="F110" s="528">
        <v>1.33</v>
      </c>
      <c r="G110" s="338" t="s">
        <v>1359</v>
      </c>
    </row>
    <row r="111" spans="1:7" ht="15" customHeight="1">
      <c r="A111" s="134" t="s">
        <v>7554</v>
      </c>
      <c r="B111" s="133" t="s">
        <v>51</v>
      </c>
      <c r="C111" s="133" t="s">
        <v>7832</v>
      </c>
      <c r="D111" s="100" t="s">
        <v>7778</v>
      </c>
      <c r="E111" s="186">
        <v>7</v>
      </c>
      <c r="F111" s="528">
        <v>7</v>
      </c>
      <c r="G111" s="338" t="s">
        <v>1359</v>
      </c>
    </row>
    <row r="112" spans="1:7" ht="15" customHeight="1">
      <c r="A112" s="134" t="s">
        <v>7554</v>
      </c>
      <c r="B112" s="133" t="s">
        <v>51</v>
      </c>
      <c r="C112" s="133" t="s">
        <v>7833</v>
      </c>
      <c r="D112" s="100" t="s">
        <v>7778</v>
      </c>
      <c r="E112" s="186">
        <v>7</v>
      </c>
      <c r="F112" s="528">
        <v>7</v>
      </c>
      <c r="G112" s="338" t="s">
        <v>1359</v>
      </c>
    </row>
    <row r="113" spans="1:7" ht="15" customHeight="1">
      <c r="A113" s="134" t="s">
        <v>7554</v>
      </c>
      <c r="B113" s="133" t="s">
        <v>51</v>
      </c>
      <c r="C113" s="133" t="s">
        <v>7834</v>
      </c>
      <c r="D113" s="100" t="s">
        <v>7778</v>
      </c>
      <c r="E113" s="186">
        <v>7</v>
      </c>
      <c r="F113" s="528">
        <v>7</v>
      </c>
      <c r="G113" s="338" t="s">
        <v>1359</v>
      </c>
    </row>
    <row r="114" spans="1:7" ht="15" customHeight="1">
      <c r="A114" s="134" t="s">
        <v>7554</v>
      </c>
      <c r="B114" s="133" t="s">
        <v>51</v>
      </c>
      <c r="C114" s="133" t="s">
        <v>7835</v>
      </c>
      <c r="D114" s="100" t="s">
        <v>7778</v>
      </c>
      <c r="E114" s="186">
        <v>1.75</v>
      </c>
      <c r="F114" s="528">
        <v>1.75</v>
      </c>
      <c r="G114" s="338" t="s">
        <v>1359</v>
      </c>
    </row>
    <row r="115" spans="1:7" ht="15" customHeight="1">
      <c r="A115" s="134" t="s">
        <v>7554</v>
      </c>
      <c r="B115" s="133" t="s">
        <v>51</v>
      </c>
      <c r="C115" s="133" t="s">
        <v>7836</v>
      </c>
      <c r="D115" s="100" t="s">
        <v>7778</v>
      </c>
      <c r="E115" s="186">
        <v>0.7</v>
      </c>
      <c r="F115" s="528">
        <v>0.7</v>
      </c>
      <c r="G115" s="338" t="s">
        <v>1359</v>
      </c>
    </row>
    <row r="116" spans="1:7" ht="15" customHeight="1">
      <c r="A116" s="134" t="s">
        <v>7554</v>
      </c>
      <c r="B116" s="133" t="s">
        <v>51</v>
      </c>
      <c r="C116" s="133" t="s">
        <v>7837</v>
      </c>
      <c r="D116" s="100" t="s">
        <v>7778</v>
      </c>
      <c r="E116" s="186">
        <v>0.67</v>
      </c>
      <c r="F116" s="528">
        <v>0.67</v>
      </c>
      <c r="G116" s="338" t="s">
        <v>1359</v>
      </c>
    </row>
    <row r="117" spans="1:7" ht="15" customHeight="1">
      <c r="A117" s="134" t="s">
        <v>7554</v>
      </c>
      <c r="B117" s="133" t="s">
        <v>51</v>
      </c>
      <c r="C117" s="133" t="s">
        <v>7838</v>
      </c>
      <c r="D117" s="100" t="s">
        <v>7778</v>
      </c>
      <c r="E117" s="186">
        <v>2</v>
      </c>
      <c r="F117" s="528">
        <v>2</v>
      </c>
      <c r="G117" s="338" t="s">
        <v>1359</v>
      </c>
    </row>
    <row r="118" spans="1:7" ht="15" customHeight="1">
      <c r="A118" s="134" t="s">
        <v>7554</v>
      </c>
      <c r="B118" s="133" t="s">
        <v>51</v>
      </c>
      <c r="C118" s="133" t="s">
        <v>7839</v>
      </c>
      <c r="D118" s="100" t="s">
        <v>7778</v>
      </c>
      <c r="E118" s="186">
        <v>36</v>
      </c>
      <c r="F118" s="528">
        <v>36</v>
      </c>
      <c r="G118" s="338" t="s">
        <v>1359</v>
      </c>
    </row>
    <row r="119" spans="1:7" ht="15" customHeight="1">
      <c r="A119" s="134" t="s">
        <v>7554</v>
      </c>
      <c r="B119" s="133" t="s">
        <v>51</v>
      </c>
      <c r="C119" s="133" t="s">
        <v>7840</v>
      </c>
      <c r="D119" s="100" t="s">
        <v>7778</v>
      </c>
      <c r="E119" s="186">
        <v>22</v>
      </c>
      <c r="F119" s="528">
        <v>22</v>
      </c>
      <c r="G119" s="338" t="s">
        <v>1359</v>
      </c>
    </row>
    <row r="120" spans="1:7" ht="15" customHeight="1">
      <c r="A120" s="134" t="s">
        <v>7554</v>
      </c>
      <c r="B120" s="133" t="s">
        <v>51</v>
      </c>
      <c r="C120" s="133" t="s">
        <v>7841</v>
      </c>
      <c r="D120" s="100" t="s">
        <v>7778</v>
      </c>
      <c r="E120" s="186">
        <v>11</v>
      </c>
      <c r="F120" s="528">
        <v>11</v>
      </c>
      <c r="G120" s="338" t="s">
        <v>1359</v>
      </c>
    </row>
    <row r="121" spans="1:7" ht="15" customHeight="1">
      <c r="A121" s="134" t="s">
        <v>6254</v>
      </c>
      <c r="B121" s="134" t="s">
        <v>51</v>
      </c>
      <c r="C121" s="427" t="s">
        <v>7842</v>
      </c>
      <c r="D121" s="1122" t="s">
        <v>7778</v>
      </c>
      <c r="E121" s="1074">
        <f>28/3</f>
        <v>9.3333333333333339</v>
      </c>
      <c r="F121" s="1074">
        <f t="shared" ref="F121:F125" si="2">E121</f>
        <v>9.3333333333333339</v>
      </c>
      <c r="G121" s="338" t="s">
        <v>249</v>
      </c>
    </row>
    <row r="122" spans="1:7" ht="15" customHeight="1">
      <c r="A122" s="134" t="s">
        <v>6254</v>
      </c>
      <c r="B122" s="134" t="s">
        <v>51</v>
      </c>
      <c r="C122" s="427" t="s">
        <v>7806</v>
      </c>
      <c r="D122" s="1122" t="s">
        <v>7778</v>
      </c>
      <c r="E122" s="1074">
        <f>45/3</f>
        <v>15</v>
      </c>
      <c r="F122" s="1074">
        <f t="shared" si="2"/>
        <v>15</v>
      </c>
      <c r="G122" s="338" t="s">
        <v>249</v>
      </c>
    </row>
    <row r="123" spans="1:7" ht="15" customHeight="1">
      <c r="A123" s="134" t="s">
        <v>6254</v>
      </c>
      <c r="B123" s="134" t="s">
        <v>51</v>
      </c>
      <c r="C123" s="427" t="s">
        <v>7807</v>
      </c>
      <c r="D123" s="1122" t="s">
        <v>7778</v>
      </c>
      <c r="E123" s="1074">
        <f>19/3</f>
        <v>6.333333333333333</v>
      </c>
      <c r="F123" s="1074">
        <f t="shared" si="2"/>
        <v>6.333333333333333</v>
      </c>
      <c r="G123" s="338" t="s">
        <v>249</v>
      </c>
    </row>
    <row r="124" spans="1:7" ht="15" customHeight="1">
      <c r="A124" s="134" t="s">
        <v>6254</v>
      </c>
      <c r="B124" s="134" t="s">
        <v>51</v>
      </c>
      <c r="C124" s="427" t="s">
        <v>7843</v>
      </c>
      <c r="D124" s="1122"/>
      <c r="E124" s="1074">
        <f>20/3*3</f>
        <v>20</v>
      </c>
      <c r="F124" s="1074">
        <f t="shared" si="2"/>
        <v>20</v>
      </c>
      <c r="G124" s="338" t="s">
        <v>249</v>
      </c>
    </row>
    <row r="125" spans="1:7" ht="15" customHeight="1">
      <c r="A125" s="134" t="s">
        <v>6254</v>
      </c>
      <c r="B125" s="134" t="s">
        <v>51</v>
      </c>
      <c r="C125" s="427" t="s">
        <v>7844</v>
      </c>
      <c r="D125" s="1122"/>
      <c r="E125" s="1074">
        <f>11/3*3</f>
        <v>11</v>
      </c>
      <c r="F125" s="1074">
        <f t="shared" si="2"/>
        <v>11</v>
      </c>
      <c r="G125" s="338" t="s">
        <v>249</v>
      </c>
    </row>
    <row r="126" spans="1:7" ht="15" customHeight="1">
      <c r="A126" s="134" t="s">
        <v>359</v>
      </c>
      <c r="B126" s="99" t="s">
        <v>51</v>
      </c>
      <c r="C126" s="133" t="s">
        <v>7845</v>
      </c>
      <c r="D126" s="116" t="s">
        <v>7778</v>
      </c>
      <c r="E126" s="116" t="s">
        <v>7846</v>
      </c>
      <c r="F126" s="528">
        <v>11.66</v>
      </c>
      <c r="G126" s="338" t="s">
        <v>359</v>
      </c>
    </row>
    <row r="127" spans="1:7" ht="15" customHeight="1">
      <c r="A127" s="134" t="s">
        <v>359</v>
      </c>
      <c r="B127" s="99" t="s">
        <v>51</v>
      </c>
      <c r="C127" s="133" t="s">
        <v>7847</v>
      </c>
      <c r="D127" s="116" t="s">
        <v>7778</v>
      </c>
      <c r="E127" s="116" t="s">
        <v>7848</v>
      </c>
      <c r="F127" s="528">
        <v>8</v>
      </c>
      <c r="G127" s="338" t="s">
        <v>359</v>
      </c>
    </row>
    <row r="128" spans="1:7" ht="15" customHeight="1">
      <c r="A128" s="134" t="s">
        <v>359</v>
      </c>
      <c r="B128" s="99" t="s">
        <v>51</v>
      </c>
      <c r="C128" s="133" t="s">
        <v>7849</v>
      </c>
      <c r="D128" s="116" t="s">
        <v>7778</v>
      </c>
      <c r="E128" s="116" t="s">
        <v>7846</v>
      </c>
      <c r="F128" s="528">
        <v>11.66</v>
      </c>
      <c r="G128" s="338" t="s">
        <v>359</v>
      </c>
    </row>
    <row r="129" spans="1:7" ht="15" customHeight="1">
      <c r="A129" s="134" t="s">
        <v>359</v>
      </c>
      <c r="B129" s="99" t="s">
        <v>51</v>
      </c>
      <c r="C129" s="133" t="s">
        <v>7850</v>
      </c>
      <c r="D129" s="116" t="s">
        <v>7778</v>
      </c>
      <c r="E129" s="116" t="s">
        <v>7848</v>
      </c>
      <c r="F129" s="528">
        <v>8</v>
      </c>
      <c r="G129" s="338" t="s">
        <v>359</v>
      </c>
    </row>
    <row r="130" spans="1:7" ht="15" customHeight="1">
      <c r="A130" s="134" t="s">
        <v>359</v>
      </c>
      <c r="B130" s="99" t="s">
        <v>51</v>
      </c>
      <c r="C130" s="133" t="s">
        <v>7851</v>
      </c>
      <c r="D130" s="116" t="s">
        <v>7698</v>
      </c>
      <c r="E130" s="116" t="s">
        <v>7852</v>
      </c>
      <c r="F130" s="528">
        <v>2.92</v>
      </c>
      <c r="G130" s="338" t="s">
        <v>359</v>
      </c>
    </row>
    <row r="131" spans="1:7" ht="15" customHeight="1">
      <c r="A131" s="134" t="s">
        <v>359</v>
      </c>
      <c r="B131" s="99" t="s">
        <v>51</v>
      </c>
      <c r="C131" s="133" t="s">
        <v>7853</v>
      </c>
      <c r="D131" s="116" t="s">
        <v>7698</v>
      </c>
      <c r="E131" s="116" t="s">
        <v>7854</v>
      </c>
      <c r="F131" s="528">
        <v>2</v>
      </c>
      <c r="G131" s="338" t="s">
        <v>359</v>
      </c>
    </row>
    <row r="132" spans="1:7" ht="15" customHeight="1">
      <c r="A132" s="134" t="s">
        <v>359</v>
      </c>
      <c r="B132" s="99" t="s">
        <v>51</v>
      </c>
      <c r="C132" s="133" t="s">
        <v>7855</v>
      </c>
      <c r="D132" s="116" t="s">
        <v>7698</v>
      </c>
      <c r="E132" s="116" t="s">
        <v>7856</v>
      </c>
      <c r="F132" s="528">
        <v>1.1599999999999999</v>
      </c>
      <c r="G132" s="338" t="s">
        <v>359</v>
      </c>
    </row>
    <row r="133" spans="1:7" ht="15" customHeight="1">
      <c r="A133" s="134" t="s">
        <v>359</v>
      </c>
      <c r="B133" s="99" t="s">
        <v>51</v>
      </c>
      <c r="C133" s="133" t="s">
        <v>7857</v>
      </c>
      <c r="D133" s="116" t="s">
        <v>7698</v>
      </c>
      <c r="E133" s="116" t="s">
        <v>7858</v>
      </c>
      <c r="F133" s="528">
        <v>0.8</v>
      </c>
      <c r="G133" s="338" t="s">
        <v>359</v>
      </c>
    </row>
    <row r="134" spans="1:7" ht="15" customHeight="1">
      <c r="A134" s="134" t="s">
        <v>359</v>
      </c>
      <c r="B134" s="99" t="s">
        <v>51</v>
      </c>
      <c r="C134" s="133" t="s">
        <v>7859</v>
      </c>
      <c r="D134" s="116" t="s">
        <v>7778</v>
      </c>
      <c r="E134" s="116" t="s">
        <v>7860</v>
      </c>
      <c r="F134" s="528">
        <v>20</v>
      </c>
      <c r="G134" s="338" t="s">
        <v>359</v>
      </c>
    </row>
    <row r="135" spans="1:7" ht="15" customHeight="1">
      <c r="A135" s="134" t="s">
        <v>359</v>
      </c>
      <c r="B135" s="99" t="s">
        <v>51</v>
      </c>
      <c r="C135" s="133" t="s">
        <v>7861</v>
      </c>
      <c r="D135" s="116" t="s">
        <v>7778</v>
      </c>
      <c r="E135" s="116" t="s">
        <v>7862</v>
      </c>
      <c r="F135" s="528">
        <v>7.66</v>
      </c>
      <c r="G135" s="338" t="s">
        <v>359</v>
      </c>
    </row>
    <row r="136" spans="1:7" ht="15" customHeight="1">
      <c r="A136" s="134" t="s">
        <v>359</v>
      </c>
      <c r="B136" s="99" t="s">
        <v>51</v>
      </c>
      <c r="C136" s="133" t="s">
        <v>7863</v>
      </c>
      <c r="D136" s="116" t="s">
        <v>7778</v>
      </c>
      <c r="E136" s="116" t="s">
        <v>7860</v>
      </c>
      <c r="F136" s="528">
        <v>20</v>
      </c>
      <c r="G136" s="338" t="s">
        <v>359</v>
      </c>
    </row>
    <row r="137" spans="1:7" ht="15" customHeight="1">
      <c r="A137" s="134" t="s">
        <v>359</v>
      </c>
      <c r="B137" s="99" t="s">
        <v>51</v>
      </c>
      <c r="C137" s="133" t="s">
        <v>7864</v>
      </c>
      <c r="D137" s="116" t="s">
        <v>7778</v>
      </c>
      <c r="E137" s="116" t="s">
        <v>7862</v>
      </c>
      <c r="F137" s="528">
        <v>7.66</v>
      </c>
      <c r="G137" s="338" t="s">
        <v>359</v>
      </c>
    </row>
    <row r="138" spans="1:7" ht="15" customHeight="1">
      <c r="A138" s="134" t="s">
        <v>359</v>
      </c>
      <c r="B138" s="99" t="s">
        <v>51</v>
      </c>
      <c r="C138" s="133" t="s">
        <v>7865</v>
      </c>
      <c r="D138" s="116" t="s">
        <v>7698</v>
      </c>
      <c r="E138" s="116" t="s">
        <v>7866</v>
      </c>
      <c r="F138" s="528">
        <v>5</v>
      </c>
      <c r="G138" s="338" t="s">
        <v>359</v>
      </c>
    </row>
    <row r="139" spans="1:7" ht="15" customHeight="1">
      <c r="A139" s="134" t="s">
        <v>359</v>
      </c>
      <c r="B139" s="99" t="s">
        <v>51</v>
      </c>
      <c r="C139" s="133" t="s">
        <v>7867</v>
      </c>
      <c r="D139" s="116" t="s">
        <v>7698</v>
      </c>
      <c r="E139" s="116" t="s">
        <v>7868</v>
      </c>
      <c r="F139" s="528">
        <v>1.91</v>
      </c>
      <c r="G139" s="338" t="s">
        <v>359</v>
      </c>
    </row>
    <row r="140" spans="1:7" ht="15" customHeight="1">
      <c r="A140" s="134" t="s">
        <v>359</v>
      </c>
      <c r="B140" s="99" t="s">
        <v>51</v>
      </c>
      <c r="C140" s="133" t="s">
        <v>7869</v>
      </c>
      <c r="D140" s="116" t="s">
        <v>7698</v>
      </c>
      <c r="E140" s="116" t="s">
        <v>7870</v>
      </c>
      <c r="F140" s="528">
        <v>2</v>
      </c>
      <c r="G140" s="338" t="s">
        <v>359</v>
      </c>
    </row>
    <row r="141" spans="1:7" ht="15" customHeight="1">
      <c r="A141" s="134" t="s">
        <v>359</v>
      </c>
      <c r="B141" s="99" t="s">
        <v>51</v>
      </c>
      <c r="C141" s="133" t="s">
        <v>7871</v>
      </c>
      <c r="D141" s="116" t="s">
        <v>7698</v>
      </c>
      <c r="E141" s="116" t="s">
        <v>7872</v>
      </c>
      <c r="F141" s="528">
        <v>0.76</v>
      </c>
      <c r="G141" s="338" t="s">
        <v>359</v>
      </c>
    </row>
    <row r="142" spans="1:7" ht="15" customHeight="1">
      <c r="A142" s="134" t="s">
        <v>4471</v>
      </c>
      <c r="B142" s="133" t="s">
        <v>51</v>
      </c>
      <c r="C142" s="133" t="s">
        <v>7873</v>
      </c>
      <c r="D142" s="116" t="s">
        <v>7778</v>
      </c>
      <c r="E142" s="116"/>
      <c r="F142" s="528">
        <v>5.66</v>
      </c>
      <c r="G142" s="338" t="s">
        <v>4471</v>
      </c>
    </row>
    <row r="143" spans="1:7" ht="15" customHeight="1">
      <c r="A143" s="134" t="s">
        <v>4471</v>
      </c>
      <c r="B143" s="133" t="s">
        <v>51</v>
      </c>
      <c r="C143" s="133" t="s">
        <v>7874</v>
      </c>
      <c r="D143" s="116" t="s">
        <v>7778</v>
      </c>
      <c r="E143" s="116"/>
      <c r="F143" s="528">
        <v>4.66</v>
      </c>
      <c r="G143" s="338" t="s">
        <v>4471</v>
      </c>
    </row>
    <row r="144" spans="1:7" ht="15" customHeight="1">
      <c r="A144" s="134" t="s">
        <v>4471</v>
      </c>
      <c r="B144" s="133" t="s">
        <v>51</v>
      </c>
      <c r="C144" s="133" t="s">
        <v>7875</v>
      </c>
      <c r="D144" s="116" t="s">
        <v>7778</v>
      </c>
      <c r="E144" s="116"/>
      <c r="F144" s="528">
        <v>4.66</v>
      </c>
      <c r="G144" s="338" t="s">
        <v>4471</v>
      </c>
    </row>
    <row r="145" spans="1:7" ht="15" customHeight="1">
      <c r="A145" s="134" t="s">
        <v>4471</v>
      </c>
      <c r="B145" s="133" t="s">
        <v>51</v>
      </c>
      <c r="C145" s="133" t="s">
        <v>7876</v>
      </c>
      <c r="D145" s="116" t="s">
        <v>7778</v>
      </c>
      <c r="E145" s="116"/>
      <c r="F145" s="528">
        <v>4.66</v>
      </c>
      <c r="G145" s="338" t="s">
        <v>4471</v>
      </c>
    </row>
    <row r="146" spans="1:7" ht="15" customHeight="1">
      <c r="A146" s="134" t="s">
        <v>4471</v>
      </c>
      <c r="B146" s="133" t="s">
        <v>51</v>
      </c>
      <c r="C146" s="133" t="s">
        <v>7877</v>
      </c>
      <c r="D146" s="116" t="s">
        <v>7778</v>
      </c>
      <c r="E146" s="116"/>
      <c r="F146" s="528">
        <v>5.66</v>
      </c>
      <c r="G146" s="338" t="s">
        <v>4471</v>
      </c>
    </row>
    <row r="147" spans="1:7" ht="15" customHeight="1">
      <c r="A147" s="134" t="s">
        <v>4471</v>
      </c>
      <c r="B147" s="133" t="s">
        <v>51</v>
      </c>
      <c r="C147" s="133" t="s">
        <v>7878</v>
      </c>
      <c r="D147" s="116" t="s">
        <v>7790</v>
      </c>
      <c r="E147" s="116"/>
      <c r="F147" s="528">
        <v>2.83</v>
      </c>
      <c r="G147" s="338" t="s">
        <v>4471</v>
      </c>
    </row>
    <row r="148" spans="1:7" ht="15" customHeight="1">
      <c r="A148" s="134" t="s">
        <v>4471</v>
      </c>
      <c r="B148" s="133" t="s">
        <v>51</v>
      </c>
      <c r="C148" s="133" t="s">
        <v>7879</v>
      </c>
      <c r="D148" s="116" t="s">
        <v>7790</v>
      </c>
      <c r="E148" s="116"/>
      <c r="F148" s="528">
        <v>2.83</v>
      </c>
      <c r="G148" s="338" t="s">
        <v>4471</v>
      </c>
    </row>
    <row r="149" spans="1:7" ht="15" customHeight="1">
      <c r="A149" s="134" t="s">
        <v>4471</v>
      </c>
      <c r="B149" s="133" t="s">
        <v>51</v>
      </c>
      <c r="C149" s="133" t="s">
        <v>7880</v>
      </c>
      <c r="D149" s="116" t="s">
        <v>7881</v>
      </c>
      <c r="E149" s="116"/>
      <c r="F149" s="528">
        <v>4.33</v>
      </c>
      <c r="G149" s="338" t="s">
        <v>4471</v>
      </c>
    </row>
    <row r="150" spans="1:7" ht="15" customHeight="1">
      <c r="A150" s="134" t="s">
        <v>7379</v>
      </c>
      <c r="B150" s="134" t="s">
        <v>51</v>
      </c>
      <c r="C150" s="301" t="s">
        <v>7882</v>
      </c>
      <c r="D150" s="100" t="s">
        <v>7698</v>
      </c>
      <c r="E150" s="100">
        <f t="shared" ref="E150:E151" si="3">37/3</f>
        <v>12.333333333333334</v>
      </c>
      <c r="F150" s="528">
        <f t="shared" ref="F150:F167" si="4">E150</f>
        <v>12.333333333333334</v>
      </c>
      <c r="G150" s="338" t="s">
        <v>384</v>
      </c>
    </row>
    <row r="151" spans="1:7" ht="15" customHeight="1">
      <c r="A151" s="134" t="s">
        <v>7379</v>
      </c>
      <c r="B151" s="134" t="s">
        <v>51</v>
      </c>
      <c r="C151" s="301" t="s">
        <v>7883</v>
      </c>
      <c r="D151" s="100" t="s">
        <v>7698</v>
      </c>
      <c r="E151" s="100">
        <f t="shared" si="3"/>
        <v>12.333333333333334</v>
      </c>
      <c r="F151" s="528">
        <f t="shared" si="4"/>
        <v>12.333333333333334</v>
      </c>
      <c r="G151" s="338" t="s">
        <v>384</v>
      </c>
    </row>
    <row r="152" spans="1:7" ht="15" customHeight="1">
      <c r="A152" s="134" t="s">
        <v>7379</v>
      </c>
      <c r="B152" s="134" t="s">
        <v>51</v>
      </c>
      <c r="C152" s="301" t="s">
        <v>7884</v>
      </c>
      <c r="D152" s="100" t="s">
        <v>7698</v>
      </c>
      <c r="E152" s="116">
        <f t="shared" ref="E152:E153" si="5">48/3</f>
        <v>16</v>
      </c>
      <c r="F152" s="528">
        <f t="shared" si="4"/>
        <v>16</v>
      </c>
      <c r="G152" s="338" t="s">
        <v>384</v>
      </c>
    </row>
    <row r="153" spans="1:7" ht="15" customHeight="1">
      <c r="A153" s="134" t="s">
        <v>7379</v>
      </c>
      <c r="B153" s="134" t="s">
        <v>51</v>
      </c>
      <c r="C153" s="301" t="s">
        <v>7885</v>
      </c>
      <c r="D153" s="100" t="s">
        <v>7698</v>
      </c>
      <c r="E153" s="116">
        <f t="shared" si="5"/>
        <v>16</v>
      </c>
      <c r="F153" s="528">
        <f t="shared" si="4"/>
        <v>16</v>
      </c>
      <c r="G153" s="338" t="s">
        <v>384</v>
      </c>
    </row>
    <row r="154" spans="1:7" ht="15" customHeight="1">
      <c r="A154" s="134" t="s">
        <v>7379</v>
      </c>
      <c r="B154" s="134" t="s">
        <v>51</v>
      </c>
      <c r="C154" s="301" t="s">
        <v>7886</v>
      </c>
      <c r="D154" s="100" t="s">
        <v>7698</v>
      </c>
      <c r="E154" s="100">
        <f>27/3</f>
        <v>9</v>
      </c>
      <c r="F154" s="528">
        <f t="shared" si="4"/>
        <v>9</v>
      </c>
      <c r="G154" s="338" t="s">
        <v>384</v>
      </c>
    </row>
    <row r="155" spans="1:7" ht="15" customHeight="1">
      <c r="A155" s="134" t="s">
        <v>7379</v>
      </c>
      <c r="B155" s="134" t="s">
        <v>51</v>
      </c>
      <c r="C155" s="301" t="s">
        <v>7887</v>
      </c>
      <c r="D155" s="100" t="s">
        <v>7698</v>
      </c>
      <c r="E155" s="116">
        <f>18/3</f>
        <v>6</v>
      </c>
      <c r="F155" s="528">
        <f t="shared" si="4"/>
        <v>6</v>
      </c>
      <c r="G155" s="338" t="s">
        <v>384</v>
      </c>
    </row>
    <row r="156" spans="1:7" ht="15" customHeight="1">
      <c r="A156" s="134" t="s">
        <v>7379</v>
      </c>
      <c r="B156" s="134" t="s">
        <v>51</v>
      </c>
      <c r="C156" s="301" t="s">
        <v>7888</v>
      </c>
      <c r="D156" s="100" t="s">
        <v>7698</v>
      </c>
      <c r="E156" s="116">
        <f t="shared" ref="E156:E157" si="6">45/3</f>
        <v>15</v>
      </c>
      <c r="F156" s="528">
        <f t="shared" si="4"/>
        <v>15</v>
      </c>
      <c r="G156" s="338" t="s">
        <v>384</v>
      </c>
    </row>
    <row r="157" spans="1:7" ht="15" customHeight="1">
      <c r="A157" s="134" t="s">
        <v>7379</v>
      </c>
      <c r="B157" s="134" t="s">
        <v>51</v>
      </c>
      <c r="C157" s="301" t="s">
        <v>7889</v>
      </c>
      <c r="D157" s="100" t="s">
        <v>7698</v>
      </c>
      <c r="E157" s="116">
        <f t="shared" si="6"/>
        <v>15</v>
      </c>
      <c r="F157" s="528">
        <f t="shared" si="4"/>
        <v>15</v>
      </c>
      <c r="G157" s="338" t="s">
        <v>384</v>
      </c>
    </row>
    <row r="158" spans="1:7" ht="15" customHeight="1">
      <c r="A158" s="134" t="s">
        <v>7379</v>
      </c>
      <c r="B158" s="134" t="s">
        <v>51</v>
      </c>
      <c r="C158" s="301" t="s">
        <v>7890</v>
      </c>
      <c r="D158" s="100" t="s">
        <v>7698</v>
      </c>
      <c r="E158" s="116">
        <f>E150/4</f>
        <v>3.0833333333333335</v>
      </c>
      <c r="F158" s="528">
        <f t="shared" si="4"/>
        <v>3.0833333333333335</v>
      </c>
      <c r="G158" s="338" t="s">
        <v>384</v>
      </c>
    </row>
    <row r="159" spans="1:7" ht="15" customHeight="1">
      <c r="A159" s="134" t="s">
        <v>7379</v>
      </c>
      <c r="B159" s="134" t="s">
        <v>51</v>
      </c>
      <c r="C159" s="301" t="s">
        <v>7891</v>
      </c>
      <c r="D159" s="100" t="s">
        <v>7698</v>
      </c>
      <c r="E159" s="116">
        <f>E152/4</f>
        <v>4</v>
      </c>
      <c r="F159" s="528">
        <f t="shared" si="4"/>
        <v>4</v>
      </c>
      <c r="G159" s="338" t="s">
        <v>384</v>
      </c>
    </row>
    <row r="160" spans="1:7" ht="15" customHeight="1">
      <c r="A160" s="134" t="s">
        <v>7379</v>
      </c>
      <c r="B160" s="134" t="s">
        <v>51</v>
      </c>
      <c r="C160" s="301" t="s">
        <v>7892</v>
      </c>
      <c r="D160" s="100" t="s">
        <v>7698</v>
      </c>
      <c r="E160" s="116">
        <f>E156/4</f>
        <v>3.75</v>
      </c>
      <c r="F160" s="528">
        <f t="shared" si="4"/>
        <v>3.75</v>
      </c>
      <c r="G160" s="338" t="s">
        <v>384</v>
      </c>
    </row>
    <row r="161" spans="1:7" ht="15" customHeight="1">
      <c r="A161" s="134" t="s">
        <v>7379</v>
      </c>
      <c r="B161" s="134" t="s">
        <v>51</v>
      </c>
      <c r="C161" s="301" t="s">
        <v>7893</v>
      </c>
      <c r="D161" s="100" t="s">
        <v>7698</v>
      </c>
      <c r="E161" s="116">
        <v>1.2333333333333334</v>
      </c>
      <c r="F161" s="528">
        <f t="shared" si="4"/>
        <v>1.2333333333333334</v>
      </c>
      <c r="G161" s="338" t="s">
        <v>384</v>
      </c>
    </row>
    <row r="162" spans="1:7" ht="15" customHeight="1">
      <c r="A162" s="134" t="s">
        <v>7379</v>
      </c>
      <c r="B162" s="134" t="s">
        <v>51</v>
      </c>
      <c r="C162" s="301" t="s">
        <v>7894</v>
      </c>
      <c r="D162" s="100" t="s">
        <v>7698</v>
      </c>
      <c r="E162" s="116">
        <v>1.6</v>
      </c>
      <c r="F162" s="528">
        <f t="shared" si="4"/>
        <v>1.6</v>
      </c>
      <c r="G162" s="338" t="s">
        <v>384</v>
      </c>
    </row>
    <row r="163" spans="1:7" ht="15" customHeight="1">
      <c r="A163" s="134" t="s">
        <v>7379</v>
      </c>
      <c r="B163" s="134" t="s">
        <v>51</v>
      </c>
      <c r="C163" s="301" t="s">
        <v>7895</v>
      </c>
      <c r="D163" s="100" t="s">
        <v>7698</v>
      </c>
      <c r="E163" s="116">
        <v>1.5</v>
      </c>
      <c r="F163" s="528">
        <f t="shared" si="4"/>
        <v>1.5</v>
      </c>
      <c r="G163" s="338" t="s">
        <v>384</v>
      </c>
    </row>
    <row r="164" spans="1:7" ht="15" customHeight="1">
      <c r="A164" s="134" t="s">
        <v>7379</v>
      </c>
      <c r="B164" s="134" t="s">
        <v>51</v>
      </c>
      <c r="C164" s="133" t="s">
        <v>7896</v>
      </c>
      <c r="D164" s="100" t="s">
        <v>7698</v>
      </c>
      <c r="E164" s="116">
        <f>39/3*2</f>
        <v>26</v>
      </c>
      <c r="F164" s="528">
        <f t="shared" si="4"/>
        <v>26</v>
      </c>
      <c r="G164" s="338" t="s">
        <v>384</v>
      </c>
    </row>
    <row r="165" spans="1:7" ht="15" customHeight="1">
      <c r="A165" s="134" t="s">
        <v>7379</v>
      </c>
      <c r="B165" s="134" t="s">
        <v>51</v>
      </c>
      <c r="C165" s="133" t="s">
        <v>7897</v>
      </c>
      <c r="D165" s="100" t="s">
        <v>7698</v>
      </c>
      <c r="E165" s="116">
        <f>55/3*2</f>
        <v>36.666666666666664</v>
      </c>
      <c r="F165" s="528">
        <f t="shared" si="4"/>
        <v>36.666666666666664</v>
      </c>
      <c r="G165" s="338" t="s">
        <v>384</v>
      </c>
    </row>
    <row r="166" spans="1:7" ht="15" customHeight="1">
      <c r="A166" s="134" t="s">
        <v>7379</v>
      </c>
      <c r="B166" s="134" t="s">
        <v>51</v>
      </c>
      <c r="C166" s="133" t="s">
        <v>7898</v>
      </c>
      <c r="D166" s="100" t="s">
        <v>7698</v>
      </c>
      <c r="E166" s="116">
        <f>19/3*3</f>
        <v>19</v>
      </c>
      <c r="F166" s="528">
        <f t="shared" si="4"/>
        <v>19</v>
      </c>
      <c r="G166" s="338" t="s">
        <v>384</v>
      </c>
    </row>
    <row r="167" spans="1:7" ht="15" customHeight="1">
      <c r="A167" s="134" t="s">
        <v>7379</v>
      </c>
      <c r="B167" s="134" t="s">
        <v>51</v>
      </c>
      <c r="C167" s="133" t="s">
        <v>7899</v>
      </c>
      <c r="D167" s="100" t="s">
        <v>7698</v>
      </c>
      <c r="E167" s="116">
        <f>(74+39)*2/3</f>
        <v>75.333333333333329</v>
      </c>
      <c r="F167" s="528">
        <f t="shared" si="4"/>
        <v>75.333333333333329</v>
      </c>
      <c r="G167" s="338" t="s">
        <v>384</v>
      </c>
    </row>
    <row r="168" spans="1:7" ht="15" customHeight="1">
      <c r="A168" s="134" t="s">
        <v>7562</v>
      </c>
      <c r="B168" s="133" t="s">
        <v>51</v>
      </c>
      <c r="C168" s="133" t="s">
        <v>7900</v>
      </c>
      <c r="D168" s="100" t="s">
        <v>7698</v>
      </c>
      <c r="E168" s="100">
        <f t="shared" ref="E168:F168" si="7">(39+23)/3</f>
        <v>20.666666666666668</v>
      </c>
      <c r="F168" s="100">
        <f t="shared" si="7"/>
        <v>20.666666666666668</v>
      </c>
      <c r="G168" s="338" t="s">
        <v>7563</v>
      </c>
    </row>
    <row r="169" spans="1:7" ht="15" customHeight="1">
      <c r="A169" s="134" t="s">
        <v>7562</v>
      </c>
      <c r="B169" s="133" t="s">
        <v>51</v>
      </c>
      <c r="C169" s="133" t="s">
        <v>7900</v>
      </c>
      <c r="D169" s="100" t="s">
        <v>7698</v>
      </c>
      <c r="E169" s="100">
        <f t="shared" ref="E169:F169" si="8">(45+23)/3</f>
        <v>22.666666666666668</v>
      </c>
      <c r="F169" s="100">
        <f t="shared" si="8"/>
        <v>22.666666666666668</v>
      </c>
      <c r="G169" s="338" t="s">
        <v>7563</v>
      </c>
    </row>
    <row r="170" spans="1:7" ht="15" customHeight="1">
      <c r="A170" s="134" t="s">
        <v>7562</v>
      </c>
      <c r="B170" s="133" t="s">
        <v>51</v>
      </c>
      <c r="C170" s="133" t="s">
        <v>7901</v>
      </c>
      <c r="D170" s="100" t="s">
        <v>7698</v>
      </c>
      <c r="E170" s="100">
        <f t="shared" ref="E170:F170" si="9">(39+23)/3</f>
        <v>20.666666666666668</v>
      </c>
      <c r="F170" s="100">
        <f t="shared" si="9"/>
        <v>20.666666666666668</v>
      </c>
      <c r="G170" s="338" t="s">
        <v>7563</v>
      </c>
    </row>
    <row r="171" spans="1:7" ht="15" customHeight="1">
      <c r="A171" s="134" t="s">
        <v>7562</v>
      </c>
      <c r="B171" s="133" t="s">
        <v>51</v>
      </c>
      <c r="C171" s="133" t="s">
        <v>7901</v>
      </c>
      <c r="D171" s="100" t="s">
        <v>7698</v>
      </c>
      <c r="E171" s="100">
        <f t="shared" ref="E171:F171" si="10">(45+23)/3</f>
        <v>22.666666666666668</v>
      </c>
      <c r="F171" s="100">
        <f t="shared" si="10"/>
        <v>22.666666666666668</v>
      </c>
      <c r="G171" s="338" t="s">
        <v>7563</v>
      </c>
    </row>
    <row r="172" spans="1:7" ht="15" customHeight="1">
      <c r="A172" s="134" t="s">
        <v>7562</v>
      </c>
      <c r="B172" s="133" t="s">
        <v>51</v>
      </c>
      <c r="C172" s="133" t="s">
        <v>7901</v>
      </c>
      <c r="D172" s="100" t="s">
        <v>7698</v>
      </c>
      <c r="E172" s="100">
        <f t="shared" ref="E172:F172" si="11">17/3</f>
        <v>5.666666666666667</v>
      </c>
      <c r="F172" s="100">
        <f t="shared" si="11"/>
        <v>5.666666666666667</v>
      </c>
      <c r="G172" s="338" t="s">
        <v>7563</v>
      </c>
    </row>
    <row r="173" spans="1:7" ht="15" customHeight="1">
      <c r="A173" s="134" t="s">
        <v>7562</v>
      </c>
      <c r="B173" s="133" t="s">
        <v>51</v>
      </c>
      <c r="C173" s="133" t="s">
        <v>7901</v>
      </c>
      <c r="D173" s="100" t="s">
        <v>7698</v>
      </c>
      <c r="E173" s="100">
        <f t="shared" ref="E173:F173" si="12">28/3</f>
        <v>9.3333333333333339</v>
      </c>
      <c r="F173" s="100">
        <f t="shared" si="12"/>
        <v>9.3333333333333339</v>
      </c>
      <c r="G173" s="338" t="s">
        <v>7563</v>
      </c>
    </row>
    <row r="174" spans="1:7" ht="15" customHeight="1">
      <c r="A174" s="134" t="s">
        <v>7562</v>
      </c>
      <c r="B174" s="133" t="s">
        <v>51</v>
      </c>
      <c r="C174" s="133" t="s">
        <v>7902</v>
      </c>
      <c r="D174" s="100" t="s">
        <v>7698</v>
      </c>
      <c r="E174" s="100">
        <f t="shared" ref="E174:F174" si="13">(39+23)/3*0.25</f>
        <v>5.166666666666667</v>
      </c>
      <c r="F174" s="100">
        <f t="shared" si="13"/>
        <v>5.166666666666667</v>
      </c>
      <c r="G174" s="338" t="s">
        <v>7563</v>
      </c>
    </row>
    <row r="175" spans="1:7" ht="15" customHeight="1">
      <c r="A175" s="134" t="s">
        <v>7562</v>
      </c>
      <c r="B175" s="133" t="s">
        <v>51</v>
      </c>
      <c r="C175" s="133" t="s">
        <v>7902</v>
      </c>
      <c r="D175" s="100" t="s">
        <v>7698</v>
      </c>
      <c r="E175" s="100">
        <f t="shared" ref="E175:F175" si="14">(45+23)/3*0.25</f>
        <v>5.666666666666667</v>
      </c>
      <c r="F175" s="100">
        <f t="shared" si="14"/>
        <v>5.666666666666667</v>
      </c>
      <c r="G175" s="338" t="s">
        <v>7563</v>
      </c>
    </row>
    <row r="176" spans="1:7" ht="15" customHeight="1">
      <c r="A176" s="134" t="s">
        <v>7562</v>
      </c>
      <c r="B176" s="133" t="s">
        <v>51</v>
      </c>
      <c r="C176" s="133" t="s">
        <v>7902</v>
      </c>
      <c r="D176" s="100" t="s">
        <v>7698</v>
      </c>
      <c r="E176" s="100">
        <f t="shared" ref="E176:F176" si="15">17/3*0.25</f>
        <v>1.4166666666666667</v>
      </c>
      <c r="F176" s="100">
        <f t="shared" si="15"/>
        <v>1.4166666666666667</v>
      </c>
      <c r="G176" s="338" t="s">
        <v>7563</v>
      </c>
    </row>
    <row r="177" spans="1:7" ht="15" customHeight="1">
      <c r="A177" s="134" t="s">
        <v>7562</v>
      </c>
      <c r="B177" s="133" t="s">
        <v>51</v>
      </c>
      <c r="C177" s="133" t="s">
        <v>7902</v>
      </c>
      <c r="D177" s="100" t="s">
        <v>7698</v>
      </c>
      <c r="E177" s="100">
        <f t="shared" ref="E177:F177" si="16">(28)/3*0.25</f>
        <v>2.3333333333333335</v>
      </c>
      <c r="F177" s="100">
        <f t="shared" si="16"/>
        <v>2.3333333333333335</v>
      </c>
      <c r="G177" s="338" t="s">
        <v>7563</v>
      </c>
    </row>
    <row r="178" spans="1:7" ht="15" customHeight="1">
      <c r="A178" s="134" t="s">
        <v>7562</v>
      </c>
      <c r="B178" s="133" t="s">
        <v>51</v>
      </c>
      <c r="C178" s="133" t="s">
        <v>7902</v>
      </c>
      <c r="D178" s="100" t="s">
        <v>7698</v>
      </c>
      <c r="E178" s="100">
        <f t="shared" ref="E178:F178" si="17">(39+23)/3*0.1</f>
        <v>2.0666666666666669</v>
      </c>
      <c r="F178" s="100">
        <f t="shared" si="17"/>
        <v>2.0666666666666669</v>
      </c>
      <c r="G178" s="338" t="s">
        <v>7563</v>
      </c>
    </row>
    <row r="179" spans="1:7" ht="15" customHeight="1">
      <c r="A179" s="134" t="s">
        <v>7562</v>
      </c>
      <c r="B179" s="133" t="s">
        <v>51</v>
      </c>
      <c r="C179" s="133" t="s">
        <v>7902</v>
      </c>
      <c r="D179" s="100" t="s">
        <v>7698</v>
      </c>
      <c r="E179" s="100">
        <f t="shared" ref="E179:F179" si="18">(45+23)/3*0.1</f>
        <v>2.2666666666666671</v>
      </c>
      <c r="F179" s="100">
        <f t="shared" si="18"/>
        <v>2.2666666666666671</v>
      </c>
      <c r="G179" s="338" t="s">
        <v>7563</v>
      </c>
    </row>
    <row r="180" spans="1:7" ht="15" customHeight="1">
      <c r="A180" s="134" t="s">
        <v>7562</v>
      </c>
      <c r="B180" s="133" t="s">
        <v>51</v>
      </c>
      <c r="C180" s="133" t="s">
        <v>7902</v>
      </c>
      <c r="D180" s="100" t="s">
        <v>7698</v>
      </c>
      <c r="E180" s="100">
        <f t="shared" ref="E180:F180" si="19">17/3*0.1</f>
        <v>0.56666666666666676</v>
      </c>
      <c r="F180" s="100">
        <f t="shared" si="19"/>
        <v>0.56666666666666676</v>
      </c>
      <c r="G180" s="338" t="s">
        <v>7563</v>
      </c>
    </row>
    <row r="181" spans="1:7" ht="15" customHeight="1">
      <c r="A181" s="134" t="s">
        <v>7562</v>
      </c>
      <c r="B181" s="133" t="s">
        <v>51</v>
      </c>
      <c r="C181" s="133" t="s">
        <v>7902</v>
      </c>
      <c r="D181" s="100" t="s">
        <v>7698</v>
      </c>
      <c r="E181" s="100">
        <f t="shared" ref="E181:F181" si="20">(28)/3*0.1</f>
        <v>0.93333333333333346</v>
      </c>
      <c r="F181" s="100">
        <f t="shared" si="20"/>
        <v>0.93333333333333346</v>
      </c>
      <c r="G181" s="338" t="s">
        <v>7563</v>
      </c>
    </row>
    <row r="182" spans="1:7" ht="15" customHeight="1">
      <c r="A182" s="134" t="s">
        <v>1822</v>
      </c>
      <c r="B182" s="133" t="s">
        <v>51</v>
      </c>
      <c r="C182" s="133" t="s">
        <v>7903</v>
      </c>
      <c r="D182" s="116" t="s">
        <v>7904</v>
      </c>
      <c r="E182" s="100" t="s">
        <v>7905</v>
      </c>
      <c r="F182" s="186">
        <v>8.67</v>
      </c>
      <c r="G182" s="338" t="s">
        <v>1822</v>
      </c>
    </row>
    <row r="183" spans="1:7" ht="15" customHeight="1">
      <c r="A183" s="134" t="s">
        <v>1822</v>
      </c>
      <c r="B183" s="133" t="s">
        <v>51</v>
      </c>
      <c r="C183" s="133" t="s">
        <v>7906</v>
      </c>
      <c r="D183" s="116" t="s">
        <v>7778</v>
      </c>
      <c r="E183" s="100" t="s">
        <v>7907</v>
      </c>
      <c r="F183" s="186">
        <v>5.67</v>
      </c>
      <c r="G183" s="338" t="s">
        <v>1822</v>
      </c>
    </row>
    <row r="184" spans="1:7" ht="15" customHeight="1">
      <c r="A184" s="134" t="s">
        <v>1822</v>
      </c>
      <c r="B184" s="133" t="s">
        <v>51</v>
      </c>
      <c r="C184" s="133" t="s">
        <v>7908</v>
      </c>
      <c r="D184" s="116" t="s">
        <v>7778</v>
      </c>
      <c r="E184" s="100" t="s">
        <v>7907</v>
      </c>
      <c r="F184" s="186">
        <v>5.67</v>
      </c>
      <c r="G184" s="338" t="s">
        <v>1822</v>
      </c>
    </row>
    <row r="185" spans="1:7" ht="15" customHeight="1">
      <c r="A185" s="134" t="s">
        <v>1822</v>
      </c>
      <c r="B185" s="133" t="s">
        <v>51</v>
      </c>
      <c r="C185" s="133" t="s">
        <v>7909</v>
      </c>
      <c r="D185" s="116" t="s">
        <v>7778</v>
      </c>
      <c r="E185" s="100" t="s">
        <v>7907</v>
      </c>
      <c r="F185" s="186">
        <v>5.67</v>
      </c>
      <c r="G185" s="338" t="s">
        <v>1822</v>
      </c>
    </row>
    <row r="186" spans="1:7" ht="15" customHeight="1">
      <c r="A186" s="134" t="s">
        <v>1822</v>
      </c>
      <c r="B186" s="133" t="s">
        <v>51</v>
      </c>
      <c r="C186" s="133" t="s">
        <v>7910</v>
      </c>
      <c r="D186" s="116" t="s">
        <v>7778</v>
      </c>
      <c r="E186" s="100" t="s">
        <v>7907</v>
      </c>
      <c r="F186" s="186">
        <v>5.67</v>
      </c>
      <c r="G186" s="338" t="s">
        <v>1822</v>
      </c>
    </row>
    <row r="187" spans="1:7" ht="15" customHeight="1">
      <c r="A187" s="134" t="s">
        <v>1822</v>
      </c>
      <c r="B187" s="133" t="s">
        <v>51</v>
      </c>
      <c r="C187" s="133" t="s">
        <v>7911</v>
      </c>
      <c r="D187" s="116" t="s">
        <v>7778</v>
      </c>
      <c r="E187" s="100" t="s">
        <v>7907</v>
      </c>
      <c r="F187" s="186">
        <v>5.67</v>
      </c>
      <c r="G187" s="338" t="s">
        <v>1822</v>
      </c>
    </row>
    <row r="188" spans="1:7" ht="15" customHeight="1">
      <c r="A188" s="134" t="s">
        <v>1822</v>
      </c>
      <c r="B188" s="133" t="s">
        <v>51</v>
      </c>
      <c r="C188" s="301" t="s">
        <v>7912</v>
      </c>
      <c r="D188" s="116" t="s">
        <v>7778</v>
      </c>
      <c r="E188" s="100" t="s">
        <v>7907</v>
      </c>
      <c r="F188" s="186">
        <v>5.67</v>
      </c>
      <c r="G188" s="338" t="s">
        <v>1822</v>
      </c>
    </row>
    <row r="189" spans="1:7" ht="15" customHeight="1">
      <c r="A189" s="134" t="s">
        <v>1822</v>
      </c>
      <c r="B189" s="133" t="s">
        <v>51</v>
      </c>
      <c r="C189" s="133" t="s">
        <v>7913</v>
      </c>
      <c r="D189" s="116" t="s">
        <v>7778</v>
      </c>
      <c r="E189" s="100" t="s">
        <v>7914</v>
      </c>
      <c r="F189" s="186">
        <v>5.33</v>
      </c>
      <c r="G189" s="338" t="s">
        <v>1822</v>
      </c>
    </row>
    <row r="190" spans="1:7" ht="15" customHeight="1">
      <c r="A190" s="134" t="s">
        <v>1822</v>
      </c>
      <c r="B190" s="133" t="s">
        <v>51</v>
      </c>
      <c r="C190" s="133" t="s">
        <v>7915</v>
      </c>
      <c r="D190" s="116" t="s">
        <v>7778</v>
      </c>
      <c r="E190" s="100" t="s">
        <v>7916</v>
      </c>
      <c r="F190" s="186">
        <v>7</v>
      </c>
      <c r="G190" s="338" t="s">
        <v>1822</v>
      </c>
    </row>
    <row r="191" spans="1:7" ht="15" customHeight="1">
      <c r="A191" s="134" t="s">
        <v>1822</v>
      </c>
      <c r="B191" s="133" t="s">
        <v>51</v>
      </c>
      <c r="C191" s="133" t="s">
        <v>7917</v>
      </c>
      <c r="D191" s="116" t="s">
        <v>7778</v>
      </c>
      <c r="E191" s="100" t="s">
        <v>7914</v>
      </c>
      <c r="F191" s="186">
        <v>5.33</v>
      </c>
      <c r="G191" s="338" t="s">
        <v>1822</v>
      </c>
    </row>
    <row r="192" spans="1:7" ht="15" customHeight="1">
      <c r="A192" s="134" t="s">
        <v>1822</v>
      </c>
      <c r="B192" s="133" t="s">
        <v>51</v>
      </c>
      <c r="C192" s="133" t="s">
        <v>7918</v>
      </c>
      <c r="D192" s="116" t="s">
        <v>7778</v>
      </c>
      <c r="E192" s="100" t="s">
        <v>7916</v>
      </c>
      <c r="F192" s="186">
        <v>7</v>
      </c>
      <c r="G192" s="338" t="s">
        <v>1822</v>
      </c>
    </row>
    <row r="193" spans="1:7" ht="15" customHeight="1">
      <c r="A193" s="134" t="s">
        <v>1822</v>
      </c>
      <c r="B193" s="133" t="s">
        <v>51</v>
      </c>
      <c r="C193" s="133" t="s">
        <v>7919</v>
      </c>
      <c r="D193" s="116" t="s">
        <v>7778</v>
      </c>
      <c r="E193" s="100" t="s">
        <v>7914</v>
      </c>
      <c r="F193" s="186">
        <v>5.33</v>
      </c>
      <c r="G193" s="338" t="s">
        <v>1822</v>
      </c>
    </row>
    <row r="194" spans="1:7" ht="15" customHeight="1">
      <c r="A194" s="134" t="s">
        <v>1822</v>
      </c>
      <c r="B194" s="133" t="s">
        <v>51</v>
      </c>
      <c r="C194" s="133" t="s">
        <v>7920</v>
      </c>
      <c r="D194" s="116" t="s">
        <v>7778</v>
      </c>
      <c r="E194" s="100" t="s">
        <v>7921</v>
      </c>
      <c r="F194" s="186">
        <v>1.42</v>
      </c>
      <c r="G194" s="338" t="s">
        <v>1822</v>
      </c>
    </row>
    <row r="195" spans="1:7" ht="15" customHeight="1">
      <c r="A195" s="134" t="s">
        <v>1822</v>
      </c>
      <c r="B195" s="133" t="s">
        <v>51</v>
      </c>
      <c r="C195" s="133" t="s">
        <v>7922</v>
      </c>
      <c r="D195" s="116" t="s">
        <v>7778</v>
      </c>
      <c r="E195" s="100" t="s">
        <v>7923</v>
      </c>
      <c r="F195" s="186">
        <v>0.56999999999999995</v>
      </c>
      <c r="G195" s="338" t="s">
        <v>1822</v>
      </c>
    </row>
    <row r="196" spans="1:7" ht="15" customHeight="1">
      <c r="A196" s="134" t="s">
        <v>1822</v>
      </c>
      <c r="B196" s="133" t="s">
        <v>51</v>
      </c>
      <c r="C196" s="133" t="s">
        <v>7924</v>
      </c>
      <c r="D196" s="116" t="s">
        <v>7778</v>
      </c>
      <c r="E196" s="100" t="s">
        <v>7921</v>
      </c>
      <c r="F196" s="186">
        <v>1.42</v>
      </c>
      <c r="G196" s="338" t="s">
        <v>1822</v>
      </c>
    </row>
    <row r="197" spans="1:7" ht="15" customHeight="1">
      <c r="A197" s="134" t="s">
        <v>1822</v>
      </c>
      <c r="B197" s="133" t="s">
        <v>51</v>
      </c>
      <c r="C197" s="133" t="s">
        <v>7925</v>
      </c>
      <c r="D197" s="116" t="s">
        <v>7778</v>
      </c>
      <c r="E197" s="100" t="s">
        <v>7923</v>
      </c>
      <c r="F197" s="186">
        <v>0.56999999999999995</v>
      </c>
      <c r="G197" s="338" t="s">
        <v>1822</v>
      </c>
    </row>
    <row r="198" spans="1:7" ht="15" customHeight="1">
      <c r="A198" s="134" t="s">
        <v>1822</v>
      </c>
      <c r="B198" s="133" t="s">
        <v>51</v>
      </c>
      <c r="C198" s="133" t="s">
        <v>7926</v>
      </c>
      <c r="D198" s="116" t="s">
        <v>7778</v>
      </c>
      <c r="E198" s="100" t="s">
        <v>7927</v>
      </c>
      <c r="F198" s="186">
        <v>1.33</v>
      </c>
      <c r="G198" s="338" t="s">
        <v>1822</v>
      </c>
    </row>
    <row r="199" spans="1:7" ht="15" customHeight="1">
      <c r="A199" s="134" t="s">
        <v>1822</v>
      </c>
      <c r="B199" s="133" t="s">
        <v>51</v>
      </c>
      <c r="C199" s="133" t="s">
        <v>7928</v>
      </c>
      <c r="D199" s="116" t="s">
        <v>7778</v>
      </c>
      <c r="E199" s="100" t="s">
        <v>7929</v>
      </c>
      <c r="F199" s="186">
        <v>0.53</v>
      </c>
      <c r="G199" s="338" t="s">
        <v>1822</v>
      </c>
    </row>
    <row r="200" spans="1:7" ht="15" customHeight="1">
      <c r="A200" s="134" t="s">
        <v>1822</v>
      </c>
      <c r="B200" s="133" t="s">
        <v>51</v>
      </c>
      <c r="C200" s="133" t="s">
        <v>7930</v>
      </c>
      <c r="D200" s="116" t="s">
        <v>7778</v>
      </c>
      <c r="E200" s="100" t="s">
        <v>7931</v>
      </c>
      <c r="F200" s="186">
        <v>1.75</v>
      </c>
      <c r="G200" s="338" t="s">
        <v>1822</v>
      </c>
    </row>
    <row r="201" spans="1:7" ht="15" customHeight="1">
      <c r="A201" s="134" t="s">
        <v>1822</v>
      </c>
      <c r="B201" s="133" t="s">
        <v>51</v>
      </c>
      <c r="C201" s="133" t="s">
        <v>7932</v>
      </c>
      <c r="D201" s="116" t="s">
        <v>7778</v>
      </c>
      <c r="E201" s="100" t="s">
        <v>7933</v>
      </c>
      <c r="F201" s="186">
        <v>0.7</v>
      </c>
      <c r="G201" s="338" t="s">
        <v>1822</v>
      </c>
    </row>
    <row r="202" spans="1:7" ht="15" customHeight="1">
      <c r="A202" s="134" t="s">
        <v>7565</v>
      </c>
      <c r="B202" s="133" t="s">
        <v>51</v>
      </c>
      <c r="C202" s="133" t="s">
        <v>7934</v>
      </c>
      <c r="D202" s="100" t="s">
        <v>7698</v>
      </c>
      <c r="E202" s="186">
        <f>45/3+(45/3)*0.25+(45/3)*0.1</f>
        <v>20.25</v>
      </c>
      <c r="F202" s="186">
        <f t="shared" ref="F202:F208" si="21">E202</f>
        <v>20.25</v>
      </c>
      <c r="G202" s="338" t="s">
        <v>1869</v>
      </c>
    </row>
    <row r="203" spans="1:7" ht="15" customHeight="1">
      <c r="A203" s="134" t="s">
        <v>7565</v>
      </c>
      <c r="B203" s="133" t="s">
        <v>51</v>
      </c>
      <c r="C203" s="133" t="s">
        <v>7935</v>
      </c>
      <c r="D203" s="100" t="s">
        <v>7698</v>
      </c>
      <c r="E203" s="100">
        <f>(45/3 )*2</f>
        <v>30</v>
      </c>
      <c r="F203" s="186">
        <f t="shared" si="21"/>
        <v>30</v>
      </c>
      <c r="G203" s="338" t="s">
        <v>1869</v>
      </c>
    </row>
    <row r="204" spans="1:7" ht="15" customHeight="1">
      <c r="A204" s="134" t="s">
        <v>7565</v>
      </c>
      <c r="B204" s="133" t="s">
        <v>51</v>
      </c>
      <c r="C204" s="133" t="s">
        <v>7936</v>
      </c>
      <c r="D204" s="100" t="s">
        <v>7698</v>
      </c>
      <c r="E204" s="186">
        <f>29/3+(29/3)*0.25+(29/3)*0.1</f>
        <v>13.049999999999999</v>
      </c>
      <c r="F204" s="186">
        <f t="shared" si="21"/>
        <v>13.049999999999999</v>
      </c>
      <c r="G204" s="338" t="s">
        <v>1869</v>
      </c>
    </row>
    <row r="205" spans="1:7" ht="15" customHeight="1">
      <c r="A205" s="134" t="s">
        <v>7565</v>
      </c>
      <c r="B205" s="133" t="s">
        <v>51</v>
      </c>
      <c r="C205" s="133" t="s">
        <v>7937</v>
      </c>
      <c r="D205" s="100" t="s">
        <v>7698</v>
      </c>
      <c r="E205" s="186">
        <f>(29/3)*1</f>
        <v>9.6666666666666661</v>
      </c>
      <c r="F205" s="186">
        <f t="shared" si="21"/>
        <v>9.6666666666666661</v>
      </c>
      <c r="G205" s="338" t="s">
        <v>1869</v>
      </c>
    </row>
    <row r="206" spans="1:7" ht="15" customHeight="1">
      <c r="A206" s="134" t="s">
        <v>7565</v>
      </c>
      <c r="B206" s="133" t="s">
        <v>51</v>
      </c>
      <c r="C206" s="133" t="s">
        <v>7938</v>
      </c>
      <c r="D206" s="100" t="s">
        <v>7698</v>
      </c>
      <c r="E206" s="186">
        <f>14/3+(14/3)*0.25+(14/3)*0.1</f>
        <v>6.3000000000000007</v>
      </c>
      <c r="F206" s="186">
        <f t="shared" si="21"/>
        <v>6.3000000000000007</v>
      </c>
      <c r="G206" s="338" t="s">
        <v>1869</v>
      </c>
    </row>
    <row r="207" spans="1:7" ht="15" customHeight="1">
      <c r="A207" s="134" t="s">
        <v>7565</v>
      </c>
      <c r="B207" s="133" t="s">
        <v>51</v>
      </c>
      <c r="C207" s="133" t="s">
        <v>7939</v>
      </c>
      <c r="D207" s="100" t="s">
        <v>7698</v>
      </c>
      <c r="E207" s="186">
        <f>(14/3)*1</f>
        <v>4.666666666666667</v>
      </c>
      <c r="F207" s="186">
        <f t="shared" si="21"/>
        <v>4.666666666666667</v>
      </c>
      <c r="G207" s="338" t="s">
        <v>1869</v>
      </c>
    </row>
    <row r="208" spans="1:7" ht="15" customHeight="1">
      <c r="A208" s="134" t="s">
        <v>7565</v>
      </c>
      <c r="B208" s="133" t="s">
        <v>51</v>
      </c>
      <c r="C208" s="133" t="s">
        <v>7940</v>
      </c>
      <c r="D208" s="100" t="s">
        <v>7941</v>
      </c>
      <c r="E208" s="116">
        <f>((10+1)/3)*3</f>
        <v>11</v>
      </c>
      <c r="F208" s="528">
        <f t="shared" si="21"/>
        <v>11</v>
      </c>
      <c r="G208" s="338" t="s">
        <v>1869</v>
      </c>
    </row>
    <row r="209" spans="1:7" ht="15" customHeight="1">
      <c r="A209" s="134" t="s">
        <v>409</v>
      </c>
      <c r="B209" s="133" t="s">
        <v>401</v>
      </c>
      <c r="C209" s="133" t="s">
        <v>7942</v>
      </c>
      <c r="D209" s="116" t="s">
        <v>7778</v>
      </c>
      <c r="E209" s="100" t="s">
        <v>7943</v>
      </c>
      <c r="F209" s="528">
        <v>15.33</v>
      </c>
      <c r="G209" s="338" t="s">
        <v>409</v>
      </c>
    </row>
    <row r="210" spans="1:7" ht="15" customHeight="1">
      <c r="A210" s="134" t="s">
        <v>409</v>
      </c>
      <c r="B210" s="133" t="s">
        <v>401</v>
      </c>
      <c r="C210" s="133" t="s">
        <v>7944</v>
      </c>
      <c r="D210" s="116" t="s">
        <v>7778</v>
      </c>
      <c r="E210" s="100" t="s">
        <v>7943</v>
      </c>
      <c r="F210" s="528">
        <v>15.33</v>
      </c>
      <c r="G210" s="338" t="s">
        <v>409</v>
      </c>
    </row>
    <row r="211" spans="1:7" ht="15" customHeight="1">
      <c r="A211" s="134" t="s">
        <v>409</v>
      </c>
      <c r="B211" s="133" t="s">
        <v>401</v>
      </c>
      <c r="C211" s="133" t="s">
        <v>7945</v>
      </c>
      <c r="D211" s="116" t="s">
        <v>7778</v>
      </c>
      <c r="E211" s="100" t="s">
        <v>7943</v>
      </c>
      <c r="F211" s="528">
        <v>3.66</v>
      </c>
      <c r="G211" s="338" t="s">
        <v>409</v>
      </c>
    </row>
    <row r="212" spans="1:7" ht="15" customHeight="1">
      <c r="A212" s="134" t="s">
        <v>409</v>
      </c>
      <c r="B212" s="133" t="s">
        <v>401</v>
      </c>
      <c r="C212" s="133" t="s">
        <v>7946</v>
      </c>
      <c r="D212" s="116" t="s">
        <v>7778</v>
      </c>
      <c r="E212" s="100" t="s">
        <v>7943</v>
      </c>
      <c r="F212" s="528">
        <v>1.66</v>
      </c>
      <c r="G212" s="338" t="s">
        <v>409</v>
      </c>
    </row>
    <row r="213" spans="1:7" ht="15" customHeight="1">
      <c r="A213" s="134" t="s">
        <v>409</v>
      </c>
      <c r="B213" s="133" t="s">
        <v>401</v>
      </c>
      <c r="C213" s="133" t="s">
        <v>7947</v>
      </c>
      <c r="D213" s="116" t="s">
        <v>7778</v>
      </c>
      <c r="E213" s="100" t="s">
        <v>7943</v>
      </c>
      <c r="F213" s="528">
        <v>4</v>
      </c>
      <c r="G213" s="338" t="s">
        <v>409</v>
      </c>
    </row>
    <row r="214" spans="1:7" ht="15" customHeight="1">
      <c r="A214" s="134" t="s">
        <v>409</v>
      </c>
      <c r="B214" s="133" t="s">
        <v>401</v>
      </c>
      <c r="C214" s="133" t="s">
        <v>7948</v>
      </c>
      <c r="D214" s="116" t="s">
        <v>7778</v>
      </c>
      <c r="E214" s="100" t="s">
        <v>7943</v>
      </c>
      <c r="F214" s="528">
        <v>16</v>
      </c>
      <c r="G214" s="338" t="s">
        <v>409</v>
      </c>
    </row>
    <row r="215" spans="1:7" ht="15" customHeight="1">
      <c r="A215" s="134" t="s">
        <v>409</v>
      </c>
      <c r="B215" s="133" t="s">
        <v>401</v>
      </c>
      <c r="C215" s="133" t="s">
        <v>7949</v>
      </c>
      <c r="D215" s="116" t="s">
        <v>7778</v>
      </c>
      <c r="E215" s="100" t="s">
        <v>7943</v>
      </c>
      <c r="F215" s="528">
        <v>16</v>
      </c>
      <c r="G215" s="338" t="s">
        <v>409</v>
      </c>
    </row>
    <row r="216" spans="1:7" ht="15" customHeight="1">
      <c r="A216" s="134" t="s">
        <v>409</v>
      </c>
      <c r="B216" s="133" t="s">
        <v>401</v>
      </c>
      <c r="C216" s="133" t="s">
        <v>7950</v>
      </c>
      <c r="D216" s="116" t="s">
        <v>7778</v>
      </c>
      <c r="E216" s="100" t="s">
        <v>7943</v>
      </c>
      <c r="F216" s="528">
        <v>16</v>
      </c>
      <c r="G216" s="338" t="s">
        <v>409</v>
      </c>
    </row>
    <row r="217" spans="1:7" ht="15" customHeight="1">
      <c r="A217" s="134" t="s">
        <v>409</v>
      </c>
      <c r="B217" s="133" t="s">
        <v>401</v>
      </c>
      <c r="C217" s="133" t="s">
        <v>7951</v>
      </c>
      <c r="D217" s="116" t="s">
        <v>7778</v>
      </c>
      <c r="E217" s="100" t="s">
        <v>7943</v>
      </c>
      <c r="F217" s="528">
        <v>4</v>
      </c>
      <c r="G217" s="338" t="s">
        <v>409</v>
      </c>
    </row>
    <row r="218" spans="1:7" ht="15" customHeight="1">
      <c r="A218" s="134" t="s">
        <v>409</v>
      </c>
      <c r="B218" s="133" t="s">
        <v>401</v>
      </c>
      <c r="C218" s="133" t="s">
        <v>7952</v>
      </c>
      <c r="D218" s="116" t="s">
        <v>7778</v>
      </c>
      <c r="E218" s="100" t="s">
        <v>7943</v>
      </c>
      <c r="F218" s="528">
        <v>1.66</v>
      </c>
      <c r="G218" s="338" t="s">
        <v>409</v>
      </c>
    </row>
    <row r="219" spans="1:7" ht="15" customHeight="1">
      <c r="A219" s="134" t="s">
        <v>409</v>
      </c>
      <c r="B219" s="133" t="s">
        <v>401</v>
      </c>
      <c r="C219" s="133" t="s">
        <v>7953</v>
      </c>
      <c r="D219" s="116" t="s">
        <v>7954</v>
      </c>
      <c r="E219" s="100" t="s">
        <v>7955</v>
      </c>
      <c r="F219" s="528">
        <v>25.33</v>
      </c>
      <c r="G219" s="338" t="s">
        <v>409</v>
      </c>
    </row>
    <row r="220" spans="1:7" ht="15" customHeight="1">
      <c r="A220" s="134" t="s">
        <v>409</v>
      </c>
      <c r="B220" s="133" t="s">
        <v>401</v>
      </c>
      <c r="C220" s="133" t="s">
        <v>7956</v>
      </c>
      <c r="D220" s="116" t="s">
        <v>7957</v>
      </c>
      <c r="E220" s="100" t="s">
        <v>7958</v>
      </c>
      <c r="F220" s="528">
        <v>11</v>
      </c>
      <c r="G220" s="338" t="s">
        <v>409</v>
      </c>
    </row>
    <row r="221" spans="1:7" ht="15" customHeight="1">
      <c r="A221" s="134" t="s">
        <v>7047</v>
      </c>
      <c r="B221" s="99" t="s">
        <v>401</v>
      </c>
      <c r="C221" s="133" t="s">
        <v>7959</v>
      </c>
      <c r="D221" s="116"/>
      <c r="E221" s="528">
        <f>27/3</f>
        <v>9</v>
      </c>
      <c r="F221" s="528">
        <v>9</v>
      </c>
      <c r="G221" s="338" t="s">
        <v>2115</v>
      </c>
    </row>
    <row r="222" spans="1:7" ht="15" customHeight="1">
      <c r="A222" s="134" t="s">
        <v>7047</v>
      </c>
      <c r="B222" s="99" t="s">
        <v>401</v>
      </c>
      <c r="C222" s="133" t="s">
        <v>7960</v>
      </c>
      <c r="D222" s="116"/>
      <c r="E222" s="528">
        <f>24/3</f>
        <v>8</v>
      </c>
      <c r="F222" s="528">
        <v>8</v>
      </c>
      <c r="G222" s="338" t="s">
        <v>2115</v>
      </c>
    </row>
    <row r="223" spans="1:7" ht="15" customHeight="1">
      <c r="A223" s="134" t="s">
        <v>7047</v>
      </c>
      <c r="B223" s="99" t="s">
        <v>401</v>
      </c>
      <c r="C223" s="133" t="s">
        <v>7961</v>
      </c>
      <c r="D223" s="116"/>
      <c r="E223" s="528">
        <f>15/3</f>
        <v>5</v>
      </c>
      <c r="F223" s="528">
        <v>5</v>
      </c>
      <c r="G223" s="338" t="s">
        <v>2115</v>
      </c>
    </row>
    <row r="224" spans="1:7" ht="15" customHeight="1">
      <c r="A224" s="134" t="s">
        <v>7047</v>
      </c>
      <c r="B224" s="99" t="s">
        <v>401</v>
      </c>
      <c r="C224" s="133" t="s">
        <v>7962</v>
      </c>
      <c r="D224" s="116"/>
      <c r="E224" s="528">
        <v>8</v>
      </c>
      <c r="F224" s="528">
        <v>8</v>
      </c>
      <c r="G224" s="338" t="s">
        <v>2115</v>
      </c>
    </row>
    <row r="225" spans="1:7" ht="15" customHeight="1">
      <c r="A225" s="134" t="s">
        <v>7047</v>
      </c>
      <c r="B225" s="99" t="s">
        <v>401</v>
      </c>
      <c r="C225" s="133" t="s">
        <v>7963</v>
      </c>
      <c r="D225" s="116" t="s">
        <v>7790</v>
      </c>
      <c r="E225" s="528">
        <f>27/3*0.5</f>
        <v>4.5</v>
      </c>
      <c r="F225" s="528">
        <v>4.5</v>
      </c>
      <c r="G225" s="338" t="s">
        <v>2115</v>
      </c>
    </row>
    <row r="226" spans="1:7" ht="15" customHeight="1">
      <c r="A226" s="134" t="s">
        <v>7047</v>
      </c>
      <c r="B226" s="99" t="s">
        <v>401</v>
      </c>
      <c r="C226" s="133" t="s">
        <v>7964</v>
      </c>
      <c r="D226" s="116" t="s">
        <v>7790</v>
      </c>
      <c r="E226" s="528">
        <f>24/3*0.5</f>
        <v>4</v>
      </c>
      <c r="F226" s="528">
        <v>4</v>
      </c>
      <c r="G226" s="338" t="s">
        <v>2115</v>
      </c>
    </row>
    <row r="227" spans="1:7" ht="15" customHeight="1">
      <c r="A227" s="134" t="s">
        <v>7047</v>
      </c>
      <c r="B227" s="99" t="s">
        <v>401</v>
      </c>
      <c r="C227" s="133" t="s">
        <v>7965</v>
      </c>
      <c r="D227" s="116" t="s">
        <v>7790</v>
      </c>
      <c r="E227" s="528">
        <f>15/3*0.5</f>
        <v>2.5</v>
      </c>
      <c r="F227" s="528">
        <v>2.5</v>
      </c>
      <c r="G227" s="338" t="s">
        <v>2115</v>
      </c>
    </row>
    <row r="228" spans="1:7" ht="15" customHeight="1">
      <c r="A228" s="134" t="s">
        <v>7047</v>
      </c>
      <c r="B228" s="99" t="s">
        <v>401</v>
      </c>
      <c r="C228" s="133" t="s">
        <v>7966</v>
      </c>
      <c r="D228" s="116" t="s">
        <v>7790</v>
      </c>
      <c r="E228" s="528">
        <f t="shared" ref="E228:E229" si="22">24/3*0.5</f>
        <v>4</v>
      </c>
      <c r="F228" s="528">
        <v>4</v>
      </c>
      <c r="G228" s="338" t="s">
        <v>2115</v>
      </c>
    </row>
    <row r="229" spans="1:7" ht="15" customHeight="1">
      <c r="A229" s="134" t="s">
        <v>7047</v>
      </c>
      <c r="B229" s="99" t="s">
        <v>401</v>
      </c>
      <c r="C229" s="133" t="s">
        <v>7967</v>
      </c>
      <c r="D229" s="116" t="s">
        <v>7790</v>
      </c>
      <c r="E229" s="528">
        <f t="shared" si="22"/>
        <v>4</v>
      </c>
      <c r="F229" s="528">
        <v>4</v>
      </c>
      <c r="G229" s="338" t="s">
        <v>2115</v>
      </c>
    </row>
    <row r="230" spans="1:7" ht="15" customHeight="1">
      <c r="A230" s="134" t="s">
        <v>7047</v>
      </c>
      <c r="B230" s="99" t="s">
        <v>401</v>
      </c>
      <c r="C230" s="133" t="s">
        <v>7968</v>
      </c>
      <c r="D230" s="116" t="s">
        <v>7790</v>
      </c>
      <c r="E230" s="528">
        <f>27/3*0.5</f>
        <v>4.5</v>
      </c>
      <c r="F230" s="528">
        <v>4.5</v>
      </c>
      <c r="G230" s="338" t="s">
        <v>2115</v>
      </c>
    </row>
    <row r="231" spans="1:7" ht="15" customHeight="1">
      <c r="A231" s="134" t="s">
        <v>7047</v>
      </c>
      <c r="B231" s="99" t="s">
        <v>401</v>
      </c>
      <c r="C231" s="133" t="s">
        <v>7969</v>
      </c>
      <c r="D231" s="116"/>
      <c r="E231" s="528">
        <f>18/3</f>
        <v>6</v>
      </c>
      <c r="F231" s="528">
        <v>6</v>
      </c>
      <c r="G231" s="338" t="s">
        <v>2115</v>
      </c>
    </row>
    <row r="232" spans="1:7" ht="15" customHeight="1">
      <c r="A232" s="134" t="s">
        <v>7047</v>
      </c>
      <c r="B232" s="99" t="s">
        <v>401</v>
      </c>
      <c r="C232" s="133" t="s">
        <v>7970</v>
      </c>
      <c r="D232" s="116"/>
      <c r="E232" s="528">
        <v>4</v>
      </c>
      <c r="F232" s="528">
        <v>4</v>
      </c>
      <c r="G232" s="338" t="s">
        <v>2115</v>
      </c>
    </row>
    <row r="233" spans="1:7" ht="15" customHeight="1">
      <c r="A233" s="134" t="s">
        <v>7047</v>
      </c>
      <c r="B233" s="99" t="s">
        <v>401</v>
      </c>
      <c r="C233" s="133" t="s">
        <v>7971</v>
      </c>
      <c r="D233" s="116"/>
      <c r="E233" s="528">
        <f>19/3</f>
        <v>6.333333333333333</v>
      </c>
      <c r="F233" s="528">
        <v>6.33</v>
      </c>
      <c r="G233" s="338" t="s">
        <v>2115</v>
      </c>
    </row>
    <row r="234" spans="1:7" ht="15" customHeight="1">
      <c r="A234" s="134" t="s">
        <v>7047</v>
      </c>
      <c r="B234" s="99" t="s">
        <v>401</v>
      </c>
      <c r="C234" s="133" t="s">
        <v>7972</v>
      </c>
      <c r="D234" s="116" t="s">
        <v>7778</v>
      </c>
      <c r="E234" s="528">
        <f t="shared" ref="E234:E236" si="23">17/3</f>
        <v>5.666666666666667</v>
      </c>
      <c r="F234" s="528">
        <v>5.67</v>
      </c>
      <c r="G234" s="338" t="s">
        <v>2115</v>
      </c>
    </row>
    <row r="235" spans="1:7" ht="15" customHeight="1">
      <c r="A235" s="134" t="s">
        <v>7047</v>
      </c>
      <c r="B235" s="99" t="s">
        <v>401</v>
      </c>
      <c r="C235" s="133" t="s">
        <v>7973</v>
      </c>
      <c r="D235" s="116" t="s">
        <v>7778</v>
      </c>
      <c r="E235" s="528">
        <f t="shared" si="23"/>
        <v>5.666666666666667</v>
      </c>
      <c r="F235" s="528">
        <v>5.67</v>
      </c>
      <c r="G235" s="338" t="s">
        <v>2115</v>
      </c>
    </row>
    <row r="236" spans="1:7" ht="15" customHeight="1">
      <c r="A236" s="256" t="s">
        <v>7047</v>
      </c>
      <c r="B236" s="177" t="s">
        <v>401</v>
      </c>
      <c r="C236" s="469" t="s">
        <v>7974</v>
      </c>
      <c r="D236" s="259" t="s">
        <v>7778</v>
      </c>
      <c r="E236" s="1120">
        <f t="shared" si="23"/>
        <v>5.666666666666667</v>
      </c>
      <c r="F236" s="1120">
        <v>5.67</v>
      </c>
      <c r="G236" s="338" t="s">
        <v>2115</v>
      </c>
    </row>
    <row r="237" spans="1:7" ht="15" customHeight="1">
      <c r="A237" s="256" t="s">
        <v>7047</v>
      </c>
      <c r="B237" s="177" t="s">
        <v>401</v>
      </c>
      <c r="C237" s="133" t="s">
        <v>7975</v>
      </c>
      <c r="D237" s="259" t="s">
        <v>7778</v>
      </c>
      <c r="E237" s="1124">
        <f t="shared" ref="E237:E238" si="24">(17*25%)/3</f>
        <v>1.4166666666666667</v>
      </c>
      <c r="F237" s="1124">
        <v>1.42</v>
      </c>
      <c r="G237" s="338" t="s">
        <v>2115</v>
      </c>
    </row>
    <row r="238" spans="1:7" ht="15" customHeight="1">
      <c r="A238" s="256" t="s">
        <v>7047</v>
      </c>
      <c r="B238" s="177" t="s">
        <v>401</v>
      </c>
      <c r="C238" s="133" t="s">
        <v>7976</v>
      </c>
      <c r="D238" s="259" t="s">
        <v>7778</v>
      </c>
      <c r="E238" s="1124">
        <f t="shared" si="24"/>
        <v>1.4166666666666667</v>
      </c>
      <c r="F238" s="1124">
        <v>1.42</v>
      </c>
      <c r="G238" s="338" t="s">
        <v>2115</v>
      </c>
    </row>
    <row r="239" spans="1:7" ht="15" customHeight="1">
      <c r="A239" s="256" t="s">
        <v>7047</v>
      </c>
      <c r="B239" s="177" t="s">
        <v>401</v>
      </c>
      <c r="C239" s="133" t="s">
        <v>7977</v>
      </c>
      <c r="D239" s="116" t="s">
        <v>7790</v>
      </c>
      <c r="E239" s="1124">
        <f>(24*25%)/3*0.5</f>
        <v>1</v>
      </c>
      <c r="F239" s="1124">
        <v>1</v>
      </c>
      <c r="G239" s="338" t="s">
        <v>2115</v>
      </c>
    </row>
    <row r="240" spans="1:7" ht="15" customHeight="1">
      <c r="A240" s="134" t="s">
        <v>7047</v>
      </c>
      <c r="B240" s="99" t="s">
        <v>401</v>
      </c>
      <c r="C240" s="916" t="s">
        <v>7978</v>
      </c>
      <c r="D240" s="116" t="s">
        <v>7790</v>
      </c>
      <c r="E240" s="1124">
        <f>27*25%/3*0.5</f>
        <v>1.125</v>
      </c>
      <c r="F240" s="1124">
        <v>1.1299999999999999</v>
      </c>
      <c r="G240" s="338" t="s">
        <v>2115</v>
      </c>
    </row>
    <row r="241" spans="1:7" ht="15" customHeight="1">
      <c r="A241" s="134" t="s">
        <v>466</v>
      </c>
      <c r="B241" s="133" t="s">
        <v>401</v>
      </c>
      <c r="C241" s="133" t="s">
        <v>7979</v>
      </c>
      <c r="D241" s="116" t="s">
        <v>7698</v>
      </c>
      <c r="E241" s="116" t="s">
        <v>7980</v>
      </c>
      <c r="F241" s="528">
        <v>15</v>
      </c>
      <c r="G241" s="338" t="s">
        <v>466</v>
      </c>
    </row>
    <row r="242" spans="1:7" ht="15" customHeight="1">
      <c r="A242" s="134" t="str">
        <f>$A$16</f>
        <v>Bădescu Mircea</v>
      </c>
      <c r="B242" s="133" t="str">
        <f>$B$16</f>
        <v>FING3</v>
      </c>
      <c r="C242" s="133" t="s">
        <v>7981</v>
      </c>
      <c r="D242" s="116" t="s">
        <v>7698</v>
      </c>
      <c r="E242" s="116" t="s">
        <v>7982</v>
      </c>
      <c r="F242" s="528">
        <v>15</v>
      </c>
      <c r="G242" s="338" t="s">
        <v>466</v>
      </c>
    </row>
    <row r="243" spans="1:7" ht="15" customHeight="1">
      <c r="A243" s="134" t="str">
        <f t="shared" ref="A243:B243" si="25">A241</f>
        <v>Dumitrascu Danut</v>
      </c>
      <c r="B243" s="133" t="str">
        <f t="shared" si="25"/>
        <v>FING 3</v>
      </c>
      <c r="C243" s="133" t="s">
        <v>7983</v>
      </c>
      <c r="D243" s="116" t="s">
        <v>7698</v>
      </c>
      <c r="E243" s="116" t="s">
        <v>7984</v>
      </c>
      <c r="F243" s="528">
        <v>3.75</v>
      </c>
      <c r="G243" s="338" t="s">
        <v>466</v>
      </c>
    </row>
    <row r="244" spans="1:7" ht="15" customHeight="1">
      <c r="A244" s="134" t="str">
        <f t="shared" ref="A244:B244" si="26">A241</f>
        <v>Dumitrascu Danut</v>
      </c>
      <c r="B244" s="133" t="str">
        <f t="shared" si="26"/>
        <v>FING 3</v>
      </c>
      <c r="C244" s="133" t="s">
        <v>7985</v>
      </c>
      <c r="D244" s="116" t="s">
        <v>7698</v>
      </c>
      <c r="E244" s="116" t="s">
        <v>7986</v>
      </c>
      <c r="F244" s="528">
        <v>1.5</v>
      </c>
      <c r="G244" s="338" t="s">
        <v>466</v>
      </c>
    </row>
    <row r="245" spans="1:7" ht="15" customHeight="1">
      <c r="A245" s="134" t="str">
        <f t="shared" ref="A245:A246" si="27">$A$16</f>
        <v>Bădescu Mircea</v>
      </c>
      <c r="B245" s="133" t="str">
        <f t="shared" ref="B245:B246" si="28">$B$16</f>
        <v>FING3</v>
      </c>
      <c r="C245" s="399" t="s">
        <v>7987</v>
      </c>
      <c r="D245" s="116" t="s">
        <v>7698</v>
      </c>
      <c r="E245" s="528" t="s">
        <v>7988</v>
      </c>
      <c r="F245" s="528">
        <v>6.33</v>
      </c>
      <c r="G245" s="338" t="s">
        <v>466</v>
      </c>
    </row>
    <row r="246" spans="1:7" ht="15" customHeight="1">
      <c r="A246" s="134" t="str">
        <f t="shared" si="27"/>
        <v>Bădescu Mircea</v>
      </c>
      <c r="B246" s="133" t="str">
        <f t="shared" si="28"/>
        <v>FING3</v>
      </c>
      <c r="C246" s="133" t="s">
        <v>7989</v>
      </c>
      <c r="D246" s="116" t="s">
        <v>7698</v>
      </c>
      <c r="E246" s="528" t="s">
        <v>7988</v>
      </c>
      <c r="F246" s="528">
        <v>6.33</v>
      </c>
      <c r="G246" s="338" t="s">
        <v>466</v>
      </c>
    </row>
    <row r="247" spans="1:7" ht="15" customHeight="1">
      <c r="A247" s="134" t="str">
        <f t="shared" ref="A247:B247" si="29">A245</f>
        <v>Bădescu Mircea</v>
      </c>
      <c r="B247" s="133" t="str">
        <f t="shared" si="29"/>
        <v>FING3</v>
      </c>
      <c r="C247" s="133" t="s">
        <v>7990</v>
      </c>
      <c r="D247" s="116" t="s">
        <v>7698</v>
      </c>
      <c r="E247" s="116" t="s">
        <v>7991</v>
      </c>
      <c r="F247" s="528">
        <v>1.58</v>
      </c>
      <c r="G247" s="338" t="s">
        <v>466</v>
      </c>
    </row>
    <row r="248" spans="1:7" ht="15" customHeight="1">
      <c r="A248" s="134" t="str">
        <f t="shared" ref="A248:B248" si="30">A245</f>
        <v>Bădescu Mircea</v>
      </c>
      <c r="B248" s="133" t="str">
        <f t="shared" si="30"/>
        <v>FING3</v>
      </c>
      <c r="C248" s="133" t="s">
        <v>7992</v>
      </c>
      <c r="D248" s="116" t="str">
        <f t="shared" ref="D248:D249" si="31">$D$16</f>
        <v>titular</v>
      </c>
      <c r="E248" s="116" t="s">
        <v>7993</v>
      </c>
      <c r="F248" s="528">
        <v>0.63300000000000001</v>
      </c>
      <c r="G248" s="338" t="s">
        <v>466</v>
      </c>
    </row>
    <row r="249" spans="1:7" ht="15" customHeight="1">
      <c r="A249" s="134" t="str">
        <f>$A$16</f>
        <v>Bădescu Mircea</v>
      </c>
      <c r="B249" s="133" t="str">
        <f t="shared" ref="B249:B252" si="32">$B$16</f>
        <v>FING3</v>
      </c>
      <c r="C249" s="133" t="s">
        <v>7994</v>
      </c>
      <c r="D249" s="116" t="str">
        <f t="shared" si="31"/>
        <v>titular</v>
      </c>
      <c r="E249" s="116" t="s">
        <v>7995</v>
      </c>
      <c r="F249" s="528">
        <v>10</v>
      </c>
      <c r="G249" s="338" t="s">
        <v>466</v>
      </c>
    </row>
    <row r="250" spans="1:7" ht="15" customHeight="1">
      <c r="A250" s="134" t="s">
        <v>466</v>
      </c>
      <c r="B250" s="133" t="str">
        <f t="shared" si="32"/>
        <v>FING3</v>
      </c>
      <c r="C250" s="133" t="s">
        <v>7996</v>
      </c>
      <c r="D250" s="116" t="s">
        <v>7698</v>
      </c>
      <c r="E250" s="116" t="s">
        <v>7995</v>
      </c>
      <c r="F250" s="528">
        <v>10</v>
      </c>
      <c r="G250" s="338" t="s">
        <v>466</v>
      </c>
    </row>
    <row r="251" spans="1:7" ht="15" customHeight="1">
      <c r="A251" s="134" t="s">
        <v>466</v>
      </c>
      <c r="B251" s="133" t="str">
        <f t="shared" si="32"/>
        <v>FING3</v>
      </c>
      <c r="C251" s="133" t="s">
        <v>7997</v>
      </c>
      <c r="D251" s="116" t="s">
        <v>7698</v>
      </c>
      <c r="E251" s="116" t="s">
        <v>7998</v>
      </c>
      <c r="F251" s="528">
        <v>2.5</v>
      </c>
      <c r="G251" s="338" t="s">
        <v>466</v>
      </c>
    </row>
    <row r="252" spans="1:7" ht="15" customHeight="1">
      <c r="A252" s="256" t="str">
        <f>$A$16</f>
        <v>Bădescu Mircea</v>
      </c>
      <c r="B252" s="469" t="str">
        <f t="shared" si="32"/>
        <v>FING3</v>
      </c>
      <c r="C252" s="469" t="s">
        <v>7999</v>
      </c>
      <c r="D252" s="259" t="s">
        <v>7698</v>
      </c>
      <c r="E252" s="259" t="s">
        <v>8000</v>
      </c>
      <c r="F252" s="1120">
        <v>1</v>
      </c>
      <c r="G252" s="338" t="s">
        <v>466</v>
      </c>
    </row>
    <row r="253" spans="1:7" ht="15" customHeight="1">
      <c r="A253" s="134" t="str">
        <f t="shared" ref="A253:B253" si="33">A249</f>
        <v>Bădescu Mircea</v>
      </c>
      <c r="B253" s="133" t="str">
        <f t="shared" si="33"/>
        <v>FING3</v>
      </c>
      <c r="C253" s="133" t="s">
        <v>8001</v>
      </c>
      <c r="D253" s="116" t="str">
        <f>D241</f>
        <v>titular</v>
      </c>
      <c r="E253" s="116" t="str">
        <f t="shared" ref="E253:E256" si="34">E249</f>
        <v>30x0,33</v>
      </c>
      <c r="F253" s="528">
        <v>10</v>
      </c>
      <c r="G253" s="338" t="s">
        <v>466</v>
      </c>
    </row>
    <row r="254" spans="1:7" ht="15" customHeight="1">
      <c r="A254" s="134" t="str">
        <f t="shared" ref="A254:B254" si="35">A250</f>
        <v>Dumitrascu Danut</v>
      </c>
      <c r="B254" s="133" t="str">
        <f t="shared" si="35"/>
        <v>FING3</v>
      </c>
      <c r="C254" s="133" t="s">
        <v>8002</v>
      </c>
      <c r="D254" s="116" t="str">
        <f>D245</f>
        <v>titular</v>
      </c>
      <c r="E254" s="116" t="str">
        <f t="shared" si="34"/>
        <v>30x0,33</v>
      </c>
      <c r="F254" s="528">
        <v>10</v>
      </c>
      <c r="G254" s="338" t="s">
        <v>466</v>
      </c>
    </row>
    <row r="255" spans="1:7" ht="15" customHeight="1">
      <c r="A255" s="134" t="str">
        <f t="shared" ref="A255:B255" si="36">A251</f>
        <v>Dumitrascu Danut</v>
      </c>
      <c r="B255" s="133" t="str">
        <f t="shared" si="36"/>
        <v>FING3</v>
      </c>
      <c r="C255" s="133" t="s">
        <v>8003</v>
      </c>
      <c r="D255" s="116" t="str">
        <f>D242</f>
        <v>titular</v>
      </c>
      <c r="E255" s="116" t="str">
        <f t="shared" si="34"/>
        <v>0,25x30/3</v>
      </c>
      <c r="F255" s="528">
        <v>2.5</v>
      </c>
      <c r="G255" s="338" t="s">
        <v>466</v>
      </c>
    </row>
    <row r="256" spans="1:7" ht="15" customHeight="1">
      <c r="A256" s="134" t="str">
        <f t="shared" ref="A256:B256" si="37">A252</f>
        <v>Bădescu Mircea</v>
      </c>
      <c r="B256" s="133" t="str">
        <f t="shared" si="37"/>
        <v>FING3</v>
      </c>
      <c r="C256" s="133" t="s">
        <v>8004</v>
      </c>
      <c r="D256" s="116" t="str">
        <f>D246</f>
        <v>titular</v>
      </c>
      <c r="E256" s="116" t="str">
        <f t="shared" si="34"/>
        <v>0,1x30/3</v>
      </c>
      <c r="F256" s="528">
        <v>1</v>
      </c>
      <c r="G256" s="338" t="s">
        <v>466</v>
      </c>
    </row>
    <row r="257" spans="1:7" ht="15" customHeight="1">
      <c r="A257" s="134" t="str">
        <f t="shared" ref="A257:B257" si="38">A249</f>
        <v>Bădescu Mircea</v>
      </c>
      <c r="B257" s="133" t="str">
        <f t="shared" si="38"/>
        <v>FING3</v>
      </c>
      <c r="C257" s="133" t="s">
        <v>8005</v>
      </c>
      <c r="D257" s="116" t="str">
        <f>D241</f>
        <v>titular</v>
      </c>
      <c r="E257" s="528" t="s">
        <v>7988</v>
      </c>
      <c r="F257" s="528">
        <v>9.33</v>
      </c>
      <c r="G257" s="338" t="s">
        <v>466</v>
      </c>
    </row>
    <row r="258" spans="1:7" ht="15" customHeight="1">
      <c r="A258" s="134" t="str">
        <f t="shared" ref="A258:B258" si="39">A250</f>
        <v>Dumitrascu Danut</v>
      </c>
      <c r="B258" s="133" t="str">
        <f t="shared" si="39"/>
        <v>FING3</v>
      </c>
      <c r="C258" s="133" t="s">
        <v>8006</v>
      </c>
      <c r="D258" s="116" t="str">
        <f>D245</f>
        <v>titular</v>
      </c>
      <c r="E258" s="528" t="s">
        <v>7988</v>
      </c>
      <c r="F258" s="528">
        <v>9.33</v>
      </c>
      <c r="G258" s="338" t="s">
        <v>466</v>
      </c>
    </row>
    <row r="259" spans="1:7" ht="15" customHeight="1">
      <c r="A259" s="134" t="str">
        <f t="shared" ref="A259:B259" si="40">A251</f>
        <v>Dumitrascu Danut</v>
      </c>
      <c r="B259" s="133" t="str">
        <f t="shared" si="40"/>
        <v>FING3</v>
      </c>
      <c r="C259" s="133" t="s">
        <v>8007</v>
      </c>
      <c r="D259" s="116" t="str">
        <f>D242</f>
        <v>titular</v>
      </c>
      <c r="E259" s="116" t="str">
        <f t="shared" ref="E259:E260" si="41">E251</f>
        <v>0,25x30/3</v>
      </c>
      <c r="F259" s="528">
        <v>2.33</v>
      </c>
      <c r="G259" s="338" t="s">
        <v>466</v>
      </c>
    </row>
    <row r="260" spans="1:7" ht="15" customHeight="1">
      <c r="A260" s="134" t="str">
        <f t="shared" ref="A260:B260" si="42">A252</f>
        <v>Bădescu Mircea</v>
      </c>
      <c r="B260" s="133" t="str">
        <f t="shared" si="42"/>
        <v>FING3</v>
      </c>
      <c r="C260" s="133" t="s">
        <v>8008</v>
      </c>
      <c r="D260" s="116" t="str">
        <f>D246</f>
        <v>titular</v>
      </c>
      <c r="E260" s="116" t="str">
        <f t="shared" si="41"/>
        <v>0,1x30/3</v>
      </c>
      <c r="F260" s="528">
        <v>0.93</v>
      </c>
      <c r="G260" s="338" t="s">
        <v>466</v>
      </c>
    </row>
    <row r="261" spans="1:7" ht="15" customHeight="1">
      <c r="A261" s="134" t="s">
        <v>466</v>
      </c>
      <c r="B261" s="133" t="s">
        <v>401</v>
      </c>
      <c r="C261" s="133" t="s">
        <v>8009</v>
      </c>
      <c r="D261" s="116" t="s">
        <v>7772</v>
      </c>
      <c r="E261" s="116" t="s">
        <v>8010</v>
      </c>
      <c r="F261" s="528">
        <v>66.66</v>
      </c>
      <c r="G261" s="338" t="s">
        <v>466</v>
      </c>
    </row>
    <row r="262" spans="1:7" ht="15" customHeight="1">
      <c r="A262" s="134" t="s">
        <v>466</v>
      </c>
      <c r="B262" s="133" t="s">
        <v>401</v>
      </c>
      <c r="C262" s="133" t="s">
        <v>8011</v>
      </c>
      <c r="D262" s="116" t="s">
        <v>7772</v>
      </c>
      <c r="E262" s="116" t="s">
        <v>8012</v>
      </c>
      <c r="F262" s="528">
        <v>12</v>
      </c>
      <c r="G262" s="338" t="s">
        <v>466</v>
      </c>
    </row>
    <row r="263" spans="1:7" ht="15" customHeight="1">
      <c r="A263" s="134" t="s">
        <v>466</v>
      </c>
      <c r="B263" s="133" t="s">
        <v>401</v>
      </c>
      <c r="C263" s="133" t="s">
        <v>8013</v>
      </c>
      <c r="D263" s="116" t="s">
        <v>7769</v>
      </c>
      <c r="E263" s="116" t="s">
        <v>8014</v>
      </c>
      <c r="F263" s="528">
        <v>35.33</v>
      </c>
      <c r="G263" s="338" t="s">
        <v>466</v>
      </c>
    </row>
    <row r="264" spans="1:7" ht="15" customHeight="1">
      <c r="A264" s="134" t="s">
        <v>466</v>
      </c>
      <c r="B264" s="133" t="s">
        <v>401</v>
      </c>
      <c r="C264" s="133" t="s">
        <v>8015</v>
      </c>
      <c r="D264" s="116" t="s">
        <v>7769</v>
      </c>
      <c r="E264" s="116" t="s">
        <v>8016</v>
      </c>
      <c r="F264" s="528">
        <v>21.33</v>
      </c>
      <c r="G264" s="338" t="s">
        <v>466</v>
      </c>
    </row>
    <row r="265" spans="1:7" ht="15" customHeight="1">
      <c r="A265" s="134" t="s">
        <v>466</v>
      </c>
      <c r="B265" s="133" t="s">
        <v>401</v>
      </c>
      <c r="C265" s="133" t="s">
        <v>8017</v>
      </c>
      <c r="D265" s="116" t="s">
        <v>7769</v>
      </c>
      <c r="E265" s="116" t="s">
        <v>8018</v>
      </c>
      <c r="F265" s="528">
        <v>19.2</v>
      </c>
      <c r="G265" s="338" t="s">
        <v>466</v>
      </c>
    </row>
    <row r="266" spans="1:7" ht="15" customHeight="1">
      <c r="A266" s="134" t="s">
        <v>466</v>
      </c>
      <c r="B266" s="133" t="s">
        <v>401</v>
      </c>
      <c r="C266" s="133" t="s">
        <v>8019</v>
      </c>
      <c r="D266" s="116" t="s">
        <v>7769</v>
      </c>
      <c r="E266" s="116" t="s">
        <v>8020</v>
      </c>
      <c r="F266" s="528">
        <v>17.600000000000001</v>
      </c>
      <c r="G266" s="338" t="s">
        <v>466</v>
      </c>
    </row>
    <row r="267" spans="1:7" ht="15" customHeight="1">
      <c r="A267" s="134" t="s">
        <v>466</v>
      </c>
      <c r="B267" s="133" t="s">
        <v>401</v>
      </c>
      <c r="C267" s="133" t="s">
        <v>8021</v>
      </c>
      <c r="D267" s="116" t="s">
        <v>7772</v>
      </c>
      <c r="E267" s="116" t="s">
        <v>8022</v>
      </c>
      <c r="F267" s="528">
        <v>14.4</v>
      </c>
      <c r="G267" s="338" t="s">
        <v>466</v>
      </c>
    </row>
    <row r="268" spans="1:7" ht="15" customHeight="1">
      <c r="A268" s="134" t="s">
        <v>4848</v>
      </c>
      <c r="B268" s="133" t="s">
        <v>51</v>
      </c>
      <c r="C268" s="133" t="s">
        <v>8023</v>
      </c>
      <c r="D268" s="116" t="s">
        <v>7778</v>
      </c>
      <c r="E268" s="116" t="s">
        <v>8024</v>
      </c>
      <c r="F268" s="528">
        <v>32</v>
      </c>
      <c r="G268" s="338" t="s">
        <v>2207</v>
      </c>
    </row>
    <row r="269" spans="1:7" ht="15" customHeight="1">
      <c r="A269" s="134" t="s">
        <v>4848</v>
      </c>
      <c r="B269" s="133" t="s">
        <v>51</v>
      </c>
      <c r="C269" s="133" t="s">
        <v>8023</v>
      </c>
      <c r="D269" s="116" t="s">
        <v>7778</v>
      </c>
      <c r="E269" s="116" t="s">
        <v>8025</v>
      </c>
      <c r="F269" s="528">
        <v>12</v>
      </c>
      <c r="G269" s="338" t="s">
        <v>2207</v>
      </c>
    </row>
    <row r="270" spans="1:7" ht="15" customHeight="1">
      <c r="A270" s="134" t="s">
        <v>4848</v>
      </c>
      <c r="B270" s="133" t="s">
        <v>51</v>
      </c>
      <c r="C270" s="133" t="s">
        <v>8023</v>
      </c>
      <c r="D270" s="116" t="s">
        <v>7778</v>
      </c>
      <c r="E270" s="116">
        <v>13</v>
      </c>
      <c r="F270" s="528">
        <v>39</v>
      </c>
      <c r="G270" s="338" t="s">
        <v>2207</v>
      </c>
    </row>
    <row r="271" spans="1:7" ht="15" customHeight="1">
      <c r="A271" s="134" t="s">
        <v>4848</v>
      </c>
      <c r="B271" s="133" t="s">
        <v>51</v>
      </c>
      <c r="C271" s="133" t="s">
        <v>8023</v>
      </c>
      <c r="D271" s="116" t="s">
        <v>7778</v>
      </c>
      <c r="E271" s="116" t="s">
        <v>8026</v>
      </c>
      <c r="F271" s="528">
        <v>15.33</v>
      </c>
      <c r="G271" s="338" t="s">
        <v>2207</v>
      </c>
    </row>
    <row r="272" spans="1:7" ht="15" customHeight="1">
      <c r="A272" s="134" t="s">
        <v>4848</v>
      </c>
      <c r="B272" s="133" t="s">
        <v>51</v>
      </c>
      <c r="C272" s="133" t="s">
        <v>8023</v>
      </c>
      <c r="D272" s="116" t="s">
        <v>7778</v>
      </c>
      <c r="E272" s="116" t="s">
        <v>8027</v>
      </c>
      <c r="F272" s="528">
        <v>16</v>
      </c>
      <c r="G272" s="338" t="s">
        <v>2207</v>
      </c>
    </row>
    <row r="273" spans="1:7" ht="15" customHeight="1">
      <c r="A273" s="134" t="s">
        <v>4848</v>
      </c>
      <c r="B273" s="133" t="s">
        <v>51</v>
      </c>
      <c r="C273" s="133" t="s">
        <v>8023</v>
      </c>
      <c r="D273" s="116" t="s">
        <v>7778</v>
      </c>
      <c r="E273" s="116" t="s">
        <v>8028</v>
      </c>
      <c r="F273" s="528">
        <v>21</v>
      </c>
      <c r="G273" s="338" t="s">
        <v>2207</v>
      </c>
    </row>
    <row r="274" spans="1:7" ht="15" customHeight="1">
      <c r="A274" s="134" t="s">
        <v>4848</v>
      </c>
      <c r="B274" s="133" t="s">
        <v>51</v>
      </c>
      <c r="C274" s="133" t="s">
        <v>8023</v>
      </c>
      <c r="D274" s="116" t="s">
        <v>7778</v>
      </c>
      <c r="E274" s="116" t="s">
        <v>8029</v>
      </c>
      <c r="F274" s="528">
        <v>28</v>
      </c>
      <c r="G274" s="338" t="s">
        <v>2207</v>
      </c>
    </row>
    <row r="275" spans="1:7" ht="15" customHeight="1">
      <c r="A275" s="134" t="s">
        <v>8030</v>
      </c>
      <c r="B275" s="133" t="s">
        <v>51</v>
      </c>
      <c r="C275" s="133" t="s">
        <v>8031</v>
      </c>
      <c r="D275" s="116" t="s">
        <v>8032</v>
      </c>
      <c r="E275" s="116" t="s">
        <v>8033</v>
      </c>
      <c r="F275" s="528">
        <v>1</v>
      </c>
      <c r="G275" s="338" t="s">
        <v>7571</v>
      </c>
    </row>
    <row r="276" spans="1:7" ht="15" customHeight="1">
      <c r="A276" s="134" t="s">
        <v>8030</v>
      </c>
      <c r="B276" s="133" t="s">
        <v>51</v>
      </c>
      <c r="C276" s="133" t="s">
        <v>8034</v>
      </c>
      <c r="D276" s="116" t="s">
        <v>8032</v>
      </c>
      <c r="E276" s="116" t="s">
        <v>8035</v>
      </c>
      <c r="F276" s="528">
        <v>22</v>
      </c>
      <c r="G276" s="338" t="s">
        <v>7571</v>
      </c>
    </row>
    <row r="277" spans="1:7" ht="15" customHeight="1">
      <c r="A277" s="134" t="s">
        <v>8030</v>
      </c>
      <c r="B277" s="133" t="s">
        <v>51</v>
      </c>
      <c r="C277" s="133" t="s">
        <v>8036</v>
      </c>
      <c r="D277" s="116" t="s">
        <v>8032</v>
      </c>
      <c r="E277" s="116" t="s">
        <v>8037</v>
      </c>
      <c r="F277" s="528" t="s">
        <v>8038</v>
      </c>
      <c r="G277" s="338" t="s">
        <v>7571</v>
      </c>
    </row>
    <row r="278" spans="1:7" ht="15" customHeight="1">
      <c r="A278" s="134" t="s">
        <v>8030</v>
      </c>
      <c r="B278" s="133" t="s">
        <v>105</v>
      </c>
      <c r="C278" s="133" t="s">
        <v>8039</v>
      </c>
      <c r="D278" s="116" t="s">
        <v>8032</v>
      </c>
      <c r="E278" s="116" t="s">
        <v>8040</v>
      </c>
      <c r="F278" s="528" t="s">
        <v>8041</v>
      </c>
      <c r="G278" s="338" t="s">
        <v>7571</v>
      </c>
    </row>
    <row r="279" spans="1:7" ht="15" customHeight="1">
      <c r="A279" s="134" t="s">
        <v>8030</v>
      </c>
      <c r="B279" s="133" t="s">
        <v>51</v>
      </c>
      <c r="C279" s="133" t="s">
        <v>8042</v>
      </c>
      <c r="D279" s="116" t="s">
        <v>7698</v>
      </c>
      <c r="E279" s="116" t="s">
        <v>8043</v>
      </c>
      <c r="F279" s="528" t="s">
        <v>8044</v>
      </c>
      <c r="G279" s="338" t="s">
        <v>7571</v>
      </c>
    </row>
    <row r="280" spans="1:7" ht="15" customHeight="1">
      <c r="A280" s="134" t="s">
        <v>8030</v>
      </c>
      <c r="B280" s="133" t="s">
        <v>51</v>
      </c>
      <c r="C280" s="133" t="s">
        <v>8045</v>
      </c>
      <c r="D280" s="116" t="s">
        <v>7698</v>
      </c>
      <c r="E280" s="116" t="s">
        <v>8046</v>
      </c>
      <c r="F280" s="528">
        <v>1.03</v>
      </c>
      <c r="G280" s="338" t="s">
        <v>7571</v>
      </c>
    </row>
    <row r="281" spans="1:7" ht="15" customHeight="1">
      <c r="A281" s="134" t="s">
        <v>8030</v>
      </c>
      <c r="B281" s="133" t="s">
        <v>51</v>
      </c>
      <c r="C281" s="133" t="s">
        <v>8047</v>
      </c>
      <c r="D281" s="116" t="s">
        <v>7698</v>
      </c>
      <c r="E281" s="116" t="s">
        <v>8046</v>
      </c>
      <c r="F281" s="528">
        <v>1.03</v>
      </c>
      <c r="G281" s="338" t="s">
        <v>7571</v>
      </c>
    </row>
    <row r="282" spans="1:7" ht="15" customHeight="1">
      <c r="A282" s="134" t="s">
        <v>8030</v>
      </c>
      <c r="B282" s="133" t="s">
        <v>51</v>
      </c>
      <c r="C282" s="133" t="s">
        <v>8048</v>
      </c>
      <c r="D282" s="116" t="s">
        <v>7698</v>
      </c>
      <c r="E282" s="116" t="s">
        <v>8049</v>
      </c>
      <c r="F282" s="528" t="s">
        <v>8050</v>
      </c>
      <c r="G282" s="338" t="s">
        <v>7571</v>
      </c>
    </row>
    <row r="283" spans="1:7" ht="15" customHeight="1">
      <c r="A283" s="134" t="s">
        <v>8030</v>
      </c>
      <c r="B283" s="133" t="s">
        <v>51</v>
      </c>
      <c r="C283" s="133" t="s">
        <v>8051</v>
      </c>
      <c r="D283" s="116" t="s">
        <v>7698</v>
      </c>
      <c r="E283" s="116" t="s">
        <v>8049</v>
      </c>
      <c r="F283" s="528" t="s">
        <v>8050</v>
      </c>
      <c r="G283" s="338" t="s">
        <v>7571</v>
      </c>
    </row>
    <row r="284" spans="1:7" ht="15" customHeight="1">
      <c r="A284" s="134" t="s">
        <v>8030</v>
      </c>
      <c r="B284" s="133" t="s">
        <v>51</v>
      </c>
      <c r="C284" s="133" t="s">
        <v>8052</v>
      </c>
      <c r="D284" s="116" t="s">
        <v>7698</v>
      </c>
      <c r="E284" s="116" t="s">
        <v>8049</v>
      </c>
      <c r="F284" s="528" t="s">
        <v>8050</v>
      </c>
      <c r="G284" s="338" t="s">
        <v>7571</v>
      </c>
    </row>
    <row r="285" spans="1:7" ht="15" customHeight="1">
      <c r="A285" s="134" t="s">
        <v>8030</v>
      </c>
      <c r="B285" s="133" t="s">
        <v>51</v>
      </c>
      <c r="C285" s="133" t="s">
        <v>8053</v>
      </c>
      <c r="D285" s="116" t="s">
        <v>7698</v>
      </c>
      <c r="E285" s="116" t="s">
        <v>8054</v>
      </c>
      <c r="F285" s="528">
        <v>2.58</v>
      </c>
      <c r="G285" s="338" t="s">
        <v>7571</v>
      </c>
    </row>
    <row r="286" spans="1:7" ht="15" customHeight="1">
      <c r="A286" s="134" t="s">
        <v>8030</v>
      </c>
      <c r="B286" s="133" t="s">
        <v>51</v>
      </c>
      <c r="C286" s="133" t="s">
        <v>8055</v>
      </c>
      <c r="D286" s="116" t="s">
        <v>8056</v>
      </c>
      <c r="E286" s="116" t="s">
        <v>8057</v>
      </c>
      <c r="F286" s="528">
        <v>1.29</v>
      </c>
      <c r="G286" s="338" t="s">
        <v>7571</v>
      </c>
    </row>
    <row r="287" spans="1:7" ht="15" customHeight="1">
      <c r="A287" s="134" t="s">
        <v>8030</v>
      </c>
      <c r="B287" s="133" t="s">
        <v>51</v>
      </c>
      <c r="C287" s="133" t="s">
        <v>8058</v>
      </c>
      <c r="D287" s="116" t="s">
        <v>7698</v>
      </c>
      <c r="E287" s="116" t="s">
        <v>8059</v>
      </c>
      <c r="F287" s="528">
        <v>2</v>
      </c>
      <c r="G287" s="338" t="s">
        <v>7571</v>
      </c>
    </row>
    <row r="288" spans="1:7" ht="15" customHeight="1">
      <c r="A288" s="134" t="s">
        <v>8030</v>
      </c>
      <c r="B288" s="133" t="s">
        <v>51</v>
      </c>
      <c r="C288" s="133" t="s">
        <v>8060</v>
      </c>
      <c r="D288" s="116" t="s">
        <v>7698</v>
      </c>
      <c r="E288" s="116" t="s">
        <v>8061</v>
      </c>
      <c r="F288" s="528" t="s">
        <v>8062</v>
      </c>
      <c r="G288" s="338" t="s">
        <v>7571</v>
      </c>
    </row>
    <row r="289" spans="1:7" ht="15" customHeight="1">
      <c r="A289" s="134" t="s">
        <v>8030</v>
      </c>
      <c r="B289" s="133" t="s">
        <v>51</v>
      </c>
      <c r="C289" s="133" t="s">
        <v>8063</v>
      </c>
      <c r="D289" s="116" t="s">
        <v>8056</v>
      </c>
      <c r="E289" s="116" t="s">
        <v>8064</v>
      </c>
      <c r="F289" s="528">
        <v>5.16</v>
      </c>
      <c r="G289" s="338" t="s">
        <v>7571</v>
      </c>
    </row>
    <row r="290" spans="1:7" ht="15" customHeight="1">
      <c r="A290" s="134" t="s">
        <v>8030</v>
      </c>
      <c r="B290" s="133" t="s">
        <v>51</v>
      </c>
      <c r="C290" s="133" t="s">
        <v>8065</v>
      </c>
      <c r="D290" s="116" t="s">
        <v>7698</v>
      </c>
      <c r="E290" s="116" t="s">
        <v>8066</v>
      </c>
      <c r="F290" s="528">
        <v>10.33</v>
      </c>
      <c r="G290" s="338" t="s">
        <v>7571</v>
      </c>
    </row>
    <row r="291" spans="1:7" ht="15" customHeight="1">
      <c r="A291" s="134" t="s">
        <v>8030</v>
      </c>
      <c r="B291" s="133" t="s">
        <v>51</v>
      </c>
      <c r="C291" s="133" t="s">
        <v>8067</v>
      </c>
      <c r="D291" s="116" t="s">
        <v>7698</v>
      </c>
      <c r="E291" s="116" t="s">
        <v>8068</v>
      </c>
      <c r="F291" s="528" t="s">
        <v>8069</v>
      </c>
      <c r="G291" s="338" t="s">
        <v>7571</v>
      </c>
    </row>
    <row r="292" spans="1:7" ht="15" customHeight="1">
      <c r="A292" s="134" t="s">
        <v>8030</v>
      </c>
      <c r="B292" s="133" t="s">
        <v>51</v>
      </c>
      <c r="C292" s="133" t="s">
        <v>8070</v>
      </c>
      <c r="D292" s="116" t="s">
        <v>7698</v>
      </c>
      <c r="E292" s="116" t="s">
        <v>8061</v>
      </c>
      <c r="F292" s="528" t="s">
        <v>8062</v>
      </c>
      <c r="G292" s="338" t="s">
        <v>7571</v>
      </c>
    </row>
    <row r="293" spans="1:7" ht="15" customHeight="1">
      <c r="A293" s="134" t="s">
        <v>8030</v>
      </c>
      <c r="B293" s="133" t="s">
        <v>51</v>
      </c>
      <c r="C293" s="133" t="s">
        <v>8071</v>
      </c>
      <c r="D293" s="116" t="s">
        <v>7698</v>
      </c>
      <c r="E293" s="116" t="s">
        <v>8061</v>
      </c>
      <c r="F293" s="528" t="s">
        <v>8062</v>
      </c>
      <c r="G293" s="338" t="s">
        <v>7571</v>
      </c>
    </row>
    <row r="294" spans="1:7" ht="15" customHeight="1">
      <c r="A294" s="134" t="s">
        <v>8030</v>
      </c>
      <c r="B294" s="133" t="s">
        <v>51</v>
      </c>
      <c r="C294" s="133" t="s">
        <v>8072</v>
      </c>
      <c r="D294" s="116" t="s">
        <v>7698</v>
      </c>
      <c r="E294" s="116" t="s">
        <v>8066</v>
      </c>
      <c r="F294" s="528">
        <v>10.33</v>
      </c>
      <c r="G294" s="338" t="s">
        <v>7571</v>
      </c>
    </row>
    <row r="295" spans="1:7" ht="15" customHeight="1">
      <c r="A295" s="256" t="s">
        <v>8030</v>
      </c>
      <c r="B295" s="469" t="s">
        <v>51</v>
      </c>
      <c r="C295" s="469" t="s">
        <v>8073</v>
      </c>
      <c r="D295" s="259" t="s">
        <v>8032</v>
      </c>
      <c r="E295" s="259" t="s">
        <v>8074</v>
      </c>
      <c r="F295" s="1120" t="s">
        <v>8075</v>
      </c>
      <c r="G295" s="338" t="s">
        <v>7571</v>
      </c>
    </row>
    <row r="296" spans="1:7" ht="15" customHeight="1">
      <c r="A296" s="134" t="s">
        <v>8030</v>
      </c>
      <c r="B296" s="133" t="s">
        <v>51</v>
      </c>
      <c r="C296" s="133" t="s">
        <v>8076</v>
      </c>
      <c r="D296" s="116" t="s">
        <v>8032</v>
      </c>
      <c r="E296" s="116" t="s">
        <v>8077</v>
      </c>
      <c r="F296" s="528">
        <v>5</v>
      </c>
      <c r="G296" s="338" t="s">
        <v>7571</v>
      </c>
    </row>
    <row r="297" spans="1:7" ht="15" customHeight="1">
      <c r="A297" s="134" t="s">
        <v>473</v>
      </c>
      <c r="B297" s="133" t="s">
        <v>51</v>
      </c>
      <c r="C297" s="133" t="s">
        <v>8078</v>
      </c>
      <c r="D297" s="100" t="s">
        <v>7698</v>
      </c>
      <c r="E297" s="100" t="s">
        <v>8079</v>
      </c>
      <c r="F297" s="528">
        <f>5.66+7.5</f>
        <v>13.16</v>
      </c>
      <c r="G297" s="338" t="s">
        <v>473</v>
      </c>
    </row>
    <row r="298" spans="1:7" ht="15" customHeight="1">
      <c r="A298" s="134" t="s">
        <v>473</v>
      </c>
      <c r="B298" s="133" t="s">
        <v>51</v>
      </c>
      <c r="C298" s="133" t="s">
        <v>8080</v>
      </c>
      <c r="D298" s="100" t="s">
        <v>7698</v>
      </c>
      <c r="E298" s="100" t="s">
        <v>8081</v>
      </c>
      <c r="F298" s="528">
        <v>4.83</v>
      </c>
      <c r="G298" s="338" t="s">
        <v>473</v>
      </c>
    </row>
    <row r="299" spans="1:7" ht="15" customHeight="1">
      <c r="A299" s="134" t="s">
        <v>473</v>
      </c>
      <c r="B299" s="133" t="s">
        <v>51</v>
      </c>
      <c r="C299" s="133" t="s">
        <v>8080</v>
      </c>
      <c r="D299" s="100" t="s">
        <v>8056</v>
      </c>
      <c r="E299" s="116" t="s">
        <v>8082</v>
      </c>
      <c r="F299" s="528">
        <f>3.83+6.5+8.83</f>
        <v>19.16</v>
      </c>
      <c r="G299" s="338" t="s">
        <v>473</v>
      </c>
    </row>
    <row r="300" spans="1:7" ht="15" customHeight="1">
      <c r="A300" s="134" t="s">
        <v>473</v>
      </c>
      <c r="B300" s="133" t="s">
        <v>51</v>
      </c>
      <c r="C300" s="133" t="s">
        <v>8083</v>
      </c>
      <c r="D300" s="100" t="s">
        <v>7698</v>
      </c>
      <c r="E300" s="116" t="s">
        <v>8084</v>
      </c>
      <c r="F300" s="528">
        <v>4.49</v>
      </c>
      <c r="G300" s="338" t="s">
        <v>473</v>
      </c>
    </row>
    <row r="301" spans="1:7" ht="15" customHeight="1">
      <c r="A301" s="134" t="s">
        <v>473</v>
      </c>
      <c r="B301" s="133" t="s">
        <v>51</v>
      </c>
      <c r="C301" s="133" t="s">
        <v>8083</v>
      </c>
      <c r="D301" s="100" t="s">
        <v>8056</v>
      </c>
      <c r="E301" s="116" t="s">
        <v>8085</v>
      </c>
      <c r="F301" s="528">
        <v>2.46</v>
      </c>
      <c r="G301" s="338" t="s">
        <v>473</v>
      </c>
    </row>
    <row r="302" spans="1:7" ht="15" customHeight="1">
      <c r="A302" s="134" t="s">
        <v>473</v>
      </c>
      <c r="B302" s="133" t="s">
        <v>51</v>
      </c>
      <c r="C302" s="133" t="s">
        <v>8086</v>
      </c>
      <c r="D302" s="100" t="s">
        <v>8056</v>
      </c>
      <c r="E302" s="116">
        <v>4</v>
      </c>
      <c r="F302" s="528">
        <f>E302*0.5</f>
        <v>2</v>
      </c>
      <c r="G302" s="338" t="s">
        <v>473</v>
      </c>
    </row>
    <row r="303" spans="1:7" ht="15" customHeight="1">
      <c r="A303" s="134" t="s">
        <v>473</v>
      </c>
      <c r="B303" s="133" t="s">
        <v>51</v>
      </c>
      <c r="C303" s="133" t="s">
        <v>8087</v>
      </c>
      <c r="D303" s="100" t="s">
        <v>7698</v>
      </c>
      <c r="E303" s="116" t="s">
        <v>8088</v>
      </c>
      <c r="F303" s="528">
        <v>17</v>
      </c>
      <c r="G303" s="338" t="s">
        <v>473</v>
      </c>
    </row>
    <row r="304" spans="1:7" ht="15" customHeight="1">
      <c r="A304" s="134" t="s">
        <v>7382</v>
      </c>
      <c r="B304" s="162" t="s">
        <v>51</v>
      </c>
      <c r="C304" s="133" t="s">
        <v>8089</v>
      </c>
      <c r="D304" s="100" t="s">
        <v>7698</v>
      </c>
      <c r="E304" s="186">
        <f t="shared" ref="E304:E306" si="43">18/3</f>
        <v>6</v>
      </c>
      <c r="F304" s="528">
        <f t="shared" ref="F304:F309" si="44">E304</f>
        <v>6</v>
      </c>
      <c r="G304" s="338" t="s">
        <v>2260</v>
      </c>
    </row>
    <row r="305" spans="1:7" ht="15" customHeight="1">
      <c r="A305" s="134" t="s">
        <v>7382</v>
      </c>
      <c r="B305" s="162" t="s">
        <v>51</v>
      </c>
      <c r="C305" s="133" t="s">
        <v>8090</v>
      </c>
      <c r="D305" s="100" t="s">
        <v>7698</v>
      </c>
      <c r="E305" s="186">
        <f t="shared" si="43"/>
        <v>6</v>
      </c>
      <c r="F305" s="528">
        <f t="shared" si="44"/>
        <v>6</v>
      </c>
      <c r="G305" s="338" t="s">
        <v>2260</v>
      </c>
    </row>
    <row r="306" spans="1:7" ht="15" customHeight="1">
      <c r="A306" s="134" t="s">
        <v>7382</v>
      </c>
      <c r="B306" s="162" t="s">
        <v>51</v>
      </c>
      <c r="C306" s="133" t="s">
        <v>8091</v>
      </c>
      <c r="D306" s="100" t="s">
        <v>7698</v>
      </c>
      <c r="E306" s="186">
        <f t="shared" si="43"/>
        <v>6</v>
      </c>
      <c r="F306" s="528">
        <f t="shared" si="44"/>
        <v>6</v>
      </c>
      <c r="G306" s="338" t="s">
        <v>2260</v>
      </c>
    </row>
    <row r="307" spans="1:7" ht="15" customHeight="1">
      <c r="A307" s="134" t="s">
        <v>7382</v>
      </c>
      <c r="B307" s="162" t="s">
        <v>51</v>
      </c>
      <c r="C307" s="133" t="s">
        <v>8092</v>
      </c>
      <c r="D307" s="100" t="s">
        <v>7698</v>
      </c>
      <c r="E307" s="186">
        <f t="shared" ref="E307:E308" si="45">37/3</f>
        <v>12.333333333333334</v>
      </c>
      <c r="F307" s="528">
        <f t="shared" si="44"/>
        <v>12.333333333333334</v>
      </c>
      <c r="G307" s="338" t="s">
        <v>2260</v>
      </c>
    </row>
    <row r="308" spans="1:7" ht="15" customHeight="1">
      <c r="A308" s="134" t="s">
        <v>7382</v>
      </c>
      <c r="B308" s="162" t="s">
        <v>51</v>
      </c>
      <c r="C308" s="133" t="s">
        <v>8093</v>
      </c>
      <c r="D308" s="100" t="s">
        <v>7698</v>
      </c>
      <c r="E308" s="186">
        <f t="shared" si="45"/>
        <v>12.333333333333334</v>
      </c>
      <c r="F308" s="528">
        <f t="shared" si="44"/>
        <v>12.333333333333334</v>
      </c>
      <c r="G308" s="338" t="s">
        <v>2260</v>
      </c>
    </row>
    <row r="309" spans="1:7" ht="15" customHeight="1">
      <c r="A309" s="134" t="s">
        <v>7382</v>
      </c>
      <c r="B309" s="162" t="s">
        <v>51</v>
      </c>
      <c r="C309" s="133" t="s">
        <v>8094</v>
      </c>
      <c r="D309" s="100" t="s">
        <v>7698</v>
      </c>
      <c r="E309" s="186">
        <f>17/3</f>
        <v>5.666666666666667</v>
      </c>
      <c r="F309" s="528">
        <f t="shared" si="44"/>
        <v>5.666666666666667</v>
      </c>
      <c r="G309" s="338" t="s">
        <v>2260</v>
      </c>
    </row>
    <row r="310" spans="1:7" ht="15" customHeight="1">
      <c r="A310" s="134" t="s">
        <v>7382</v>
      </c>
      <c r="B310" s="162" t="s">
        <v>51</v>
      </c>
      <c r="C310" s="133" t="s">
        <v>8095</v>
      </c>
      <c r="D310" s="100" t="s">
        <v>7043</v>
      </c>
      <c r="E310" s="186">
        <f>14/3</f>
        <v>4.666666666666667</v>
      </c>
      <c r="F310" s="528">
        <f>E310*2</f>
        <v>9.3333333333333339</v>
      </c>
      <c r="G310" s="338" t="s">
        <v>2260</v>
      </c>
    </row>
    <row r="311" spans="1:7" ht="15" customHeight="1">
      <c r="A311" s="134" t="s">
        <v>7382</v>
      </c>
      <c r="B311" s="162" t="s">
        <v>51</v>
      </c>
      <c r="C311" s="133" t="s">
        <v>8096</v>
      </c>
      <c r="D311" s="100" t="s">
        <v>7043</v>
      </c>
      <c r="E311" s="186">
        <f>11/3</f>
        <v>3.6666666666666665</v>
      </c>
      <c r="F311" s="528">
        <f t="shared" ref="F311:F312" si="46">E311*3</f>
        <v>11</v>
      </c>
      <c r="G311" s="338" t="s">
        <v>2260</v>
      </c>
    </row>
    <row r="312" spans="1:7" ht="15" customHeight="1">
      <c r="A312" s="134" t="s">
        <v>7382</v>
      </c>
      <c r="B312" s="162" t="s">
        <v>51</v>
      </c>
      <c r="C312" s="133" t="s">
        <v>8097</v>
      </c>
      <c r="D312" s="100" t="s">
        <v>7043</v>
      </c>
      <c r="E312" s="528">
        <f>19/3</f>
        <v>6.333333333333333</v>
      </c>
      <c r="F312" s="528">
        <f t="shared" si="46"/>
        <v>19</v>
      </c>
      <c r="G312" s="338" t="s">
        <v>2260</v>
      </c>
    </row>
    <row r="313" spans="1:7" ht="15" customHeight="1">
      <c r="A313" s="134" t="s">
        <v>7382</v>
      </c>
      <c r="B313" s="162" t="s">
        <v>51</v>
      </c>
      <c r="C313" s="133" t="s">
        <v>8098</v>
      </c>
      <c r="D313" s="100" t="s">
        <v>7043</v>
      </c>
      <c r="E313" s="116">
        <f>39/3</f>
        <v>13</v>
      </c>
      <c r="F313" s="528">
        <f>E313*2</f>
        <v>26</v>
      </c>
      <c r="G313" s="338" t="s">
        <v>2260</v>
      </c>
    </row>
    <row r="314" spans="1:7" ht="15" customHeight="1">
      <c r="A314" s="134" t="s">
        <v>5254</v>
      </c>
      <c r="B314" s="133" t="s">
        <v>51</v>
      </c>
      <c r="C314" s="133" t="s">
        <v>8099</v>
      </c>
      <c r="D314" s="100" t="s">
        <v>7778</v>
      </c>
      <c r="E314" s="100">
        <v>54.3</v>
      </c>
      <c r="F314" s="100">
        <v>54.3</v>
      </c>
      <c r="G314" s="338" t="s">
        <v>5254</v>
      </c>
    </row>
    <row r="315" spans="1:7" ht="15" customHeight="1">
      <c r="A315" s="134" t="s">
        <v>5254</v>
      </c>
      <c r="B315" s="133" t="s">
        <v>51</v>
      </c>
      <c r="C315" s="133" t="s">
        <v>8100</v>
      </c>
      <c r="D315" s="100" t="s">
        <v>7778</v>
      </c>
      <c r="E315" s="100">
        <v>54.3</v>
      </c>
      <c r="F315" s="100">
        <v>54.3</v>
      </c>
      <c r="G315" s="338" t="s">
        <v>5254</v>
      </c>
    </row>
    <row r="316" spans="1:7" ht="15" customHeight="1">
      <c r="A316" s="134" t="s">
        <v>5254</v>
      </c>
      <c r="B316" s="133" t="s">
        <v>51</v>
      </c>
      <c r="C316" s="133" t="s">
        <v>8101</v>
      </c>
      <c r="D316" s="100" t="s">
        <v>7778</v>
      </c>
      <c r="E316" s="100">
        <v>4.33</v>
      </c>
      <c r="F316" s="100">
        <v>4.33</v>
      </c>
      <c r="G316" s="338" t="s">
        <v>5254</v>
      </c>
    </row>
    <row r="317" spans="1:7" ht="15" customHeight="1">
      <c r="A317" s="134" t="s">
        <v>6415</v>
      </c>
      <c r="B317" s="99" t="s">
        <v>51</v>
      </c>
      <c r="C317" s="134" t="s">
        <v>8102</v>
      </c>
      <c r="D317" s="116" t="s">
        <v>7698</v>
      </c>
      <c r="E317" s="116" t="s">
        <v>8103</v>
      </c>
      <c r="F317" s="528">
        <f>64/3</f>
        <v>21.333333333333332</v>
      </c>
      <c r="G317" s="338" t="s">
        <v>482</v>
      </c>
    </row>
    <row r="318" spans="1:7" ht="15" customHeight="1">
      <c r="A318" s="134" t="s">
        <v>6415</v>
      </c>
      <c r="B318" s="99" t="s">
        <v>51</v>
      </c>
      <c r="C318" s="134" t="s">
        <v>8104</v>
      </c>
      <c r="D318" s="116" t="s">
        <v>7698</v>
      </c>
      <c r="E318" s="116" t="s">
        <v>8105</v>
      </c>
      <c r="F318" s="528">
        <f t="shared" ref="F318:F319" si="47">29/3</f>
        <v>9.6666666666666661</v>
      </c>
      <c r="G318" s="338" t="s">
        <v>482</v>
      </c>
    </row>
    <row r="319" spans="1:7" ht="15" customHeight="1">
      <c r="A319" s="134" t="s">
        <v>6415</v>
      </c>
      <c r="B319" s="99" t="s">
        <v>51</v>
      </c>
      <c r="C319" s="134" t="s">
        <v>8106</v>
      </c>
      <c r="D319" s="116" t="s">
        <v>7698</v>
      </c>
      <c r="E319" s="116" t="s">
        <v>8105</v>
      </c>
      <c r="F319" s="528">
        <f t="shared" si="47"/>
        <v>9.6666666666666661</v>
      </c>
      <c r="G319" s="338" t="s">
        <v>482</v>
      </c>
    </row>
    <row r="320" spans="1:7" ht="15" customHeight="1">
      <c r="A320" s="134" t="s">
        <v>6415</v>
      </c>
      <c r="B320" s="99" t="s">
        <v>51</v>
      </c>
      <c r="C320" s="134" t="s">
        <v>8107</v>
      </c>
      <c r="D320" s="116" t="s">
        <v>7698</v>
      </c>
      <c r="E320" s="116" t="s">
        <v>8108</v>
      </c>
      <c r="F320" s="528">
        <f>(172)/3*2</f>
        <v>114.66666666666667</v>
      </c>
      <c r="G320" s="338" t="s">
        <v>482</v>
      </c>
    </row>
    <row r="321" spans="1:7" ht="15" customHeight="1">
      <c r="A321" s="134" t="s">
        <v>6415</v>
      </c>
      <c r="B321" s="99" t="s">
        <v>51</v>
      </c>
      <c r="C321" s="134" t="s">
        <v>8109</v>
      </c>
      <c r="D321" s="116" t="s">
        <v>7698</v>
      </c>
      <c r="E321" s="116" t="s">
        <v>8110</v>
      </c>
      <c r="F321" s="528">
        <f>(5)/3*3</f>
        <v>5</v>
      </c>
      <c r="G321" s="338" t="s">
        <v>482</v>
      </c>
    </row>
    <row r="322" spans="1:7" ht="15" customHeight="1">
      <c r="A322" s="134" t="s">
        <v>6415</v>
      </c>
      <c r="B322" s="99" t="s">
        <v>51</v>
      </c>
      <c r="C322" s="134" t="s">
        <v>8111</v>
      </c>
      <c r="D322" s="116" t="s">
        <v>7698</v>
      </c>
      <c r="E322" s="116" t="s">
        <v>8112</v>
      </c>
      <c r="F322" s="528">
        <f>17/3*3</f>
        <v>17</v>
      </c>
      <c r="G322" s="338" t="s">
        <v>482</v>
      </c>
    </row>
    <row r="323" spans="1:7" ht="15" customHeight="1">
      <c r="A323" s="134" t="s">
        <v>6435</v>
      </c>
      <c r="B323" s="133" t="s">
        <v>51</v>
      </c>
      <c r="C323" s="133" t="s">
        <v>8113</v>
      </c>
      <c r="D323" s="100" t="s">
        <v>7698</v>
      </c>
      <c r="E323" s="100">
        <v>23</v>
      </c>
      <c r="F323" s="528">
        <v>7.6</v>
      </c>
      <c r="G323" s="338" t="s">
        <v>2358</v>
      </c>
    </row>
    <row r="324" spans="1:7" ht="15" customHeight="1">
      <c r="A324" s="134" t="s">
        <v>6435</v>
      </c>
      <c r="B324" s="133" t="s">
        <v>51</v>
      </c>
      <c r="C324" s="133" t="s">
        <v>8114</v>
      </c>
      <c r="D324" s="100" t="s">
        <v>8115</v>
      </c>
      <c r="E324" s="100">
        <v>28</v>
      </c>
      <c r="F324" s="528">
        <v>4.5999999999999996</v>
      </c>
      <c r="G324" s="338" t="s">
        <v>2358</v>
      </c>
    </row>
    <row r="325" spans="1:7" ht="15" customHeight="1">
      <c r="A325" s="134" t="s">
        <v>6435</v>
      </c>
      <c r="B325" s="133" t="s">
        <v>51</v>
      </c>
      <c r="C325" s="133" t="s">
        <v>8116</v>
      </c>
      <c r="D325" s="100" t="s">
        <v>7698</v>
      </c>
      <c r="E325" s="100">
        <v>17</v>
      </c>
      <c r="F325" s="528">
        <v>5.6</v>
      </c>
      <c r="G325" s="338" t="s">
        <v>2358</v>
      </c>
    </row>
    <row r="326" spans="1:7" ht="15" customHeight="1">
      <c r="A326" s="134" t="s">
        <v>6435</v>
      </c>
      <c r="B326" s="133" t="s">
        <v>51</v>
      </c>
      <c r="C326" s="133" t="s">
        <v>8117</v>
      </c>
      <c r="D326" s="100" t="s">
        <v>7698</v>
      </c>
      <c r="E326" s="100">
        <v>17</v>
      </c>
      <c r="F326" s="528">
        <v>5.6</v>
      </c>
      <c r="G326" s="338" t="s">
        <v>2358</v>
      </c>
    </row>
    <row r="327" spans="1:7" ht="15" customHeight="1">
      <c r="A327" s="134" t="s">
        <v>6435</v>
      </c>
      <c r="B327" s="133" t="s">
        <v>51</v>
      </c>
      <c r="C327" s="133" t="s">
        <v>8118</v>
      </c>
      <c r="D327" s="100" t="s">
        <v>7698</v>
      </c>
      <c r="E327" s="100">
        <v>23</v>
      </c>
      <c r="F327" s="528">
        <v>7.6</v>
      </c>
      <c r="G327" s="338" t="s">
        <v>2358</v>
      </c>
    </row>
    <row r="328" spans="1:7" ht="15" customHeight="1">
      <c r="A328" s="134" t="s">
        <v>6435</v>
      </c>
      <c r="B328" s="133" t="s">
        <v>51</v>
      </c>
      <c r="C328" s="133" t="s">
        <v>8119</v>
      </c>
      <c r="D328" s="100" t="s">
        <v>7698</v>
      </c>
      <c r="E328" s="100">
        <v>28</v>
      </c>
      <c r="F328" s="528">
        <v>9.33</v>
      </c>
      <c r="G328" s="338" t="s">
        <v>2358</v>
      </c>
    </row>
    <row r="329" spans="1:7" ht="15" customHeight="1">
      <c r="A329" s="134" t="s">
        <v>6435</v>
      </c>
      <c r="B329" s="133" t="s">
        <v>51</v>
      </c>
      <c r="C329" s="133" t="s">
        <v>8120</v>
      </c>
      <c r="D329" s="100" t="s">
        <v>8056</v>
      </c>
      <c r="E329" s="100">
        <v>29</v>
      </c>
      <c r="F329" s="528">
        <v>9.66</v>
      </c>
      <c r="G329" s="338" t="s">
        <v>2358</v>
      </c>
    </row>
    <row r="330" spans="1:7" ht="15" customHeight="1">
      <c r="A330" s="134" t="s">
        <v>6435</v>
      </c>
      <c r="B330" s="133" t="s">
        <v>51</v>
      </c>
      <c r="C330" s="133" t="s">
        <v>8121</v>
      </c>
      <c r="D330" s="100"/>
      <c r="E330" s="100">
        <v>14</v>
      </c>
      <c r="F330" s="528">
        <v>9.33</v>
      </c>
      <c r="G330" s="338" t="s">
        <v>2358</v>
      </c>
    </row>
    <row r="331" spans="1:7" ht="15" customHeight="1">
      <c r="A331" s="134" t="s">
        <v>6435</v>
      </c>
      <c r="B331" s="133" t="s">
        <v>51</v>
      </c>
      <c r="C331" s="133" t="s">
        <v>8122</v>
      </c>
      <c r="D331" s="116"/>
      <c r="E331" s="116">
        <v>17</v>
      </c>
      <c r="F331" s="528">
        <v>11.33</v>
      </c>
      <c r="G331" s="338" t="s">
        <v>2358</v>
      </c>
    </row>
    <row r="332" spans="1:7" ht="15" customHeight="1">
      <c r="A332" s="134" t="s">
        <v>7577</v>
      </c>
      <c r="B332" s="133" t="s">
        <v>51</v>
      </c>
      <c r="C332" s="133" t="s">
        <v>8123</v>
      </c>
      <c r="D332" s="100" t="s">
        <v>8124</v>
      </c>
      <c r="E332" s="116">
        <f>27/3</f>
        <v>9</v>
      </c>
      <c r="F332" s="528">
        <f t="shared" ref="F332:F338" si="48">E332</f>
        <v>9</v>
      </c>
      <c r="G332" s="338" t="s">
        <v>7578</v>
      </c>
    </row>
    <row r="333" spans="1:7" ht="15" customHeight="1">
      <c r="A333" s="134" t="s">
        <v>7577</v>
      </c>
      <c r="B333" s="133" t="s">
        <v>51</v>
      </c>
      <c r="C333" s="133" t="s">
        <v>8123</v>
      </c>
      <c r="D333" s="100" t="s">
        <v>8124</v>
      </c>
      <c r="E333" s="116">
        <f t="shared" ref="E333:E334" si="49">23/3</f>
        <v>7.666666666666667</v>
      </c>
      <c r="F333" s="528">
        <f t="shared" si="48"/>
        <v>7.666666666666667</v>
      </c>
      <c r="G333" s="338" t="s">
        <v>7578</v>
      </c>
    </row>
    <row r="334" spans="1:7" ht="15" customHeight="1">
      <c r="A334" s="134" t="s">
        <v>7577</v>
      </c>
      <c r="B334" s="133" t="s">
        <v>51</v>
      </c>
      <c r="C334" s="133" t="s">
        <v>8123</v>
      </c>
      <c r="D334" s="100" t="s">
        <v>8124</v>
      </c>
      <c r="E334" s="116">
        <f t="shared" si="49"/>
        <v>7.666666666666667</v>
      </c>
      <c r="F334" s="528">
        <f t="shared" si="48"/>
        <v>7.666666666666667</v>
      </c>
      <c r="G334" s="338" t="s">
        <v>7578</v>
      </c>
    </row>
    <row r="335" spans="1:7" ht="15" customHeight="1">
      <c r="A335" s="134" t="s">
        <v>7577</v>
      </c>
      <c r="B335" s="133" t="s">
        <v>51</v>
      </c>
      <c r="C335" s="133" t="s">
        <v>8123</v>
      </c>
      <c r="D335" s="100" t="s">
        <v>8124</v>
      </c>
      <c r="E335" s="116">
        <f t="shared" ref="E335:E338" si="50">24/3</f>
        <v>8</v>
      </c>
      <c r="F335" s="528">
        <f t="shared" si="48"/>
        <v>8</v>
      </c>
      <c r="G335" s="338" t="s">
        <v>7578</v>
      </c>
    </row>
    <row r="336" spans="1:7" ht="15" customHeight="1">
      <c r="A336" s="134" t="s">
        <v>7577</v>
      </c>
      <c r="B336" s="133" t="s">
        <v>51</v>
      </c>
      <c r="C336" s="133" t="s">
        <v>8123</v>
      </c>
      <c r="D336" s="100" t="s">
        <v>8124</v>
      </c>
      <c r="E336" s="116">
        <f t="shared" si="50"/>
        <v>8</v>
      </c>
      <c r="F336" s="528">
        <f t="shared" si="48"/>
        <v>8</v>
      </c>
      <c r="G336" s="338" t="s">
        <v>7578</v>
      </c>
    </row>
    <row r="337" spans="1:7" ht="15" customHeight="1">
      <c r="A337" s="134" t="s">
        <v>7577</v>
      </c>
      <c r="B337" s="133" t="s">
        <v>51</v>
      </c>
      <c r="C337" s="133" t="s">
        <v>8123</v>
      </c>
      <c r="D337" s="100" t="s">
        <v>8124</v>
      </c>
      <c r="E337" s="116">
        <f t="shared" si="50"/>
        <v>8</v>
      </c>
      <c r="F337" s="528">
        <f t="shared" si="48"/>
        <v>8</v>
      </c>
      <c r="G337" s="338" t="s">
        <v>7578</v>
      </c>
    </row>
    <row r="338" spans="1:7" ht="15" customHeight="1">
      <c r="A338" s="134" t="s">
        <v>7577</v>
      </c>
      <c r="B338" s="133" t="s">
        <v>51</v>
      </c>
      <c r="C338" s="133" t="s">
        <v>8123</v>
      </c>
      <c r="D338" s="100" t="s">
        <v>8124</v>
      </c>
      <c r="E338" s="116">
        <f t="shared" si="50"/>
        <v>8</v>
      </c>
      <c r="F338" s="528">
        <f t="shared" si="48"/>
        <v>8</v>
      </c>
      <c r="G338" s="338" t="s">
        <v>7578</v>
      </c>
    </row>
    <row r="339" spans="1:7" ht="15" customHeight="1">
      <c r="A339" s="134" t="s">
        <v>7577</v>
      </c>
      <c r="B339" s="133" t="s">
        <v>51</v>
      </c>
      <c r="C339" s="133" t="s">
        <v>8123</v>
      </c>
      <c r="D339" s="100" t="s">
        <v>8124</v>
      </c>
      <c r="E339" s="1125">
        <f t="shared" ref="E339:E340" si="51">11/3</f>
        <v>3.6666666666666665</v>
      </c>
      <c r="F339" s="528">
        <f>E339*0.5</f>
        <v>1.8333333333333333</v>
      </c>
      <c r="G339" s="338" t="s">
        <v>7578</v>
      </c>
    </row>
    <row r="340" spans="1:7" ht="15" customHeight="1">
      <c r="A340" s="134" t="s">
        <v>7577</v>
      </c>
      <c r="B340" s="133" t="s">
        <v>51</v>
      </c>
      <c r="C340" s="133" t="s">
        <v>8123</v>
      </c>
      <c r="D340" s="140" t="s">
        <v>8124</v>
      </c>
      <c r="E340" s="116">
        <f t="shared" si="51"/>
        <v>3.6666666666666665</v>
      </c>
      <c r="F340" s="736">
        <f>E340</f>
        <v>3.6666666666666665</v>
      </c>
      <c r="G340" s="338" t="s">
        <v>7578</v>
      </c>
    </row>
    <row r="341" spans="1:7" ht="15" customHeight="1">
      <c r="A341" s="134" t="s">
        <v>7577</v>
      </c>
      <c r="B341" s="133" t="s">
        <v>51</v>
      </c>
      <c r="C341" s="133" t="s">
        <v>8123</v>
      </c>
      <c r="D341" s="140" t="s">
        <v>8124</v>
      </c>
      <c r="E341" s="1126">
        <f t="shared" ref="E341:E342" si="52">31/3</f>
        <v>10.333333333333334</v>
      </c>
      <c r="F341" s="736">
        <f t="shared" ref="F341:F342" si="53">E341*0.5</f>
        <v>5.166666666666667</v>
      </c>
      <c r="G341" s="338" t="s">
        <v>7578</v>
      </c>
    </row>
    <row r="342" spans="1:7" ht="15" customHeight="1">
      <c r="A342" s="134" t="s">
        <v>7577</v>
      </c>
      <c r="B342" s="133" t="s">
        <v>51</v>
      </c>
      <c r="C342" s="133" t="s">
        <v>8123</v>
      </c>
      <c r="D342" s="100" t="s">
        <v>8124</v>
      </c>
      <c r="E342" s="1126">
        <f t="shared" si="52"/>
        <v>10.333333333333334</v>
      </c>
      <c r="F342" s="736">
        <f t="shared" si="53"/>
        <v>5.166666666666667</v>
      </c>
      <c r="G342" s="338" t="s">
        <v>7578</v>
      </c>
    </row>
    <row r="343" spans="1:7" ht="15" customHeight="1">
      <c r="A343" s="134" t="s">
        <v>7577</v>
      </c>
      <c r="B343" s="133" t="s">
        <v>51</v>
      </c>
      <c r="C343" s="133" t="s">
        <v>8125</v>
      </c>
      <c r="D343" s="100" t="s">
        <v>8124</v>
      </c>
      <c r="E343" s="116">
        <f>27/3</f>
        <v>9</v>
      </c>
      <c r="F343" s="528">
        <f t="shared" ref="F343:F350" si="54">E343</f>
        <v>9</v>
      </c>
      <c r="G343" s="338" t="s">
        <v>7578</v>
      </c>
    </row>
    <row r="344" spans="1:7" ht="15" customHeight="1">
      <c r="A344" s="134" t="s">
        <v>7577</v>
      </c>
      <c r="B344" s="133" t="s">
        <v>51</v>
      </c>
      <c r="C344" s="133" t="s">
        <v>8125</v>
      </c>
      <c r="D344" s="100" t="s">
        <v>8124</v>
      </c>
      <c r="E344" s="116">
        <f>23/3</f>
        <v>7.666666666666667</v>
      </c>
      <c r="F344" s="528">
        <f t="shared" si="54"/>
        <v>7.666666666666667</v>
      </c>
      <c r="G344" s="338" t="s">
        <v>7578</v>
      </c>
    </row>
    <row r="345" spans="1:7" ht="15" customHeight="1">
      <c r="A345" s="134" t="s">
        <v>7577</v>
      </c>
      <c r="B345" s="133" t="s">
        <v>51</v>
      </c>
      <c r="C345" s="133" t="s">
        <v>8126</v>
      </c>
      <c r="D345" s="100" t="s">
        <v>8124</v>
      </c>
      <c r="E345" s="116">
        <f>(0.25*23)/3</f>
        <v>1.9166666666666667</v>
      </c>
      <c r="F345" s="528">
        <f t="shared" si="54"/>
        <v>1.9166666666666667</v>
      </c>
      <c r="G345" s="338" t="s">
        <v>7578</v>
      </c>
    </row>
    <row r="346" spans="1:7" ht="15" customHeight="1">
      <c r="A346" s="134" t="s">
        <v>7577</v>
      </c>
      <c r="B346" s="133" t="s">
        <v>51</v>
      </c>
      <c r="C346" s="133" t="s">
        <v>8126</v>
      </c>
      <c r="D346" s="100" t="s">
        <v>8124</v>
      </c>
      <c r="E346" s="116">
        <f t="shared" ref="E346:E350" si="55">(0.25*24)/3</f>
        <v>2</v>
      </c>
      <c r="F346" s="528">
        <f t="shared" si="54"/>
        <v>2</v>
      </c>
      <c r="G346" s="338" t="s">
        <v>7578</v>
      </c>
    </row>
    <row r="347" spans="1:7" ht="15" customHeight="1">
      <c r="A347" s="134" t="s">
        <v>7577</v>
      </c>
      <c r="B347" s="133" t="s">
        <v>51</v>
      </c>
      <c r="C347" s="133" t="s">
        <v>8126</v>
      </c>
      <c r="D347" s="100" t="s">
        <v>8124</v>
      </c>
      <c r="E347" s="116">
        <f t="shared" si="55"/>
        <v>2</v>
      </c>
      <c r="F347" s="528">
        <f t="shared" si="54"/>
        <v>2</v>
      </c>
      <c r="G347" s="338" t="s">
        <v>7578</v>
      </c>
    </row>
    <row r="348" spans="1:7" ht="15" customHeight="1">
      <c r="A348" s="134" t="s">
        <v>7577</v>
      </c>
      <c r="B348" s="133" t="s">
        <v>51</v>
      </c>
      <c r="C348" s="133" t="s">
        <v>8126</v>
      </c>
      <c r="D348" s="100" t="s">
        <v>8124</v>
      </c>
      <c r="E348" s="116">
        <f t="shared" si="55"/>
        <v>2</v>
      </c>
      <c r="F348" s="528">
        <f t="shared" si="54"/>
        <v>2</v>
      </c>
      <c r="G348" s="338" t="s">
        <v>7578</v>
      </c>
    </row>
    <row r="349" spans="1:7" ht="15" customHeight="1">
      <c r="A349" s="134" t="s">
        <v>7577</v>
      </c>
      <c r="B349" s="133" t="s">
        <v>51</v>
      </c>
      <c r="C349" s="133" t="s">
        <v>8126</v>
      </c>
      <c r="D349" s="100" t="s">
        <v>8124</v>
      </c>
      <c r="E349" s="116">
        <f t="shared" si="55"/>
        <v>2</v>
      </c>
      <c r="F349" s="528">
        <f t="shared" si="54"/>
        <v>2</v>
      </c>
      <c r="G349" s="338" t="s">
        <v>7578</v>
      </c>
    </row>
    <row r="350" spans="1:7" ht="15" customHeight="1">
      <c r="A350" s="134" t="s">
        <v>7577</v>
      </c>
      <c r="B350" s="133" t="s">
        <v>51</v>
      </c>
      <c r="C350" s="133" t="s">
        <v>8126</v>
      </c>
      <c r="D350" s="100" t="s">
        <v>8124</v>
      </c>
      <c r="E350" s="116">
        <f t="shared" si="55"/>
        <v>2</v>
      </c>
      <c r="F350" s="528">
        <f t="shared" si="54"/>
        <v>2</v>
      </c>
      <c r="G350" s="338" t="s">
        <v>7578</v>
      </c>
    </row>
    <row r="351" spans="1:7" ht="15" customHeight="1">
      <c r="A351" s="134" t="s">
        <v>7577</v>
      </c>
      <c r="B351" s="133" t="s">
        <v>51</v>
      </c>
      <c r="C351" s="133" t="s">
        <v>8126</v>
      </c>
      <c r="D351" s="100" t="s">
        <v>8124</v>
      </c>
      <c r="E351" s="1127">
        <f t="shared" ref="E351:E353" si="56">(0.25*11)/3</f>
        <v>0.91666666666666663</v>
      </c>
      <c r="F351" s="528">
        <f>E351*0.5</f>
        <v>0.45833333333333331</v>
      </c>
      <c r="G351" s="338" t="s">
        <v>7578</v>
      </c>
    </row>
    <row r="352" spans="1:7" ht="15" customHeight="1">
      <c r="A352" s="134" t="s">
        <v>7577</v>
      </c>
      <c r="B352" s="133" t="s">
        <v>51</v>
      </c>
      <c r="C352" s="133" t="s">
        <v>8126</v>
      </c>
      <c r="D352" s="100" t="s">
        <v>8124</v>
      </c>
      <c r="E352" s="116">
        <f t="shared" si="56"/>
        <v>0.91666666666666663</v>
      </c>
      <c r="F352" s="528">
        <f t="shared" ref="F352:F353" si="57">E352</f>
        <v>0.91666666666666663</v>
      </c>
      <c r="G352" s="338" t="s">
        <v>7578</v>
      </c>
    </row>
    <row r="353" spans="1:7" ht="15" customHeight="1">
      <c r="A353" s="134" t="s">
        <v>7577</v>
      </c>
      <c r="B353" s="133" t="s">
        <v>51</v>
      </c>
      <c r="C353" s="133" t="s">
        <v>8126</v>
      </c>
      <c r="D353" s="100" t="s">
        <v>8124</v>
      </c>
      <c r="E353" s="116">
        <f t="shared" si="56"/>
        <v>0.91666666666666663</v>
      </c>
      <c r="F353" s="528">
        <f t="shared" si="57"/>
        <v>0.91666666666666663</v>
      </c>
      <c r="G353" s="338" t="s">
        <v>7578</v>
      </c>
    </row>
    <row r="354" spans="1:7" ht="15" customHeight="1">
      <c r="A354" s="134" t="s">
        <v>7577</v>
      </c>
      <c r="B354" s="133" t="s">
        <v>51</v>
      </c>
      <c r="C354" s="133" t="s">
        <v>8126</v>
      </c>
      <c r="D354" s="100" t="s">
        <v>8124</v>
      </c>
      <c r="E354" s="1127">
        <f t="shared" ref="E354:E355" si="58">(0.25*31)/3</f>
        <v>2.5833333333333335</v>
      </c>
      <c r="F354" s="528">
        <f t="shared" ref="F354:F355" si="59">E354*0.5</f>
        <v>1.2916666666666667</v>
      </c>
      <c r="G354" s="338" t="s">
        <v>7578</v>
      </c>
    </row>
    <row r="355" spans="1:7" ht="15" customHeight="1">
      <c r="A355" s="134" t="s">
        <v>7577</v>
      </c>
      <c r="B355" s="133" t="s">
        <v>51</v>
      </c>
      <c r="C355" s="133" t="s">
        <v>8126</v>
      </c>
      <c r="D355" s="100" t="s">
        <v>8124</v>
      </c>
      <c r="E355" s="1127">
        <f t="shared" si="58"/>
        <v>2.5833333333333335</v>
      </c>
      <c r="F355" s="528">
        <f t="shared" si="59"/>
        <v>1.2916666666666667</v>
      </c>
      <c r="G355" s="338" t="s">
        <v>7578</v>
      </c>
    </row>
    <row r="356" spans="1:7" ht="15" customHeight="1">
      <c r="A356" s="134" t="s">
        <v>7577</v>
      </c>
      <c r="B356" s="133" t="s">
        <v>51</v>
      </c>
      <c r="C356" s="133" t="s">
        <v>8127</v>
      </c>
      <c r="D356" s="100" t="s">
        <v>8124</v>
      </c>
      <c r="E356" s="116">
        <f t="shared" ref="E356:E361" si="60">11/3</f>
        <v>3.6666666666666665</v>
      </c>
      <c r="F356" s="528">
        <f t="shared" ref="F356:F363" si="61">E356</f>
        <v>3.6666666666666665</v>
      </c>
      <c r="G356" s="338" t="s">
        <v>7578</v>
      </c>
    </row>
    <row r="357" spans="1:7" ht="15" customHeight="1">
      <c r="A357" s="134" t="s">
        <v>7577</v>
      </c>
      <c r="B357" s="133" t="s">
        <v>51</v>
      </c>
      <c r="C357" s="133" t="s">
        <v>8127</v>
      </c>
      <c r="D357" s="100" t="s">
        <v>8124</v>
      </c>
      <c r="E357" s="116">
        <f t="shared" si="60"/>
        <v>3.6666666666666665</v>
      </c>
      <c r="F357" s="528">
        <f t="shared" si="61"/>
        <v>3.6666666666666665</v>
      </c>
      <c r="G357" s="338" t="s">
        <v>7578</v>
      </c>
    </row>
    <row r="358" spans="1:7" ht="15" customHeight="1">
      <c r="A358" s="134" t="s">
        <v>7577</v>
      </c>
      <c r="B358" s="133" t="s">
        <v>51</v>
      </c>
      <c r="C358" s="133" t="s">
        <v>8127</v>
      </c>
      <c r="D358" s="100" t="s">
        <v>8124</v>
      </c>
      <c r="E358" s="116">
        <f t="shared" si="60"/>
        <v>3.6666666666666665</v>
      </c>
      <c r="F358" s="528">
        <f t="shared" si="61"/>
        <v>3.6666666666666665</v>
      </c>
      <c r="G358" s="338" t="s">
        <v>7578</v>
      </c>
    </row>
    <row r="359" spans="1:7" ht="15" customHeight="1">
      <c r="A359" s="134" t="s">
        <v>7577</v>
      </c>
      <c r="B359" s="133" t="s">
        <v>51</v>
      </c>
      <c r="C359" s="133" t="s">
        <v>8128</v>
      </c>
      <c r="D359" s="100" t="s">
        <v>8124</v>
      </c>
      <c r="E359" s="116">
        <f t="shared" si="60"/>
        <v>3.6666666666666665</v>
      </c>
      <c r="F359" s="528">
        <f t="shared" si="61"/>
        <v>3.6666666666666665</v>
      </c>
      <c r="G359" s="338" t="s">
        <v>7578</v>
      </c>
    </row>
    <row r="360" spans="1:7" ht="15" customHeight="1">
      <c r="A360" s="134" t="s">
        <v>7577</v>
      </c>
      <c r="B360" s="133" t="s">
        <v>51</v>
      </c>
      <c r="C360" s="133" t="s">
        <v>8128</v>
      </c>
      <c r="D360" s="100" t="s">
        <v>8124</v>
      </c>
      <c r="E360" s="116">
        <f t="shared" si="60"/>
        <v>3.6666666666666665</v>
      </c>
      <c r="F360" s="528">
        <f t="shared" si="61"/>
        <v>3.6666666666666665</v>
      </c>
      <c r="G360" s="338" t="s">
        <v>7578</v>
      </c>
    </row>
    <row r="361" spans="1:7" ht="15" customHeight="1">
      <c r="A361" s="134" t="s">
        <v>7577</v>
      </c>
      <c r="B361" s="133" t="s">
        <v>51</v>
      </c>
      <c r="C361" s="133" t="s">
        <v>8128</v>
      </c>
      <c r="D361" s="100" t="s">
        <v>8124</v>
      </c>
      <c r="E361" s="116">
        <f t="shared" si="60"/>
        <v>3.6666666666666665</v>
      </c>
      <c r="F361" s="528">
        <f t="shared" si="61"/>
        <v>3.6666666666666665</v>
      </c>
      <c r="G361" s="338" t="s">
        <v>7578</v>
      </c>
    </row>
    <row r="362" spans="1:7" ht="15" customHeight="1">
      <c r="A362" s="134" t="s">
        <v>7577</v>
      </c>
      <c r="B362" s="133" t="s">
        <v>51</v>
      </c>
      <c r="C362" s="133" t="s">
        <v>8127</v>
      </c>
      <c r="D362" s="100" t="s">
        <v>8124</v>
      </c>
      <c r="E362" s="116">
        <f t="shared" ref="E362:E363" si="62">24/3</f>
        <v>8</v>
      </c>
      <c r="F362" s="528">
        <f t="shared" si="61"/>
        <v>8</v>
      </c>
      <c r="G362" s="338" t="s">
        <v>7578</v>
      </c>
    </row>
    <row r="363" spans="1:7" ht="15" customHeight="1">
      <c r="A363" s="134" t="s">
        <v>7577</v>
      </c>
      <c r="B363" s="133" t="s">
        <v>51</v>
      </c>
      <c r="C363" s="133" t="s">
        <v>8127</v>
      </c>
      <c r="D363" s="100" t="s">
        <v>8124</v>
      </c>
      <c r="E363" s="116">
        <f t="shared" si="62"/>
        <v>8</v>
      </c>
      <c r="F363" s="528">
        <f t="shared" si="61"/>
        <v>8</v>
      </c>
      <c r="G363" s="338" t="s">
        <v>7578</v>
      </c>
    </row>
    <row r="364" spans="1:7" ht="15" customHeight="1">
      <c r="A364" s="134" t="s">
        <v>7577</v>
      </c>
      <c r="B364" s="133" t="s">
        <v>51</v>
      </c>
      <c r="C364" s="133" t="s">
        <v>8127</v>
      </c>
      <c r="D364" s="100" t="s">
        <v>8124</v>
      </c>
      <c r="E364" s="1127">
        <f t="shared" ref="E364:E366" si="63">(0.25*23)/3</f>
        <v>1.9166666666666667</v>
      </c>
      <c r="F364" s="528">
        <f t="shared" ref="F364:F368" si="64">E364*0.5</f>
        <v>0.95833333333333337</v>
      </c>
      <c r="G364" s="338" t="s">
        <v>7578</v>
      </c>
    </row>
    <row r="365" spans="1:7" ht="15" customHeight="1">
      <c r="A365" s="134" t="s">
        <v>7577</v>
      </c>
      <c r="B365" s="133" t="s">
        <v>51</v>
      </c>
      <c r="C365" s="133" t="s">
        <v>8128</v>
      </c>
      <c r="D365" s="100" t="s">
        <v>8124</v>
      </c>
      <c r="E365" s="1127">
        <f t="shared" si="63"/>
        <v>1.9166666666666667</v>
      </c>
      <c r="F365" s="528">
        <f t="shared" si="64"/>
        <v>0.95833333333333337</v>
      </c>
      <c r="G365" s="338" t="s">
        <v>7578</v>
      </c>
    </row>
    <row r="366" spans="1:7" ht="15" customHeight="1">
      <c r="A366" s="134" t="s">
        <v>7577</v>
      </c>
      <c r="B366" s="133" t="s">
        <v>51</v>
      </c>
      <c r="C366" s="133" t="s">
        <v>8128</v>
      </c>
      <c r="D366" s="100" t="s">
        <v>8124</v>
      </c>
      <c r="E366" s="1127">
        <f t="shared" si="63"/>
        <v>1.9166666666666667</v>
      </c>
      <c r="F366" s="528">
        <f t="shared" si="64"/>
        <v>0.95833333333333337</v>
      </c>
      <c r="G366" s="338" t="s">
        <v>7578</v>
      </c>
    </row>
    <row r="367" spans="1:7" ht="15" customHeight="1">
      <c r="A367" s="134" t="s">
        <v>7577</v>
      </c>
      <c r="B367" s="133" t="s">
        <v>51</v>
      </c>
      <c r="C367" s="133" t="s">
        <v>8128</v>
      </c>
      <c r="D367" s="100" t="s">
        <v>8124</v>
      </c>
      <c r="E367" s="1127">
        <f>(0.25*46)/3</f>
        <v>3.8333333333333335</v>
      </c>
      <c r="F367" s="528">
        <f t="shared" si="64"/>
        <v>1.9166666666666667</v>
      </c>
      <c r="G367" s="338" t="s">
        <v>7578</v>
      </c>
    </row>
    <row r="368" spans="1:7" ht="15" customHeight="1">
      <c r="A368" s="134" t="s">
        <v>7577</v>
      </c>
      <c r="B368" s="133" t="s">
        <v>51</v>
      </c>
      <c r="C368" s="133" t="s">
        <v>8128</v>
      </c>
      <c r="D368" s="100" t="s">
        <v>8124</v>
      </c>
      <c r="E368" s="1127">
        <f>(0.25*21)/3</f>
        <v>1.75</v>
      </c>
      <c r="F368" s="528">
        <f t="shared" si="64"/>
        <v>0.875</v>
      </c>
      <c r="G368" s="338" t="s">
        <v>7578</v>
      </c>
    </row>
    <row r="369" spans="1:7" ht="15" customHeight="1">
      <c r="A369" s="134" t="s">
        <v>7577</v>
      </c>
      <c r="B369" s="133" t="s">
        <v>51</v>
      </c>
      <c r="C369" s="133" t="s">
        <v>8128</v>
      </c>
      <c r="D369" s="100" t="s">
        <v>8124</v>
      </c>
      <c r="E369" s="116">
        <f t="shared" ref="E369:E372" si="65">(0.25*24)/3</f>
        <v>2</v>
      </c>
      <c r="F369" s="528">
        <f t="shared" ref="F369:F372" si="66">E369</f>
        <v>2</v>
      </c>
      <c r="G369" s="338" t="s">
        <v>7578</v>
      </c>
    </row>
    <row r="370" spans="1:7" ht="15" customHeight="1">
      <c r="A370" s="134" t="s">
        <v>7577</v>
      </c>
      <c r="B370" s="133" t="s">
        <v>51</v>
      </c>
      <c r="C370" s="133" t="s">
        <v>8128</v>
      </c>
      <c r="D370" s="100" t="s">
        <v>8124</v>
      </c>
      <c r="E370" s="116">
        <f t="shared" si="65"/>
        <v>2</v>
      </c>
      <c r="F370" s="528">
        <f t="shared" si="66"/>
        <v>2</v>
      </c>
      <c r="G370" s="338" t="s">
        <v>7578</v>
      </c>
    </row>
    <row r="371" spans="1:7" ht="15" customHeight="1">
      <c r="A371" s="134" t="s">
        <v>7577</v>
      </c>
      <c r="B371" s="133" t="s">
        <v>51</v>
      </c>
      <c r="C371" s="133" t="s">
        <v>8128</v>
      </c>
      <c r="D371" s="100" t="s">
        <v>8124</v>
      </c>
      <c r="E371" s="116">
        <f t="shared" si="65"/>
        <v>2</v>
      </c>
      <c r="F371" s="528">
        <f t="shared" si="66"/>
        <v>2</v>
      </c>
      <c r="G371" s="338" t="s">
        <v>7578</v>
      </c>
    </row>
    <row r="372" spans="1:7" ht="15" customHeight="1">
      <c r="A372" s="134" t="s">
        <v>7577</v>
      </c>
      <c r="B372" s="133" t="s">
        <v>51</v>
      </c>
      <c r="C372" s="133" t="s">
        <v>8128</v>
      </c>
      <c r="D372" s="100" t="s">
        <v>8124</v>
      </c>
      <c r="E372" s="116">
        <f t="shared" si="65"/>
        <v>2</v>
      </c>
      <c r="F372" s="528">
        <f t="shared" si="66"/>
        <v>2</v>
      </c>
      <c r="G372" s="338" t="s">
        <v>7578</v>
      </c>
    </row>
    <row r="373" spans="1:7" ht="15" customHeight="1">
      <c r="A373" s="134" t="s">
        <v>7577</v>
      </c>
      <c r="B373" s="133" t="s">
        <v>51</v>
      </c>
      <c r="C373" s="133" t="s">
        <v>8129</v>
      </c>
      <c r="D373" s="100" t="s">
        <v>8124</v>
      </c>
      <c r="E373" s="1127">
        <f>(0.1*46)/3</f>
        <v>1.5333333333333334</v>
      </c>
      <c r="F373" s="528">
        <f>E373*0.5</f>
        <v>0.76666666666666672</v>
      </c>
      <c r="G373" s="338" t="s">
        <v>7578</v>
      </c>
    </row>
    <row r="374" spans="1:7" ht="15" customHeight="1">
      <c r="A374" s="134" t="s">
        <v>7577</v>
      </c>
      <c r="B374" s="133" t="s">
        <v>51</v>
      </c>
      <c r="C374" s="133" t="s">
        <v>8129</v>
      </c>
      <c r="D374" s="100" t="s">
        <v>8124</v>
      </c>
      <c r="E374" s="116">
        <f t="shared" ref="E374:E376" si="67">(0.1*24)/3</f>
        <v>0.80000000000000016</v>
      </c>
      <c r="F374" s="528">
        <f t="shared" ref="F374:F376" si="68">E374</f>
        <v>0.80000000000000016</v>
      </c>
      <c r="G374" s="338" t="s">
        <v>7578</v>
      </c>
    </row>
    <row r="375" spans="1:7" ht="15" customHeight="1">
      <c r="A375" s="134" t="s">
        <v>7577</v>
      </c>
      <c r="B375" s="133" t="s">
        <v>51</v>
      </c>
      <c r="C375" s="133" t="s">
        <v>8129</v>
      </c>
      <c r="D375" s="100" t="s">
        <v>8124</v>
      </c>
      <c r="E375" s="116">
        <f t="shared" si="67"/>
        <v>0.80000000000000016</v>
      </c>
      <c r="F375" s="528">
        <f t="shared" si="68"/>
        <v>0.80000000000000016</v>
      </c>
      <c r="G375" s="338" t="s">
        <v>7578</v>
      </c>
    </row>
    <row r="376" spans="1:7" ht="15" customHeight="1">
      <c r="A376" s="134" t="s">
        <v>7577</v>
      </c>
      <c r="B376" s="133" t="s">
        <v>51</v>
      </c>
      <c r="C376" s="133" t="s">
        <v>8129</v>
      </c>
      <c r="D376" s="100" t="s">
        <v>8124</v>
      </c>
      <c r="E376" s="116">
        <f t="shared" si="67"/>
        <v>0.80000000000000016</v>
      </c>
      <c r="F376" s="528">
        <f t="shared" si="68"/>
        <v>0.80000000000000016</v>
      </c>
      <c r="G376" s="338" t="s">
        <v>7578</v>
      </c>
    </row>
    <row r="377" spans="1:7" ht="15" customHeight="1">
      <c r="A377" s="134" t="s">
        <v>7577</v>
      </c>
      <c r="B377" s="133" t="s">
        <v>51</v>
      </c>
      <c r="C377" s="133" t="s">
        <v>8129</v>
      </c>
      <c r="D377" s="100" t="s">
        <v>8124</v>
      </c>
      <c r="E377" s="1127">
        <f t="shared" ref="E377:E379" si="69">(0.1*31)/3</f>
        <v>1.0333333333333334</v>
      </c>
      <c r="F377" s="528">
        <f t="shared" ref="F377:F379" si="70">E377*0.5</f>
        <v>0.51666666666666672</v>
      </c>
      <c r="G377" s="338" t="s">
        <v>7578</v>
      </c>
    </row>
    <row r="378" spans="1:7" ht="15" customHeight="1">
      <c r="A378" s="134" t="s">
        <v>7577</v>
      </c>
      <c r="B378" s="133" t="s">
        <v>51</v>
      </c>
      <c r="C378" s="133" t="s">
        <v>8129</v>
      </c>
      <c r="D378" s="100" t="s">
        <v>8124</v>
      </c>
      <c r="E378" s="1127">
        <f t="shared" si="69"/>
        <v>1.0333333333333334</v>
      </c>
      <c r="F378" s="528">
        <f t="shared" si="70"/>
        <v>0.51666666666666672</v>
      </c>
      <c r="G378" s="338" t="s">
        <v>7578</v>
      </c>
    </row>
    <row r="379" spans="1:7" ht="15" customHeight="1">
      <c r="A379" s="134" t="s">
        <v>7577</v>
      </c>
      <c r="B379" s="133" t="s">
        <v>51</v>
      </c>
      <c r="C379" s="133" t="s">
        <v>8129</v>
      </c>
      <c r="D379" s="100" t="s">
        <v>8124</v>
      </c>
      <c r="E379" s="1127">
        <f t="shared" si="69"/>
        <v>1.0333333333333334</v>
      </c>
      <c r="F379" s="528">
        <f t="shared" si="70"/>
        <v>0.51666666666666672</v>
      </c>
      <c r="G379" s="338" t="s">
        <v>7578</v>
      </c>
    </row>
    <row r="380" spans="1:7" ht="15" customHeight="1">
      <c r="A380" s="134" t="s">
        <v>7577</v>
      </c>
      <c r="B380" s="133" t="s">
        <v>51</v>
      </c>
      <c r="C380" s="133" t="s">
        <v>8130</v>
      </c>
      <c r="D380" s="100" t="s">
        <v>8131</v>
      </c>
      <c r="E380" s="116">
        <f>(1/3)*3</f>
        <v>1</v>
      </c>
      <c r="F380" s="528">
        <f t="shared" ref="F380:F383" si="71">E380</f>
        <v>1</v>
      </c>
      <c r="G380" s="338" t="s">
        <v>7578</v>
      </c>
    </row>
    <row r="381" spans="1:7" ht="15" customHeight="1">
      <c r="A381" s="134" t="s">
        <v>7577</v>
      </c>
      <c r="B381" s="133" t="s">
        <v>51</v>
      </c>
      <c r="C381" s="133" t="s">
        <v>8132</v>
      </c>
      <c r="D381" s="100" t="s">
        <v>8131</v>
      </c>
      <c r="E381" s="116">
        <f>(21/3)*3</f>
        <v>21</v>
      </c>
      <c r="F381" s="528">
        <f t="shared" si="71"/>
        <v>21</v>
      </c>
      <c r="G381" s="338" t="s">
        <v>7578</v>
      </c>
    </row>
    <row r="382" spans="1:7" ht="15" customHeight="1">
      <c r="A382" s="134" t="s">
        <v>7577</v>
      </c>
      <c r="B382" s="133" t="s">
        <v>51</v>
      </c>
      <c r="C382" s="133" t="s">
        <v>8133</v>
      </c>
      <c r="D382" s="100" t="s">
        <v>8131</v>
      </c>
      <c r="E382" s="116">
        <f>(1/3)*2</f>
        <v>0.66666666666666663</v>
      </c>
      <c r="F382" s="528">
        <f t="shared" si="71"/>
        <v>0.66666666666666663</v>
      </c>
      <c r="G382" s="338" t="s">
        <v>7578</v>
      </c>
    </row>
    <row r="383" spans="1:7" ht="15" customHeight="1">
      <c r="A383" s="134" t="s">
        <v>7577</v>
      </c>
      <c r="B383" s="133" t="s">
        <v>51</v>
      </c>
      <c r="C383" s="133" t="s">
        <v>8134</v>
      </c>
      <c r="D383" s="100" t="s">
        <v>8131</v>
      </c>
      <c r="E383" s="116">
        <f>(8/3)*2</f>
        <v>5.333333333333333</v>
      </c>
      <c r="F383" s="528">
        <f t="shared" si="71"/>
        <v>5.333333333333333</v>
      </c>
      <c r="G383" s="338" t="s">
        <v>7578</v>
      </c>
    </row>
    <row r="384" spans="1:7" ht="15" customHeight="1">
      <c r="A384" s="134" t="s">
        <v>7577</v>
      </c>
      <c r="B384" s="133"/>
      <c r="C384" s="133"/>
      <c r="D384" s="100"/>
      <c r="E384" s="116"/>
      <c r="F384" s="528"/>
      <c r="G384" s="338" t="s">
        <v>7578</v>
      </c>
    </row>
    <row r="385" spans="1:7" ht="15" customHeight="1">
      <c r="A385" s="162" t="s">
        <v>2372</v>
      </c>
      <c r="B385" s="162" t="s">
        <v>8135</v>
      </c>
      <c r="C385" s="162" t="s">
        <v>8136</v>
      </c>
      <c r="D385" s="163" t="s">
        <v>7698</v>
      </c>
      <c r="E385" s="163" t="s">
        <v>8137</v>
      </c>
      <c r="F385" s="483">
        <v>32.25</v>
      </c>
      <c r="G385" s="338" t="s">
        <v>2372</v>
      </c>
    </row>
    <row r="386" spans="1:7" ht="15" customHeight="1">
      <c r="A386" s="162" t="s">
        <v>2372</v>
      </c>
      <c r="B386" s="162" t="s">
        <v>8135</v>
      </c>
      <c r="C386" s="162" t="s">
        <v>8138</v>
      </c>
      <c r="D386" s="163" t="s">
        <v>7698</v>
      </c>
      <c r="E386" s="163" t="s">
        <v>8139</v>
      </c>
      <c r="F386" s="483"/>
      <c r="G386" s="338" t="s">
        <v>2372</v>
      </c>
    </row>
    <row r="387" spans="1:7" ht="15" customHeight="1">
      <c r="A387" s="162" t="s">
        <v>2372</v>
      </c>
      <c r="B387" s="162" t="s">
        <v>8135</v>
      </c>
      <c r="C387" s="162" t="s">
        <v>8140</v>
      </c>
      <c r="D387" s="163" t="s">
        <v>7698</v>
      </c>
      <c r="E387" s="163" t="s">
        <v>8141</v>
      </c>
      <c r="F387" s="483">
        <v>41.52</v>
      </c>
      <c r="G387" s="338" t="s">
        <v>2372</v>
      </c>
    </row>
    <row r="388" spans="1:7" ht="15" customHeight="1">
      <c r="A388" s="162" t="s">
        <v>2372</v>
      </c>
      <c r="B388" s="162" t="s">
        <v>8135</v>
      </c>
      <c r="C388" s="162" t="s">
        <v>8142</v>
      </c>
      <c r="D388" s="163" t="s">
        <v>7698</v>
      </c>
      <c r="E388" s="163" t="s">
        <v>8143</v>
      </c>
      <c r="F388" s="483">
        <v>58.8</v>
      </c>
      <c r="G388" s="338" t="s">
        <v>2372</v>
      </c>
    </row>
    <row r="389" spans="1:7" ht="15" customHeight="1">
      <c r="A389" s="162" t="s">
        <v>2372</v>
      </c>
      <c r="B389" s="162" t="s">
        <v>8135</v>
      </c>
      <c r="C389" s="162" t="s">
        <v>8144</v>
      </c>
      <c r="D389" s="163" t="s">
        <v>8145</v>
      </c>
      <c r="E389" s="163" t="s">
        <v>8146</v>
      </c>
      <c r="F389" s="483">
        <v>16.75</v>
      </c>
      <c r="G389" s="338" t="s">
        <v>2372</v>
      </c>
    </row>
    <row r="390" spans="1:7" ht="15" customHeight="1">
      <c r="A390" s="162" t="s">
        <v>2372</v>
      </c>
      <c r="B390" s="162" t="s">
        <v>8135</v>
      </c>
      <c r="C390" s="162" t="s">
        <v>8147</v>
      </c>
      <c r="D390" s="163" t="s">
        <v>8145</v>
      </c>
      <c r="E390" s="163" t="s">
        <v>8148</v>
      </c>
      <c r="F390" s="483">
        <v>15.58</v>
      </c>
      <c r="G390" s="338" t="s">
        <v>2372</v>
      </c>
    </row>
    <row r="391" spans="1:7" ht="15" customHeight="1">
      <c r="A391" s="162" t="s">
        <v>2372</v>
      </c>
      <c r="B391" s="162" t="s">
        <v>8135</v>
      </c>
      <c r="C391" s="162" t="s">
        <v>8149</v>
      </c>
      <c r="D391" s="163"/>
      <c r="E391" s="163" t="s">
        <v>8150</v>
      </c>
      <c r="F391" s="483">
        <v>36.659999999999997</v>
      </c>
      <c r="G391" s="338" t="s">
        <v>2372</v>
      </c>
    </row>
    <row r="392" spans="1:7" ht="15" customHeight="1">
      <c r="A392" s="162" t="s">
        <v>2372</v>
      </c>
      <c r="B392" s="162" t="s">
        <v>8135</v>
      </c>
      <c r="C392" s="162" t="s">
        <v>8151</v>
      </c>
      <c r="D392" s="163"/>
      <c r="E392" s="163" t="s">
        <v>8152</v>
      </c>
      <c r="F392" s="483">
        <v>12.66</v>
      </c>
      <c r="G392" s="338" t="s">
        <v>2372</v>
      </c>
    </row>
    <row r="393" spans="1:7" ht="15" customHeight="1">
      <c r="A393" s="162" t="s">
        <v>2372</v>
      </c>
      <c r="B393" s="162" t="s">
        <v>8135</v>
      </c>
      <c r="C393" s="162" t="s">
        <v>8153</v>
      </c>
      <c r="D393" s="163"/>
      <c r="E393" s="163" t="s">
        <v>8154</v>
      </c>
      <c r="F393" s="483">
        <v>22</v>
      </c>
      <c r="G393" s="338" t="s">
        <v>2372</v>
      </c>
    </row>
    <row r="394" spans="1:7" ht="15" customHeight="1">
      <c r="A394" s="162" t="s">
        <v>2372</v>
      </c>
      <c r="B394" s="162" t="s">
        <v>8135</v>
      </c>
      <c r="C394" s="162" t="s">
        <v>8155</v>
      </c>
      <c r="D394" s="163"/>
      <c r="E394" s="163" t="s">
        <v>8156</v>
      </c>
      <c r="F394" s="483">
        <v>20</v>
      </c>
      <c r="G394" s="338" t="s">
        <v>2372</v>
      </c>
    </row>
    <row r="395" spans="1:7" ht="15" customHeight="1">
      <c r="A395" s="162" t="s">
        <v>2372</v>
      </c>
      <c r="B395" s="162" t="s">
        <v>8135</v>
      </c>
      <c r="C395" s="162" t="s">
        <v>8157</v>
      </c>
      <c r="D395" s="163"/>
      <c r="E395" s="163" t="s">
        <v>8158</v>
      </c>
      <c r="F395" s="483">
        <v>11</v>
      </c>
      <c r="G395" s="338" t="s">
        <v>2372</v>
      </c>
    </row>
    <row r="396" spans="1:7" ht="15" customHeight="1">
      <c r="A396" s="162" t="s">
        <v>2372</v>
      </c>
      <c r="B396" s="162" t="s">
        <v>8135</v>
      </c>
      <c r="C396" s="162" t="s">
        <v>8159</v>
      </c>
      <c r="D396" s="163"/>
      <c r="E396" s="163" t="s">
        <v>8160</v>
      </c>
      <c r="F396" s="483">
        <v>10</v>
      </c>
      <c r="G396" s="338" t="s">
        <v>2372</v>
      </c>
    </row>
    <row r="397" spans="1:7" ht="15" customHeight="1">
      <c r="A397" s="162" t="s">
        <v>2372</v>
      </c>
      <c r="B397" s="162" t="s">
        <v>8135</v>
      </c>
      <c r="C397" s="162" t="s">
        <v>8161</v>
      </c>
      <c r="D397" s="163"/>
      <c r="E397" s="163" t="s">
        <v>8162</v>
      </c>
      <c r="F397" s="483">
        <v>98</v>
      </c>
      <c r="G397" s="338" t="s">
        <v>2372</v>
      </c>
    </row>
    <row r="398" spans="1:7" ht="15" customHeight="1">
      <c r="A398" s="134" t="s">
        <v>7097</v>
      </c>
      <c r="B398" s="133" t="s">
        <v>51</v>
      </c>
      <c r="C398" s="133" t="s">
        <v>8163</v>
      </c>
      <c r="D398" s="100" t="s">
        <v>8164</v>
      </c>
      <c r="E398" s="186">
        <f>20/3*3</f>
        <v>20</v>
      </c>
      <c r="F398" s="528">
        <v>20</v>
      </c>
      <c r="G398" s="338" t="s">
        <v>2392</v>
      </c>
    </row>
    <row r="399" spans="1:7" ht="15" customHeight="1">
      <c r="A399" s="134" t="s">
        <v>7097</v>
      </c>
      <c r="B399" s="133" t="s">
        <v>51</v>
      </c>
      <c r="C399" s="133" t="s">
        <v>8165</v>
      </c>
      <c r="D399" s="100" t="s">
        <v>8166</v>
      </c>
      <c r="E399" s="186">
        <f>20/3*2</f>
        <v>13.333333333333334</v>
      </c>
      <c r="F399" s="528">
        <f t="shared" ref="F399:F427" si="72">E399</f>
        <v>13.333333333333334</v>
      </c>
      <c r="G399" s="338" t="s">
        <v>2392</v>
      </c>
    </row>
    <row r="400" spans="1:7" ht="15" customHeight="1">
      <c r="A400" s="134" t="s">
        <v>7097</v>
      </c>
      <c r="B400" s="133" t="s">
        <v>51</v>
      </c>
      <c r="C400" s="133" t="s">
        <v>8167</v>
      </c>
      <c r="D400" s="100" t="s">
        <v>8166</v>
      </c>
      <c r="E400" s="186">
        <f>19/3*2</f>
        <v>12.666666666666666</v>
      </c>
      <c r="F400" s="528">
        <f t="shared" si="72"/>
        <v>12.666666666666666</v>
      </c>
      <c r="G400" s="338" t="s">
        <v>2392</v>
      </c>
    </row>
    <row r="401" spans="1:7" ht="15" customHeight="1">
      <c r="A401" s="134" t="s">
        <v>7097</v>
      </c>
      <c r="B401" s="133" t="s">
        <v>51</v>
      </c>
      <c r="C401" s="133" t="s">
        <v>8168</v>
      </c>
      <c r="D401" s="100" t="s">
        <v>7778</v>
      </c>
      <c r="E401" s="186">
        <f t="shared" ref="E401:E403" si="73">17/3</f>
        <v>5.666666666666667</v>
      </c>
      <c r="F401" s="528">
        <f t="shared" si="72"/>
        <v>5.666666666666667</v>
      </c>
      <c r="G401" s="338" t="s">
        <v>2392</v>
      </c>
    </row>
    <row r="402" spans="1:7" ht="15" customHeight="1">
      <c r="A402" s="134" t="s">
        <v>7097</v>
      </c>
      <c r="B402" s="133" t="s">
        <v>51</v>
      </c>
      <c r="C402" s="133" t="s">
        <v>8169</v>
      </c>
      <c r="D402" s="100" t="s">
        <v>7778</v>
      </c>
      <c r="E402" s="186">
        <f t="shared" si="73"/>
        <v>5.666666666666667</v>
      </c>
      <c r="F402" s="528">
        <f t="shared" si="72"/>
        <v>5.666666666666667</v>
      </c>
      <c r="G402" s="338" t="s">
        <v>2392</v>
      </c>
    </row>
    <row r="403" spans="1:7" ht="15" customHeight="1">
      <c r="A403" s="134" t="s">
        <v>7097</v>
      </c>
      <c r="B403" s="133" t="s">
        <v>51</v>
      </c>
      <c r="C403" s="133" t="s">
        <v>8170</v>
      </c>
      <c r="D403" s="100" t="s">
        <v>7778</v>
      </c>
      <c r="E403" s="186">
        <f t="shared" si="73"/>
        <v>5.666666666666667</v>
      </c>
      <c r="F403" s="528">
        <f t="shared" si="72"/>
        <v>5.666666666666667</v>
      </c>
      <c r="G403" s="338" t="s">
        <v>2392</v>
      </c>
    </row>
    <row r="404" spans="1:7" ht="15" customHeight="1">
      <c r="A404" s="134" t="s">
        <v>7097</v>
      </c>
      <c r="B404" s="133" t="s">
        <v>51</v>
      </c>
      <c r="C404" s="133" t="s">
        <v>8171</v>
      </c>
      <c r="D404" s="100" t="s">
        <v>7778</v>
      </c>
      <c r="E404" s="186">
        <f>0.25*17/3</f>
        <v>1.4166666666666667</v>
      </c>
      <c r="F404" s="528">
        <f t="shared" si="72"/>
        <v>1.4166666666666667</v>
      </c>
      <c r="G404" s="338" t="s">
        <v>2392</v>
      </c>
    </row>
    <row r="405" spans="1:7" ht="15" customHeight="1">
      <c r="A405" s="134" t="s">
        <v>7097</v>
      </c>
      <c r="B405" s="133" t="s">
        <v>51</v>
      </c>
      <c r="C405" s="133" t="s">
        <v>8172</v>
      </c>
      <c r="D405" s="100" t="s">
        <v>7778</v>
      </c>
      <c r="E405" s="186">
        <f t="shared" ref="E405:E407" si="74">24/3</f>
        <v>8</v>
      </c>
      <c r="F405" s="528">
        <f t="shared" si="72"/>
        <v>8</v>
      </c>
      <c r="G405" s="338" t="s">
        <v>2392</v>
      </c>
    </row>
    <row r="406" spans="1:7" ht="15" customHeight="1">
      <c r="A406" s="134" t="s">
        <v>7097</v>
      </c>
      <c r="B406" s="133" t="s">
        <v>51</v>
      </c>
      <c r="C406" s="133" t="s">
        <v>8173</v>
      </c>
      <c r="D406" s="100" t="s">
        <v>7778</v>
      </c>
      <c r="E406" s="186">
        <f t="shared" si="74"/>
        <v>8</v>
      </c>
      <c r="F406" s="528">
        <f t="shared" si="72"/>
        <v>8</v>
      </c>
      <c r="G406" s="338" t="s">
        <v>2392</v>
      </c>
    </row>
    <row r="407" spans="1:7" ht="15" customHeight="1">
      <c r="A407" s="134" t="s">
        <v>7097</v>
      </c>
      <c r="B407" s="133" t="s">
        <v>51</v>
      </c>
      <c r="C407" s="133" t="s">
        <v>8174</v>
      </c>
      <c r="D407" s="100" t="s">
        <v>7778</v>
      </c>
      <c r="E407" s="186">
        <f t="shared" si="74"/>
        <v>8</v>
      </c>
      <c r="F407" s="528">
        <f t="shared" si="72"/>
        <v>8</v>
      </c>
      <c r="G407" s="338" t="s">
        <v>2392</v>
      </c>
    </row>
    <row r="408" spans="1:7" ht="15" customHeight="1">
      <c r="A408" s="134" t="s">
        <v>7097</v>
      </c>
      <c r="B408" s="133" t="s">
        <v>51</v>
      </c>
      <c r="C408" s="133" t="s">
        <v>8175</v>
      </c>
      <c r="D408" s="100" t="s">
        <v>7778</v>
      </c>
      <c r="E408" s="186">
        <f>(0.25*24)/3</f>
        <v>2</v>
      </c>
      <c r="F408" s="528">
        <f t="shared" si="72"/>
        <v>2</v>
      </c>
      <c r="G408" s="338" t="s">
        <v>2392</v>
      </c>
    </row>
    <row r="409" spans="1:7" ht="15" customHeight="1">
      <c r="A409" s="134" t="s">
        <v>7097</v>
      </c>
      <c r="B409" s="133" t="s">
        <v>51</v>
      </c>
      <c r="C409" s="133" t="s">
        <v>8176</v>
      </c>
      <c r="D409" s="100" t="s">
        <v>7778</v>
      </c>
      <c r="E409" s="186">
        <f>32/3</f>
        <v>10.666666666666666</v>
      </c>
      <c r="F409" s="528">
        <f t="shared" si="72"/>
        <v>10.666666666666666</v>
      </c>
      <c r="G409" s="338" t="s">
        <v>2392</v>
      </c>
    </row>
    <row r="410" spans="1:7" ht="15" customHeight="1">
      <c r="A410" s="134" t="s">
        <v>7097</v>
      </c>
      <c r="B410" s="133" t="s">
        <v>51</v>
      </c>
      <c r="C410" s="133" t="s">
        <v>8177</v>
      </c>
      <c r="D410" s="100" t="s">
        <v>7790</v>
      </c>
      <c r="E410" s="186">
        <f>32/3*0.5</f>
        <v>5.333333333333333</v>
      </c>
      <c r="F410" s="528">
        <f t="shared" si="72"/>
        <v>5.333333333333333</v>
      </c>
      <c r="G410" s="338" t="s">
        <v>2392</v>
      </c>
    </row>
    <row r="411" spans="1:7" ht="15" customHeight="1">
      <c r="A411" s="134" t="s">
        <v>7097</v>
      </c>
      <c r="B411" s="133" t="s">
        <v>51</v>
      </c>
      <c r="C411" s="133" t="s">
        <v>8178</v>
      </c>
      <c r="D411" s="100" t="s">
        <v>7778</v>
      </c>
      <c r="E411" s="186">
        <f>21/3</f>
        <v>7</v>
      </c>
      <c r="F411" s="528">
        <f t="shared" si="72"/>
        <v>7</v>
      </c>
      <c r="G411" s="338" t="s">
        <v>2392</v>
      </c>
    </row>
    <row r="412" spans="1:7" ht="15" customHeight="1">
      <c r="A412" s="134" t="s">
        <v>7097</v>
      </c>
      <c r="B412" s="133" t="s">
        <v>51</v>
      </c>
      <c r="C412" s="133" t="s">
        <v>8179</v>
      </c>
      <c r="D412" s="100" t="s">
        <v>7790</v>
      </c>
      <c r="E412" s="186">
        <f>21/3*0.5</f>
        <v>3.5</v>
      </c>
      <c r="F412" s="528">
        <f t="shared" si="72"/>
        <v>3.5</v>
      </c>
      <c r="G412" s="338" t="s">
        <v>2392</v>
      </c>
    </row>
    <row r="413" spans="1:7" ht="15" customHeight="1">
      <c r="A413" s="134" t="s">
        <v>7097</v>
      </c>
      <c r="B413" s="133" t="s">
        <v>51</v>
      </c>
      <c r="C413" s="133" t="s">
        <v>8180</v>
      </c>
      <c r="D413" s="100" t="s">
        <v>7778</v>
      </c>
      <c r="E413" s="186">
        <f>23/3</f>
        <v>7.666666666666667</v>
      </c>
      <c r="F413" s="528">
        <f t="shared" si="72"/>
        <v>7.666666666666667</v>
      </c>
      <c r="G413" s="338" t="s">
        <v>2392</v>
      </c>
    </row>
    <row r="414" spans="1:7" ht="15" customHeight="1">
      <c r="A414" s="134" t="s">
        <v>7097</v>
      </c>
      <c r="B414" s="133" t="s">
        <v>51</v>
      </c>
      <c r="C414" s="133" t="s">
        <v>8181</v>
      </c>
      <c r="D414" s="100" t="s">
        <v>8182</v>
      </c>
      <c r="E414" s="186">
        <f>23/3*0.5</f>
        <v>3.8333333333333335</v>
      </c>
      <c r="F414" s="528">
        <f t="shared" si="72"/>
        <v>3.8333333333333335</v>
      </c>
      <c r="G414" s="338" t="s">
        <v>2392</v>
      </c>
    </row>
    <row r="415" spans="1:7" ht="15" customHeight="1">
      <c r="A415" s="134" t="s">
        <v>7097</v>
      </c>
      <c r="B415" s="133" t="s">
        <v>51</v>
      </c>
      <c r="C415" s="133" t="s">
        <v>8183</v>
      </c>
      <c r="D415" s="100" t="s">
        <v>8182</v>
      </c>
      <c r="E415" s="186">
        <f>0.25*23/3*0.5</f>
        <v>0.95833333333333337</v>
      </c>
      <c r="F415" s="528">
        <f t="shared" si="72"/>
        <v>0.95833333333333337</v>
      </c>
      <c r="G415" s="338" t="s">
        <v>2392</v>
      </c>
    </row>
    <row r="416" spans="1:7" ht="15" customHeight="1">
      <c r="A416" s="134" t="s">
        <v>7097</v>
      </c>
      <c r="B416" s="133" t="s">
        <v>51</v>
      </c>
      <c r="C416" s="133" t="s">
        <v>8184</v>
      </c>
      <c r="D416" s="100" t="s">
        <v>7778</v>
      </c>
      <c r="E416" s="186">
        <f>24/3</f>
        <v>8</v>
      </c>
      <c r="F416" s="528">
        <f t="shared" si="72"/>
        <v>8</v>
      </c>
      <c r="G416" s="338" t="s">
        <v>2392</v>
      </c>
    </row>
    <row r="417" spans="1:7" ht="15" customHeight="1">
      <c r="A417" s="134" t="s">
        <v>7097</v>
      </c>
      <c r="B417" s="133" t="s">
        <v>51</v>
      </c>
      <c r="C417" s="133" t="s">
        <v>8185</v>
      </c>
      <c r="D417" s="100" t="s">
        <v>8182</v>
      </c>
      <c r="E417" s="186">
        <f>24/3*0.5</f>
        <v>4</v>
      </c>
      <c r="F417" s="528">
        <f t="shared" si="72"/>
        <v>4</v>
      </c>
      <c r="G417" s="338" t="s">
        <v>2392</v>
      </c>
    </row>
    <row r="418" spans="1:7" ht="15" customHeight="1">
      <c r="A418" s="134" t="s">
        <v>7097</v>
      </c>
      <c r="B418" s="133" t="s">
        <v>51</v>
      </c>
      <c r="C418" s="133" t="s">
        <v>8186</v>
      </c>
      <c r="D418" s="100" t="s">
        <v>8182</v>
      </c>
      <c r="E418" s="186">
        <f>0.25*24/3*0.5</f>
        <v>1</v>
      </c>
      <c r="F418" s="528">
        <f t="shared" si="72"/>
        <v>1</v>
      </c>
      <c r="G418" s="338" t="s">
        <v>2392</v>
      </c>
    </row>
    <row r="419" spans="1:7" ht="15" customHeight="1">
      <c r="A419" s="134" t="s">
        <v>7097</v>
      </c>
      <c r="B419" s="133" t="s">
        <v>51</v>
      </c>
      <c r="C419" s="133" t="s">
        <v>8187</v>
      </c>
      <c r="D419" s="100" t="s">
        <v>7778</v>
      </c>
      <c r="E419" s="186">
        <f t="shared" ref="E419:E420" si="75">87/3</f>
        <v>29</v>
      </c>
      <c r="F419" s="528">
        <f t="shared" si="72"/>
        <v>29</v>
      </c>
      <c r="G419" s="338" t="s">
        <v>2392</v>
      </c>
    </row>
    <row r="420" spans="1:7" ht="15" customHeight="1">
      <c r="A420" s="134" t="s">
        <v>7097</v>
      </c>
      <c r="B420" s="133" t="s">
        <v>51</v>
      </c>
      <c r="C420" s="133" t="s">
        <v>8188</v>
      </c>
      <c r="D420" s="100" t="s">
        <v>7778</v>
      </c>
      <c r="E420" s="186">
        <f t="shared" si="75"/>
        <v>29</v>
      </c>
      <c r="F420" s="528">
        <f t="shared" si="72"/>
        <v>29</v>
      </c>
      <c r="G420" s="338" t="s">
        <v>2392</v>
      </c>
    </row>
    <row r="421" spans="1:7" ht="15" customHeight="1">
      <c r="A421" s="134" t="s">
        <v>7097</v>
      </c>
      <c r="B421" s="133" t="s">
        <v>51</v>
      </c>
      <c r="C421" s="133" t="s">
        <v>8189</v>
      </c>
      <c r="D421" s="100" t="s">
        <v>7778</v>
      </c>
      <c r="E421" s="186">
        <f>0.25*87/3</f>
        <v>7.25</v>
      </c>
      <c r="F421" s="528">
        <f t="shared" si="72"/>
        <v>7.25</v>
      </c>
      <c r="G421" s="338" t="s">
        <v>2392</v>
      </c>
    </row>
    <row r="422" spans="1:7" ht="15" customHeight="1">
      <c r="A422" s="134" t="s">
        <v>7097</v>
      </c>
      <c r="B422" s="133" t="s">
        <v>51</v>
      </c>
      <c r="C422" s="133" t="s">
        <v>8190</v>
      </c>
      <c r="D422" s="100" t="s">
        <v>7778</v>
      </c>
      <c r="E422" s="186">
        <f t="shared" ref="E422:E423" si="76">36/3</f>
        <v>12</v>
      </c>
      <c r="F422" s="528">
        <f t="shared" si="72"/>
        <v>12</v>
      </c>
      <c r="G422" s="338" t="s">
        <v>2392</v>
      </c>
    </row>
    <row r="423" spans="1:7" ht="15" customHeight="1">
      <c r="A423" s="134" t="s">
        <v>7097</v>
      </c>
      <c r="B423" s="133" t="s">
        <v>51</v>
      </c>
      <c r="C423" s="133" t="s">
        <v>8191</v>
      </c>
      <c r="D423" s="100" t="s">
        <v>7778</v>
      </c>
      <c r="E423" s="186">
        <f t="shared" si="76"/>
        <v>12</v>
      </c>
      <c r="F423" s="528">
        <f t="shared" si="72"/>
        <v>12</v>
      </c>
      <c r="G423" s="338" t="s">
        <v>2392</v>
      </c>
    </row>
    <row r="424" spans="1:7" ht="15" customHeight="1">
      <c r="A424" s="134" t="s">
        <v>7097</v>
      </c>
      <c r="B424" s="133" t="s">
        <v>51</v>
      </c>
      <c r="C424" s="133" t="s">
        <v>8192</v>
      </c>
      <c r="D424" s="100" t="s">
        <v>7778</v>
      </c>
      <c r="E424" s="186">
        <f>0.25*87/3</f>
        <v>7.25</v>
      </c>
      <c r="F424" s="528">
        <f t="shared" si="72"/>
        <v>7.25</v>
      </c>
      <c r="G424" s="338" t="s">
        <v>2392</v>
      </c>
    </row>
    <row r="425" spans="1:7" ht="15" customHeight="1">
      <c r="A425" s="134" t="s">
        <v>7097</v>
      </c>
      <c r="B425" s="133" t="s">
        <v>51</v>
      </c>
      <c r="C425" s="133" t="s">
        <v>8193</v>
      </c>
      <c r="D425" s="100" t="s">
        <v>7778</v>
      </c>
      <c r="E425" s="186">
        <f t="shared" ref="E425:E426" si="77">53/3</f>
        <v>17.666666666666668</v>
      </c>
      <c r="F425" s="528">
        <f t="shared" si="72"/>
        <v>17.666666666666668</v>
      </c>
      <c r="G425" s="338" t="s">
        <v>2392</v>
      </c>
    </row>
    <row r="426" spans="1:7" ht="15" customHeight="1">
      <c r="A426" s="134" t="s">
        <v>7097</v>
      </c>
      <c r="B426" s="133" t="s">
        <v>51</v>
      </c>
      <c r="C426" s="133" t="s">
        <v>8194</v>
      </c>
      <c r="D426" s="100" t="s">
        <v>7778</v>
      </c>
      <c r="E426" s="186">
        <f t="shared" si="77"/>
        <v>17.666666666666668</v>
      </c>
      <c r="F426" s="528">
        <f t="shared" si="72"/>
        <v>17.666666666666668</v>
      </c>
      <c r="G426" s="338" t="s">
        <v>2392</v>
      </c>
    </row>
    <row r="427" spans="1:7" ht="15" customHeight="1">
      <c r="A427" s="134" t="s">
        <v>7097</v>
      </c>
      <c r="B427" s="133" t="s">
        <v>51</v>
      </c>
      <c r="C427" s="133" t="s">
        <v>8195</v>
      </c>
      <c r="D427" s="100" t="s">
        <v>7778</v>
      </c>
      <c r="E427" s="186">
        <f>0.25*53/3</f>
        <v>4.416666666666667</v>
      </c>
      <c r="F427" s="528">
        <f t="shared" si="72"/>
        <v>4.416666666666667</v>
      </c>
      <c r="G427" s="338" t="s">
        <v>2392</v>
      </c>
    </row>
    <row r="428" spans="1:7" ht="15" customHeight="1">
      <c r="A428" s="134" t="s">
        <v>4888</v>
      </c>
      <c r="B428" s="133" t="s">
        <v>51</v>
      </c>
      <c r="C428" s="133" t="s">
        <v>8196</v>
      </c>
      <c r="D428" s="100" t="s">
        <v>7778</v>
      </c>
      <c r="E428" s="100" t="s">
        <v>8197</v>
      </c>
      <c r="F428" s="528">
        <v>15.12</v>
      </c>
      <c r="G428" s="338" t="s">
        <v>2399</v>
      </c>
    </row>
    <row r="429" spans="1:7" ht="15" customHeight="1">
      <c r="A429" s="134" t="s">
        <v>4888</v>
      </c>
      <c r="B429" s="133" t="s">
        <v>51</v>
      </c>
      <c r="C429" s="133" t="s">
        <v>8198</v>
      </c>
      <c r="D429" s="100" t="s">
        <v>7778</v>
      </c>
      <c r="E429" s="100" t="s">
        <v>8197</v>
      </c>
      <c r="F429" s="528">
        <v>15.12</v>
      </c>
      <c r="G429" s="338" t="s">
        <v>2399</v>
      </c>
    </row>
    <row r="430" spans="1:7" ht="15" customHeight="1">
      <c r="A430" s="134" t="s">
        <v>4888</v>
      </c>
      <c r="B430" s="133" t="s">
        <v>51</v>
      </c>
      <c r="C430" s="133" t="s">
        <v>8199</v>
      </c>
      <c r="D430" s="100" t="s">
        <v>7778</v>
      </c>
      <c r="E430" s="100" t="s">
        <v>8200</v>
      </c>
      <c r="F430" s="528">
        <v>3.8250000000000002</v>
      </c>
      <c r="G430" s="338" t="s">
        <v>2399</v>
      </c>
    </row>
    <row r="431" spans="1:7" ht="15" customHeight="1">
      <c r="A431" s="134" t="s">
        <v>4888</v>
      </c>
      <c r="B431" s="133" t="s">
        <v>51</v>
      </c>
      <c r="C431" s="133" t="s">
        <v>8201</v>
      </c>
      <c r="D431" s="100" t="s">
        <v>7778</v>
      </c>
      <c r="E431" s="100" t="s">
        <v>8202</v>
      </c>
      <c r="F431" s="528">
        <v>1.36</v>
      </c>
      <c r="G431" s="338" t="s">
        <v>2399</v>
      </c>
    </row>
    <row r="432" spans="1:7" ht="15" customHeight="1">
      <c r="A432" s="134" t="s">
        <v>4888</v>
      </c>
      <c r="B432" s="133" t="s">
        <v>51</v>
      </c>
      <c r="C432" s="133" t="s">
        <v>8203</v>
      </c>
      <c r="D432" s="100" t="s">
        <v>8204</v>
      </c>
      <c r="E432" s="100" t="s">
        <v>8205</v>
      </c>
      <c r="F432" s="528">
        <v>4.5</v>
      </c>
      <c r="G432" s="338" t="s">
        <v>2399</v>
      </c>
    </row>
    <row r="433" spans="1:7" ht="15" customHeight="1">
      <c r="A433" s="134" t="s">
        <v>4888</v>
      </c>
      <c r="B433" s="133" t="s">
        <v>51</v>
      </c>
      <c r="C433" s="133" t="s">
        <v>8206</v>
      </c>
      <c r="D433" s="100" t="s">
        <v>8204</v>
      </c>
      <c r="E433" s="100" t="s">
        <v>8205</v>
      </c>
      <c r="F433" s="528">
        <v>4.5</v>
      </c>
      <c r="G433" s="338" t="s">
        <v>2399</v>
      </c>
    </row>
    <row r="434" spans="1:7" ht="15" customHeight="1">
      <c r="A434" s="134" t="s">
        <v>4888</v>
      </c>
      <c r="B434" s="133" t="s">
        <v>51</v>
      </c>
      <c r="C434" s="133" t="s">
        <v>8207</v>
      </c>
      <c r="D434" s="100" t="s">
        <v>8204</v>
      </c>
      <c r="E434" s="100" t="s">
        <v>8208</v>
      </c>
      <c r="F434" s="528">
        <v>1.125</v>
      </c>
      <c r="G434" s="338" t="s">
        <v>2399</v>
      </c>
    </row>
    <row r="435" spans="1:7" ht="15" customHeight="1">
      <c r="A435" s="134" t="s">
        <v>4888</v>
      </c>
      <c r="B435" s="133" t="s">
        <v>51</v>
      </c>
      <c r="C435" s="133" t="s">
        <v>8209</v>
      </c>
      <c r="D435" s="100" t="s">
        <v>8204</v>
      </c>
      <c r="E435" s="100" t="s">
        <v>8210</v>
      </c>
      <c r="F435" s="528">
        <v>0.45</v>
      </c>
      <c r="G435" s="338" t="s">
        <v>2399</v>
      </c>
    </row>
    <row r="436" spans="1:7" ht="15" customHeight="1">
      <c r="A436" s="134" t="s">
        <v>4888</v>
      </c>
      <c r="B436" s="133" t="s">
        <v>51</v>
      </c>
      <c r="C436" s="133" t="s">
        <v>8211</v>
      </c>
      <c r="D436" s="100" t="s">
        <v>7778</v>
      </c>
      <c r="E436" s="100" t="s">
        <v>8212</v>
      </c>
      <c r="F436" s="528">
        <v>9</v>
      </c>
      <c r="G436" s="338" t="s">
        <v>2399</v>
      </c>
    </row>
    <row r="437" spans="1:7" ht="15" customHeight="1">
      <c r="A437" s="134" t="s">
        <v>4888</v>
      </c>
      <c r="B437" s="133" t="s">
        <v>51</v>
      </c>
      <c r="C437" s="133" t="s">
        <v>8213</v>
      </c>
      <c r="D437" s="100" t="s">
        <v>7778</v>
      </c>
      <c r="E437" s="100" t="s">
        <v>8212</v>
      </c>
      <c r="F437" s="528">
        <v>9</v>
      </c>
      <c r="G437" s="338" t="s">
        <v>2399</v>
      </c>
    </row>
    <row r="438" spans="1:7" ht="15" customHeight="1">
      <c r="A438" s="134" t="s">
        <v>4888</v>
      </c>
      <c r="B438" s="133" t="s">
        <v>51</v>
      </c>
      <c r="C438" s="133" t="s">
        <v>8214</v>
      </c>
      <c r="D438" s="100" t="s">
        <v>7778</v>
      </c>
      <c r="E438" s="100" t="s">
        <v>8215</v>
      </c>
      <c r="F438" s="528">
        <v>2.25</v>
      </c>
      <c r="G438" s="338" t="s">
        <v>2399</v>
      </c>
    </row>
    <row r="439" spans="1:7" ht="15" customHeight="1">
      <c r="A439" s="134" t="s">
        <v>4888</v>
      </c>
      <c r="B439" s="133" t="s">
        <v>51</v>
      </c>
      <c r="C439" s="133" t="s">
        <v>8216</v>
      </c>
      <c r="D439" s="100" t="s">
        <v>7778</v>
      </c>
      <c r="E439" s="100" t="s">
        <v>8217</v>
      </c>
      <c r="F439" s="528">
        <v>0.9</v>
      </c>
      <c r="G439" s="338" t="s">
        <v>2399</v>
      </c>
    </row>
    <row r="440" spans="1:7" ht="15" customHeight="1">
      <c r="A440" s="134" t="s">
        <v>4888</v>
      </c>
      <c r="B440" s="133" t="s">
        <v>51</v>
      </c>
      <c r="C440" s="133" t="s">
        <v>8218</v>
      </c>
      <c r="D440" s="100" t="s">
        <v>7778</v>
      </c>
      <c r="E440" s="100" t="s">
        <v>8219</v>
      </c>
      <c r="F440" s="528">
        <v>13</v>
      </c>
      <c r="G440" s="338" t="s">
        <v>2399</v>
      </c>
    </row>
    <row r="441" spans="1:7" ht="15" customHeight="1">
      <c r="A441" s="134" t="s">
        <v>4888</v>
      </c>
      <c r="B441" s="133" t="s">
        <v>51</v>
      </c>
      <c r="C441" s="133" t="s">
        <v>8220</v>
      </c>
      <c r="D441" s="100" t="s">
        <v>7778</v>
      </c>
      <c r="E441" s="100" t="s">
        <v>8219</v>
      </c>
      <c r="F441" s="528">
        <v>13</v>
      </c>
      <c r="G441" s="338" t="s">
        <v>2399</v>
      </c>
    </row>
    <row r="442" spans="1:7" ht="15" customHeight="1">
      <c r="A442" s="134" t="s">
        <v>4888</v>
      </c>
      <c r="B442" s="133" t="s">
        <v>51</v>
      </c>
      <c r="C442" s="133" t="s">
        <v>8221</v>
      </c>
      <c r="D442" s="100" t="s">
        <v>7778</v>
      </c>
      <c r="E442" s="100" t="s">
        <v>8222</v>
      </c>
      <c r="F442" s="528">
        <v>3.25</v>
      </c>
      <c r="G442" s="338" t="s">
        <v>2399</v>
      </c>
    </row>
    <row r="443" spans="1:7" ht="15" customHeight="1">
      <c r="A443" s="134" t="s">
        <v>4888</v>
      </c>
      <c r="B443" s="133" t="s">
        <v>51</v>
      </c>
      <c r="C443" s="133" t="s">
        <v>8223</v>
      </c>
      <c r="D443" s="100" t="s">
        <v>7778</v>
      </c>
      <c r="E443" s="100" t="s">
        <v>8224</v>
      </c>
      <c r="F443" s="528">
        <v>1.3</v>
      </c>
      <c r="G443" s="338" t="s">
        <v>2399</v>
      </c>
    </row>
    <row r="444" spans="1:7" ht="15" customHeight="1">
      <c r="A444" s="134" t="s">
        <v>4888</v>
      </c>
      <c r="B444" s="133" t="s">
        <v>51</v>
      </c>
      <c r="C444" s="133" t="s">
        <v>8225</v>
      </c>
      <c r="D444" s="100" t="s">
        <v>8226</v>
      </c>
      <c r="E444" s="100" t="s">
        <v>8227</v>
      </c>
      <c r="F444" s="528">
        <v>4</v>
      </c>
      <c r="G444" s="338" t="s">
        <v>2399</v>
      </c>
    </row>
    <row r="445" spans="1:7" ht="15" customHeight="1">
      <c r="A445" s="134" t="s">
        <v>4888</v>
      </c>
      <c r="B445" s="133" t="s">
        <v>51</v>
      </c>
      <c r="C445" s="133" t="s">
        <v>8228</v>
      </c>
      <c r="D445" s="100" t="s">
        <v>8229</v>
      </c>
      <c r="E445" s="100" t="s">
        <v>8230</v>
      </c>
      <c r="F445" s="528">
        <v>2</v>
      </c>
      <c r="G445" s="338" t="s">
        <v>2399</v>
      </c>
    </row>
    <row r="446" spans="1:7" ht="15" customHeight="1">
      <c r="A446" s="134" t="s">
        <v>4888</v>
      </c>
      <c r="B446" s="133" t="s">
        <v>51</v>
      </c>
      <c r="C446" s="133" t="s">
        <v>8231</v>
      </c>
      <c r="D446" s="100" t="s">
        <v>8232</v>
      </c>
      <c r="E446" s="100" t="s">
        <v>8233</v>
      </c>
      <c r="F446" s="528">
        <v>0.5</v>
      </c>
      <c r="G446" s="338" t="s">
        <v>2399</v>
      </c>
    </row>
    <row r="447" spans="1:7" ht="15" customHeight="1">
      <c r="A447" s="134" t="s">
        <v>4888</v>
      </c>
      <c r="B447" s="133" t="s">
        <v>51</v>
      </c>
      <c r="C447" s="133" t="s">
        <v>8234</v>
      </c>
      <c r="D447" s="100" t="s">
        <v>8235</v>
      </c>
      <c r="E447" s="100" t="s">
        <v>8236</v>
      </c>
      <c r="F447" s="528">
        <v>0.2</v>
      </c>
      <c r="G447" s="338" t="s">
        <v>2399</v>
      </c>
    </row>
    <row r="448" spans="1:7" ht="15" customHeight="1">
      <c r="A448" s="134" t="s">
        <v>4888</v>
      </c>
      <c r="B448" s="133" t="s">
        <v>51</v>
      </c>
      <c r="C448" s="133" t="s">
        <v>8237</v>
      </c>
      <c r="D448" s="100" t="s">
        <v>8238</v>
      </c>
      <c r="E448" s="100" t="s">
        <v>8239</v>
      </c>
      <c r="F448" s="528">
        <v>16</v>
      </c>
      <c r="G448" s="338" t="s">
        <v>2399</v>
      </c>
    </row>
    <row r="449" spans="1:7" ht="15" customHeight="1">
      <c r="A449" s="134" t="s">
        <v>4888</v>
      </c>
      <c r="B449" s="133" t="s">
        <v>51</v>
      </c>
      <c r="C449" s="133" t="s">
        <v>8240</v>
      </c>
      <c r="D449" s="100" t="s">
        <v>8241</v>
      </c>
      <c r="E449" s="100" t="s">
        <v>8242</v>
      </c>
      <c r="F449" s="528">
        <v>8</v>
      </c>
      <c r="G449" s="338" t="s">
        <v>2399</v>
      </c>
    </row>
    <row r="450" spans="1:7" ht="15" customHeight="1">
      <c r="A450" s="134" t="s">
        <v>4888</v>
      </c>
      <c r="B450" s="133" t="s">
        <v>51</v>
      </c>
      <c r="C450" s="133" t="s">
        <v>8243</v>
      </c>
      <c r="D450" s="100" t="s">
        <v>8244</v>
      </c>
      <c r="E450" s="100" t="s">
        <v>8245</v>
      </c>
      <c r="F450" s="528">
        <v>2</v>
      </c>
      <c r="G450" s="338" t="s">
        <v>2399</v>
      </c>
    </row>
    <row r="451" spans="1:7" ht="15" customHeight="1">
      <c r="A451" s="134" t="s">
        <v>4888</v>
      </c>
      <c r="B451" s="133" t="s">
        <v>51</v>
      </c>
      <c r="C451" s="133" t="s">
        <v>8246</v>
      </c>
      <c r="D451" s="100" t="s">
        <v>8247</v>
      </c>
      <c r="E451" s="100" t="s">
        <v>8248</v>
      </c>
      <c r="F451" s="528">
        <v>0.8</v>
      </c>
      <c r="G451" s="338" t="s">
        <v>2399</v>
      </c>
    </row>
    <row r="452" spans="1:7" ht="15" customHeight="1">
      <c r="A452" s="134" t="s">
        <v>4888</v>
      </c>
      <c r="B452" s="133" t="s">
        <v>51</v>
      </c>
      <c r="C452" s="133" t="s">
        <v>8249</v>
      </c>
      <c r="D452" s="100" t="s">
        <v>8250</v>
      </c>
      <c r="E452" s="100" t="s">
        <v>8239</v>
      </c>
      <c r="F452" s="528">
        <v>16</v>
      </c>
      <c r="G452" s="338" t="s">
        <v>2399</v>
      </c>
    </row>
    <row r="453" spans="1:7" ht="15" customHeight="1">
      <c r="A453" s="134" t="s">
        <v>4888</v>
      </c>
      <c r="B453" s="133" t="s">
        <v>51</v>
      </c>
      <c r="C453" s="133" t="s">
        <v>8251</v>
      </c>
      <c r="D453" s="100" t="s">
        <v>8252</v>
      </c>
      <c r="E453" s="100" t="s">
        <v>8242</v>
      </c>
      <c r="F453" s="528">
        <v>8</v>
      </c>
      <c r="G453" s="338" t="s">
        <v>2399</v>
      </c>
    </row>
    <row r="454" spans="1:7" ht="15" customHeight="1">
      <c r="A454" s="134" t="s">
        <v>4888</v>
      </c>
      <c r="B454" s="133" t="s">
        <v>51</v>
      </c>
      <c r="C454" s="133" t="s">
        <v>8253</v>
      </c>
      <c r="D454" s="100" t="s">
        <v>8254</v>
      </c>
      <c r="E454" s="100" t="s">
        <v>8245</v>
      </c>
      <c r="F454" s="528">
        <v>2</v>
      </c>
      <c r="G454" s="338" t="s">
        <v>2399</v>
      </c>
    </row>
    <row r="455" spans="1:7" ht="15" customHeight="1">
      <c r="A455" s="134" t="s">
        <v>4888</v>
      </c>
      <c r="B455" s="133" t="s">
        <v>51</v>
      </c>
      <c r="C455" s="133" t="s">
        <v>8255</v>
      </c>
      <c r="D455" s="100" t="s">
        <v>8256</v>
      </c>
      <c r="E455" s="100" t="s">
        <v>8248</v>
      </c>
      <c r="F455" s="528">
        <v>0.8</v>
      </c>
      <c r="G455" s="338" t="s">
        <v>2399</v>
      </c>
    </row>
    <row r="456" spans="1:7" ht="15" customHeight="1">
      <c r="A456" s="134" t="s">
        <v>488</v>
      </c>
      <c r="B456" s="133" t="s">
        <v>401</v>
      </c>
      <c r="C456" s="133" t="s">
        <v>8257</v>
      </c>
      <c r="D456" s="116" t="s">
        <v>7778</v>
      </c>
      <c r="E456" s="100" t="s">
        <v>7943</v>
      </c>
      <c r="F456" s="528">
        <f t="shared" ref="F456:F457" si="78">7/3</f>
        <v>2.3333333333333335</v>
      </c>
      <c r="G456" s="338" t="s">
        <v>488</v>
      </c>
    </row>
    <row r="457" spans="1:7" ht="15" customHeight="1">
      <c r="A457" s="134" t="s">
        <v>488</v>
      </c>
      <c r="B457" s="133" t="s">
        <v>401</v>
      </c>
      <c r="C457" s="133" t="s">
        <v>8258</v>
      </c>
      <c r="D457" s="116" t="s">
        <v>7778</v>
      </c>
      <c r="E457" s="100" t="s">
        <v>7943</v>
      </c>
      <c r="F457" s="528">
        <f t="shared" si="78"/>
        <v>2.3333333333333335</v>
      </c>
      <c r="G457" s="338" t="s">
        <v>488</v>
      </c>
    </row>
    <row r="458" spans="1:7" ht="15" customHeight="1">
      <c r="A458" s="134" t="s">
        <v>488</v>
      </c>
      <c r="B458" s="133" t="s">
        <v>401</v>
      </c>
      <c r="C458" s="133" t="s">
        <v>8259</v>
      </c>
      <c r="D458" s="116" t="s">
        <v>7778</v>
      </c>
      <c r="E458" s="100" t="s">
        <v>7943</v>
      </c>
      <c r="F458" s="528">
        <v>0.33</v>
      </c>
      <c r="G458" s="338" t="s">
        <v>488</v>
      </c>
    </row>
    <row r="459" spans="1:7" ht="15" customHeight="1">
      <c r="A459" s="134" t="s">
        <v>488</v>
      </c>
      <c r="B459" s="133" t="s">
        <v>401</v>
      </c>
      <c r="C459" s="133" t="s">
        <v>8260</v>
      </c>
      <c r="D459" s="116" t="s">
        <v>7778</v>
      </c>
      <c r="E459" s="100" t="s">
        <v>7943</v>
      </c>
      <c r="F459" s="528">
        <v>9</v>
      </c>
      <c r="G459" s="338" t="s">
        <v>488</v>
      </c>
    </row>
    <row r="460" spans="1:7" ht="15" customHeight="1">
      <c r="A460" s="134" t="s">
        <v>488</v>
      </c>
      <c r="B460" s="133" t="s">
        <v>401</v>
      </c>
      <c r="C460" s="133" t="s">
        <v>8261</v>
      </c>
      <c r="D460" s="116" t="s">
        <v>7778</v>
      </c>
      <c r="E460" s="100" t="s">
        <v>7943</v>
      </c>
      <c r="F460" s="528">
        <v>9</v>
      </c>
      <c r="G460" s="338" t="s">
        <v>488</v>
      </c>
    </row>
    <row r="461" spans="1:7" ht="15" customHeight="1">
      <c r="A461" s="134" t="s">
        <v>488</v>
      </c>
      <c r="B461" s="133" t="s">
        <v>401</v>
      </c>
      <c r="C461" s="133" t="s">
        <v>8262</v>
      </c>
      <c r="D461" s="116" t="s">
        <v>7778</v>
      </c>
      <c r="E461" s="100" t="s">
        <v>7943</v>
      </c>
      <c r="F461" s="528">
        <v>9</v>
      </c>
      <c r="G461" s="338" t="s">
        <v>488</v>
      </c>
    </row>
    <row r="462" spans="1:7" ht="15" customHeight="1">
      <c r="A462" s="134" t="s">
        <v>488</v>
      </c>
      <c r="B462" s="133" t="s">
        <v>401</v>
      </c>
      <c r="C462" s="133" t="s">
        <v>8263</v>
      </c>
      <c r="D462" s="116" t="s">
        <v>7778</v>
      </c>
      <c r="E462" s="100" t="s">
        <v>7943</v>
      </c>
      <c r="F462" s="528">
        <v>2</v>
      </c>
      <c r="G462" s="338" t="s">
        <v>488</v>
      </c>
    </row>
    <row r="463" spans="1:7" ht="15" customHeight="1">
      <c r="A463" s="134" t="s">
        <v>488</v>
      </c>
      <c r="B463" s="133" t="s">
        <v>401</v>
      </c>
      <c r="C463" s="133" t="s">
        <v>8264</v>
      </c>
      <c r="D463" s="116" t="s">
        <v>7778</v>
      </c>
      <c r="E463" s="100" t="s">
        <v>7943</v>
      </c>
      <c r="F463" s="528">
        <v>0.66</v>
      </c>
      <c r="G463" s="338" t="s">
        <v>488</v>
      </c>
    </row>
    <row r="464" spans="1:7" ht="15" customHeight="1">
      <c r="A464" s="134" t="s">
        <v>488</v>
      </c>
      <c r="B464" s="133" t="s">
        <v>401</v>
      </c>
      <c r="C464" s="133" t="s">
        <v>8265</v>
      </c>
      <c r="D464" s="116" t="s">
        <v>7778</v>
      </c>
      <c r="E464" s="100" t="s">
        <v>7943</v>
      </c>
      <c r="F464" s="528">
        <v>15.333333333333334</v>
      </c>
      <c r="G464" s="338" t="s">
        <v>488</v>
      </c>
    </row>
    <row r="465" spans="1:7" ht="15" customHeight="1">
      <c r="A465" s="134" t="s">
        <v>488</v>
      </c>
      <c r="B465" s="133" t="s">
        <v>401</v>
      </c>
      <c r="C465" s="133" t="s">
        <v>8266</v>
      </c>
      <c r="D465" s="116" t="s">
        <v>7778</v>
      </c>
      <c r="E465" s="100" t="s">
        <v>7943</v>
      </c>
      <c r="F465" s="528">
        <v>9</v>
      </c>
      <c r="G465" s="338" t="s">
        <v>488</v>
      </c>
    </row>
    <row r="466" spans="1:7" ht="15" customHeight="1">
      <c r="A466" s="134" t="s">
        <v>488</v>
      </c>
      <c r="B466" s="133" t="s">
        <v>401</v>
      </c>
      <c r="C466" s="133" t="s">
        <v>8267</v>
      </c>
      <c r="D466" s="116" t="s">
        <v>7778</v>
      </c>
      <c r="E466" s="100" t="s">
        <v>7943</v>
      </c>
      <c r="F466" s="528">
        <v>13</v>
      </c>
      <c r="G466" s="338" t="s">
        <v>488</v>
      </c>
    </row>
    <row r="467" spans="1:7" ht="15" customHeight="1">
      <c r="A467" s="134" t="s">
        <v>488</v>
      </c>
      <c r="B467" s="133" t="s">
        <v>401</v>
      </c>
      <c r="C467" s="133" t="s">
        <v>8268</v>
      </c>
      <c r="D467" s="116" t="s">
        <v>7778</v>
      </c>
      <c r="E467" s="100" t="s">
        <v>7943</v>
      </c>
      <c r="F467" s="528">
        <v>10</v>
      </c>
      <c r="G467" s="338" t="s">
        <v>488</v>
      </c>
    </row>
    <row r="468" spans="1:7" ht="15" customHeight="1">
      <c r="A468" s="134" t="s">
        <v>488</v>
      </c>
      <c r="B468" s="133" t="s">
        <v>401</v>
      </c>
      <c r="C468" s="133" t="s">
        <v>8269</v>
      </c>
      <c r="D468" s="116" t="s">
        <v>7790</v>
      </c>
      <c r="E468" s="100" t="s">
        <v>8270</v>
      </c>
      <c r="F468" s="528">
        <f t="shared" ref="F468:F471" si="79">F464/2</f>
        <v>7.666666666666667</v>
      </c>
      <c r="G468" s="338" t="s">
        <v>488</v>
      </c>
    </row>
    <row r="469" spans="1:7" ht="15" customHeight="1">
      <c r="A469" s="134" t="s">
        <v>488</v>
      </c>
      <c r="B469" s="133" t="s">
        <v>401</v>
      </c>
      <c r="C469" s="133" t="s">
        <v>8271</v>
      </c>
      <c r="D469" s="116" t="s">
        <v>7790</v>
      </c>
      <c r="E469" s="100" t="s">
        <v>8270</v>
      </c>
      <c r="F469" s="528">
        <f t="shared" si="79"/>
        <v>4.5</v>
      </c>
      <c r="G469" s="338" t="s">
        <v>488</v>
      </c>
    </row>
    <row r="470" spans="1:7" ht="15" customHeight="1">
      <c r="A470" s="134" t="s">
        <v>488</v>
      </c>
      <c r="B470" s="133" t="s">
        <v>401</v>
      </c>
      <c r="C470" s="133" t="s">
        <v>8272</v>
      </c>
      <c r="D470" s="116" t="s">
        <v>7790</v>
      </c>
      <c r="E470" s="100" t="s">
        <v>8270</v>
      </c>
      <c r="F470" s="528">
        <f t="shared" si="79"/>
        <v>6.5</v>
      </c>
      <c r="G470" s="338" t="s">
        <v>488</v>
      </c>
    </row>
    <row r="471" spans="1:7" ht="15" customHeight="1">
      <c r="A471" s="134" t="s">
        <v>488</v>
      </c>
      <c r="B471" s="133" t="s">
        <v>401</v>
      </c>
      <c r="C471" s="133" t="s">
        <v>8273</v>
      </c>
      <c r="D471" s="116" t="s">
        <v>7790</v>
      </c>
      <c r="E471" s="100" t="s">
        <v>8270</v>
      </c>
      <c r="F471" s="528">
        <f t="shared" si="79"/>
        <v>5</v>
      </c>
      <c r="G471" s="338" t="s">
        <v>488</v>
      </c>
    </row>
    <row r="472" spans="1:7" ht="15" customHeight="1">
      <c r="A472" s="134" t="s">
        <v>488</v>
      </c>
      <c r="B472" s="133" t="s">
        <v>401</v>
      </c>
      <c r="C472" s="133" t="s">
        <v>8274</v>
      </c>
      <c r="D472" s="116" t="s">
        <v>7790</v>
      </c>
      <c r="E472" s="100" t="s">
        <v>8270</v>
      </c>
      <c r="F472" s="528">
        <v>1.83</v>
      </c>
      <c r="G472" s="338" t="s">
        <v>488</v>
      </c>
    </row>
    <row r="473" spans="1:7" ht="15" customHeight="1">
      <c r="A473" s="134" t="s">
        <v>488</v>
      </c>
      <c r="B473" s="133" t="s">
        <v>401</v>
      </c>
      <c r="C473" s="133" t="s">
        <v>8275</v>
      </c>
      <c r="D473" s="116" t="s">
        <v>7790</v>
      </c>
      <c r="E473" s="100" t="s">
        <v>8270</v>
      </c>
      <c r="F473" s="528">
        <v>1</v>
      </c>
      <c r="G473" s="338" t="s">
        <v>488</v>
      </c>
    </row>
    <row r="474" spans="1:7" ht="15" customHeight="1">
      <c r="A474" s="134" t="s">
        <v>488</v>
      </c>
      <c r="B474" s="133" t="s">
        <v>401</v>
      </c>
      <c r="C474" s="133" t="s">
        <v>8276</v>
      </c>
      <c r="D474" s="116" t="s">
        <v>7790</v>
      </c>
      <c r="E474" s="100" t="s">
        <v>8270</v>
      </c>
      <c r="F474" s="528">
        <v>1.5</v>
      </c>
      <c r="G474" s="338" t="s">
        <v>488</v>
      </c>
    </row>
    <row r="475" spans="1:7" ht="15" customHeight="1">
      <c r="A475" s="134" t="s">
        <v>488</v>
      </c>
      <c r="B475" s="133" t="s">
        <v>401</v>
      </c>
      <c r="C475" s="133" t="s">
        <v>8277</v>
      </c>
      <c r="D475" s="116" t="s">
        <v>7790</v>
      </c>
      <c r="E475" s="100" t="s">
        <v>8270</v>
      </c>
      <c r="F475" s="528">
        <v>1.17</v>
      </c>
      <c r="G475" s="338" t="s">
        <v>488</v>
      </c>
    </row>
    <row r="476" spans="1:7" ht="15" customHeight="1">
      <c r="A476" s="134" t="s">
        <v>488</v>
      </c>
      <c r="B476" s="133" t="s">
        <v>401</v>
      </c>
      <c r="C476" s="133" t="s">
        <v>8278</v>
      </c>
      <c r="D476" s="116" t="s">
        <v>8279</v>
      </c>
      <c r="E476" s="100" t="s">
        <v>7955</v>
      </c>
      <c r="F476" s="528">
        <f>38*2/3</f>
        <v>25.333333333333332</v>
      </c>
      <c r="G476" s="338" t="s">
        <v>488</v>
      </c>
    </row>
    <row r="477" spans="1:7" ht="15" customHeight="1">
      <c r="A477" s="134" t="s">
        <v>488</v>
      </c>
      <c r="B477" s="133" t="s">
        <v>401</v>
      </c>
      <c r="C477" s="133" t="s">
        <v>8280</v>
      </c>
      <c r="D477" s="116" t="s">
        <v>8279</v>
      </c>
      <c r="E477" s="100" t="s">
        <v>7955</v>
      </c>
      <c r="F477" s="528">
        <f>1*2/3</f>
        <v>0.66666666666666663</v>
      </c>
      <c r="G477" s="338" t="s">
        <v>488</v>
      </c>
    </row>
    <row r="478" spans="1:7" ht="15" customHeight="1">
      <c r="A478" s="134" t="s">
        <v>2513</v>
      </c>
      <c r="B478" s="133" t="s">
        <v>51</v>
      </c>
      <c r="C478" s="133" t="s">
        <v>8281</v>
      </c>
      <c r="D478" s="100" t="s">
        <v>7778</v>
      </c>
      <c r="E478" s="100">
        <v>46</v>
      </c>
      <c r="F478" s="528">
        <f>(E478/3)*1.35</f>
        <v>20.700000000000003</v>
      </c>
      <c r="G478" s="338" t="s">
        <v>2513</v>
      </c>
    </row>
    <row r="479" spans="1:7" ht="15" customHeight="1">
      <c r="A479" s="134" t="s">
        <v>2513</v>
      </c>
      <c r="B479" s="133" t="s">
        <v>51</v>
      </c>
      <c r="C479" s="133" t="s">
        <v>8282</v>
      </c>
      <c r="D479" s="100" t="s">
        <v>7778</v>
      </c>
      <c r="E479" s="100">
        <v>46</v>
      </c>
      <c r="F479" s="528">
        <f>E479/3</f>
        <v>15.333333333333334</v>
      </c>
      <c r="G479" s="338" t="s">
        <v>2513</v>
      </c>
    </row>
    <row r="480" spans="1:7" ht="15" customHeight="1">
      <c r="A480" s="134" t="s">
        <v>2513</v>
      </c>
      <c r="B480" s="133" t="s">
        <v>51</v>
      </c>
      <c r="C480" s="133" t="s">
        <v>8283</v>
      </c>
      <c r="D480" s="100" t="s">
        <v>7778</v>
      </c>
      <c r="E480" s="100">
        <v>27</v>
      </c>
      <c r="F480" s="528">
        <f>(E480/3)*1.35</f>
        <v>12.15</v>
      </c>
      <c r="G480" s="338" t="s">
        <v>2513</v>
      </c>
    </row>
    <row r="481" spans="1:7" ht="15" customHeight="1">
      <c r="A481" s="134" t="s">
        <v>2513</v>
      </c>
      <c r="B481" s="133" t="s">
        <v>51</v>
      </c>
      <c r="C481" s="133" t="s">
        <v>8284</v>
      </c>
      <c r="D481" s="100" t="s">
        <v>7778</v>
      </c>
      <c r="E481" s="100">
        <v>27</v>
      </c>
      <c r="F481" s="528">
        <f>E481/3</f>
        <v>9</v>
      </c>
      <c r="G481" s="338" t="s">
        <v>2513</v>
      </c>
    </row>
    <row r="482" spans="1:7" ht="15" customHeight="1">
      <c r="A482" s="134" t="s">
        <v>2513</v>
      </c>
      <c r="B482" s="133" t="s">
        <v>51</v>
      </c>
      <c r="C482" s="133" t="s">
        <v>8285</v>
      </c>
      <c r="D482" s="100" t="s">
        <v>7778</v>
      </c>
      <c r="E482" s="100">
        <v>53</v>
      </c>
      <c r="F482" s="528">
        <f>(E482/3)*1.35</f>
        <v>23.85</v>
      </c>
      <c r="G482" s="338" t="s">
        <v>2513</v>
      </c>
    </row>
    <row r="483" spans="1:7" ht="15" customHeight="1">
      <c r="A483" s="134" t="s">
        <v>2513</v>
      </c>
      <c r="B483" s="133" t="s">
        <v>51</v>
      </c>
      <c r="C483" s="133" t="s">
        <v>8286</v>
      </c>
      <c r="D483" s="100" t="s">
        <v>7778</v>
      </c>
      <c r="E483" s="100">
        <v>53</v>
      </c>
      <c r="F483" s="528">
        <f>E483/3</f>
        <v>17.666666666666668</v>
      </c>
      <c r="G483" s="338" t="s">
        <v>2513</v>
      </c>
    </row>
    <row r="484" spans="1:7" ht="15" customHeight="1">
      <c r="A484" s="134" t="s">
        <v>2513</v>
      </c>
      <c r="B484" s="133" t="s">
        <v>51</v>
      </c>
      <c r="C484" s="133" t="s">
        <v>8287</v>
      </c>
      <c r="D484" s="100" t="s">
        <v>7778</v>
      </c>
      <c r="E484" s="100">
        <v>19</v>
      </c>
      <c r="F484" s="528">
        <f>(E484/3)*1.35</f>
        <v>8.5500000000000007</v>
      </c>
      <c r="G484" s="338" t="s">
        <v>2513</v>
      </c>
    </row>
    <row r="485" spans="1:7" ht="15" customHeight="1">
      <c r="A485" s="134" t="s">
        <v>2513</v>
      </c>
      <c r="B485" s="133" t="s">
        <v>51</v>
      </c>
      <c r="C485" s="133" t="s">
        <v>8288</v>
      </c>
      <c r="D485" s="100" t="s">
        <v>7778</v>
      </c>
      <c r="E485" s="100">
        <v>19</v>
      </c>
      <c r="F485" s="528">
        <f t="shared" ref="F485:F488" si="80">E485/3</f>
        <v>6.333333333333333</v>
      </c>
      <c r="G485" s="338" t="s">
        <v>2513</v>
      </c>
    </row>
    <row r="486" spans="1:7" ht="15" customHeight="1">
      <c r="A486" s="134" t="s">
        <v>2513</v>
      </c>
      <c r="B486" s="133" t="s">
        <v>51</v>
      </c>
      <c r="C486" s="133" t="s">
        <v>8289</v>
      </c>
      <c r="D486" s="100" t="s">
        <v>7778</v>
      </c>
      <c r="E486" s="100">
        <v>53</v>
      </c>
      <c r="F486" s="528">
        <f t="shared" si="80"/>
        <v>17.666666666666668</v>
      </c>
      <c r="G486" s="338" t="s">
        <v>2513</v>
      </c>
    </row>
    <row r="487" spans="1:7" ht="15" customHeight="1">
      <c r="A487" s="134" t="s">
        <v>2513</v>
      </c>
      <c r="B487" s="133" t="s">
        <v>51</v>
      </c>
      <c r="C487" s="133" t="s">
        <v>8290</v>
      </c>
      <c r="D487" s="100" t="s">
        <v>7778</v>
      </c>
      <c r="E487" s="100">
        <v>45</v>
      </c>
      <c r="F487" s="528">
        <f t="shared" si="80"/>
        <v>15</v>
      </c>
      <c r="G487" s="338" t="s">
        <v>2513</v>
      </c>
    </row>
    <row r="488" spans="1:7" ht="15" customHeight="1">
      <c r="A488" s="134" t="s">
        <v>2513</v>
      </c>
      <c r="B488" s="133" t="s">
        <v>51</v>
      </c>
      <c r="C488" s="133" t="s">
        <v>8291</v>
      </c>
      <c r="D488" s="100" t="s">
        <v>7778</v>
      </c>
      <c r="E488" s="100">
        <v>19</v>
      </c>
      <c r="F488" s="528">
        <f t="shared" si="80"/>
        <v>6.333333333333333</v>
      </c>
      <c r="G488" s="338" t="s">
        <v>2513</v>
      </c>
    </row>
    <row r="489" spans="1:7" ht="15" customHeight="1">
      <c r="A489" s="134" t="s">
        <v>2513</v>
      </c>
      <c r="B489" s="133" t="s">
        <v>51</v>
      </c>
      <c r="C489" s="133" t="s">
        <v>8292</v>
      </c>
      <c r="D489" s="100" t="s">
        <v>7778</v>
      </c>
      <c r="E489" s="100">
        <v>45</v>
      </c>
      <c r="F489" s="528">
        <f>(E489/3)*1.35</f>
        <v>20.25</v>
      </c>
      <c r="G489" s="338" t="s">
        <v>2513</v>
      </c>
    </row>
    <row r="490" spans="1:7" ht="15" customHeight="1">
      <c r="A490" s="134" t="s">
        <v>2513</v>
      </c>
      <c r="B490" s="133" t="s">
        <v>51</v>
      </c>
      <c r="C490" s="133" t="s">
        <v>8293</v>
      </c>
      <c r="D490" s="100" t="s">
        <v>7778</v>
      </c>
      <c r="E490" s="100">
        <v>45</v>
      </c>
      <c r="F490" s="528">
        <f>E490/3</f>
        <v>15</v>
      </c>
      <c r="G490" s="338" t="s">
        <v>2513</v>
      </c>
    </row>
    <row r="491" spans="1:7" ht="15" customHeight="1">
      <c r="A491" s="134" t="s">
        <v>2513</v>
      </c>
      <c r="B491" s="133" t="s">
        <v>51</v>
      </c>
      <c r="C491" s="133" t="s">
        <v>8294</v>
      </c>
      <c r="D491" s="116"/>
      <c r="E491" s="100">
        <v>11</v>
      </c>
      <c r="F491" s="528">
        <f t="shared" ref="F491:F492" si="81">(E491/3)*3</f>
        <v>11</v>
      </c>
      <c r="G491" s="338" t="s">
        <v>2513</v>
      </c>
    </row>
    <row r="492" spans="1:7" ht="15" customHeight="1">
      <c r="A492" s="134" t="s">
        <v>2513</v>
      </c>
      <c r="B492" s="133" t="s">
        <v>51</v>
      </c>
      <c r="C492" s="133" t="s">
        <v>8295</v>
      </c>
      <c r="D492" s="100"/>
      <c r="E492" s="100">
        <v>20</v>
      </c>
      <c r="F492" s="528">
        <f t="shared" si="81"/>
        <v>20</v>
      </c>
      <c r="G492" s="338" t="s">
        <v>2513</v>
      </c>
    </row>
    <row r="493" spans="1:7" ht="15" customHeight="1">
      <c r="A493" s="134" t="s">
        <v>2513</v>
      </c>
      <c r="B493" s="133" t="s">
        <v>51</v>
      </c>
      <c r="C493" s="133" t="s">
        <v>8296</v>
      </c>
      <c r="D493" s="100" t="s">
        <v>8297</v>
      </c>
      <c r="E493" s="100">
        <v>45</v>
      </c>
      <c r="F493" s="528">
        <f t="shared" ref="F493:F495" si="82">(E493/3)*0.5</f>
        <v>7.5</v>
      </c>
      <c r="G493" s="338" t="s">
        <v>2513</v>
      </c>
    </row>
    <row r="494" spans="1:7" ht="15" customHeight="1">
      <c r="A494" s="134" t="s">
        <v>2513</v>
      </c>
      <c r="B494" s="133" t="s">
        <v>51</v>
      </c>
      <c r="C494" s="133" t="s">
        <v>8298</v>
      </c>
      <c r="D494" s="100" t="s">
        <v>8297</v>
      </c>
      <c r="E494" s="100">
        <v>19</v>
      </c>
      <c r="F494" s="528">
        <f t="shared" si="82"/>
        <v>3.1666666666666665</v>
      </c>
      <c r="G494" s="338" t="s">
        <v>2513</v>
      </c>
    </row>
    <row r="495" spans="1:7" ht="15" customHeight="1">
      <c r="A495" s="134" t="s">
        <v>2513</v>
      </c>
      <c r="B495" s="133" t="s">
        <v>51</v>
      </c>
      <c r="C495" s="133" t="s">
        <v>8299</v>
      </c>
      <c r="D495" s="100" t="s">
        <v>8297</v>
      </c>
      <c r="E495" s="100">
        <v>45</v>
      </c>
      <c r="F495" s="528">
        <f t="shared" si="82"/>
        <v>7.5</v>
      </c>
      <c r="G495" s="338" t="s">
        <v>2513</v>
      </c>
    </row>
    <row r="496" spans="1:7" ht="15" customHeight="1">
      <c r="A496" s="162" t="s">
        <v>7584</v>
      </c>
      <c r="B496" s="162" t="s">
        <v>401</v>
      </c>
      <c r="C496" s="459" t="s">
        <v>8300</v>
      </c>
      <c r="D496" s="1128" t="s">
        <v>7698</v>
      </c>
      <c r="E496" s="737" t="s">
        <v>8301</v>
      </c>
      <c r="F496" s="483">
        <v>24.66</v>
      </c>
      <c r="G496" s="338" t="s">
        <v>4565</v>
      </c>
    </row>
    <row r="497" spans="1:7" ht="15" customHeight="1">
      <c r="A497" s="162" t="s">
        <v>7584</v>
      </c>
      <c r="B497" s="162" t="s">
        <v>401</v>
      </c>
      <c r="C497" s="459" t="s">
        <v>8302</v>
      </c>
      <c r="D497" s="1128" t="s">
        <v>7698</v>
      </c>
      <c r="E497" s="737" t="s">
        <v>8303</v>
      </c>
      <c r="F497" s="483">
        <v>11.33</v>
      </c>
      <c r="G497" s="338" t="s">
        <v>4565</v>
      </c>
    </row>
    <row r="498" spans="1:7" ht="15" customHeight="1">
      <c r="A498" s="162" t="s">
        <v>7584</v>
      </c>
      <c r="B498" s="162" t="s">
        <v>401</v>
      </c>
      <c r="C498" s="459" t="s">
        <v>8304</v>
      </c>
      <c r="D498" s="1128" t="s">
        <v>7698</v>
      </c>
      <c r="E498" s="737" t="s">
        <v>8305</v>
      </c>
      <c r="F498" s="483">
        <v>18.66</v>
      </c>
      <c r="G498" s="338" t="s">
        <v>4565</v>
      </c>
    </row>
    <row r="499" spans="1:7" ht="15" customHeight="1">
      <c r="A499" s="162" t="s">
        <v>7584</v>
      </c>
      <c r="B499" s="162" t="s">
        <v>401</v>
      </c>
      <c r="C499" s="459" t="s">
        <v>8306</v>
      </c>
      <c r="D499" s="1128" t="s">
        <v>7698</v>
      </c>
      <c r="E499" s="737" t="s">
        <v>8307</v>
      </c>
      <c r="F499" s="483">
        <v>15.33</v>
      </c>
      <c r="G499" s="338" t="s">
        <v>4565</v>
      </c>
    </row>
    <row r="500" spans="1:7" ht="15" customHeight="1">
      <c r="A500" s="162" t="s">
        <v>7584</v>
      </c>
      <c r="B500" s="162" t="s">
        <v>401</v>
      </c>
      <c r="C500" s="459" t="s">
        <v>8308</v>
      </c>
      <c r="D500" s="1128" t="s">
        <v>7698</v>
      </c>
      <c r="E500" s="737" t="s">
        <v>8309</v>
      </c>
      <c r="F500" s="483">
        <v>35</v>
      </c>
      <c r="G500" s="338" t="s">
        <v>4565</v>
      </c>
    </row>
    <row r="501" spans="1:7" ht="15" customHeight="1">
      <c r="A501" s="162" t="s">
        <v>7584</v>
      </c>
      <c r="B501" s="162" t="s">
        <v>401</v>
      </c>
      <c r="C501" s="459" t="s">
        <v>8310</v>
      </c>
      <c r="D501" s="1128" t="s">
        <v>7698</v>
      </c>
      <c r="E501" s="737" t="s">
        <v>8301</v>
      </c>
      <c r="F501" s="483">
        <v>24.66</v>
      </c>
      <c r="G501" s="338" t="s">
        <v>4565</v>
      </c>
    </row>
    <row r="502" spans="1:7" ht="15" customHeight="1">
      <c r="A502" s="162" t="s">
        <v>7584</v>
      </c>
      <c r="B502" s="162" t="s">
        <v>401</v>
      </c>
      <c r="C502" s="459" t="s">
        <v>8311</v>
      </c>
      <c r="D502" s="1128" t="s">
        <v>7698</v>
      </c>
      <c r="E502" s="737" t="s">
        <v>8303</v>
      </c>
      <c r="F502" s="483">
        <v>11.33</v>
      </c>
      <c r="G502" s="338" t="s">
        <v>4565</v>
      </c>
    </row>
    <row r="503" spans="1:7" ht="15" customHeight="1">
      <c r="A503" s="162" t="s">
        <v>7584</v>
      </c>
      <c r="B503" s="162" t="s">
        <v>401</v>
      </c>
      <c r="C503" s="459" t="s">
        <v>8312</v>
      </c>
      <c r="D503" s="1128" t="s">
        <v>7698</v>
      </c>
      <c r="E503" s="737" t="s">
        <v>8305</v>
      </c>
      <c r="F503" s="483">
        <v>18.66</v>
      </c>
      <c r="G503" s="338" t="s">
        <v>4565</v>
      </c>
    </row>
    <row r="504" spans="1:7" ht="15" customHeight="1">
      <c r="A504" s="162" t="s">
        <v>7584</v>
      </c>
      <c r="B504" s="162" t="s">
        <v>3753</v>
      </c>
      <c r="C504" s="459" t="s">
        <v>8313</v>
      </c>
      <c r="D504" s="1128" t="s">
        <v>7698</v>
      </c>
      <c r="E504" s="737" t="s">
        <v>8307</v>
      </c>
      <c r="F504" s="483">
        <v>15.33</v>
      </c>
      <c r="G504" s="338" t="s">
        <v>4565</v>
      </c>
    </row>
    <row r="505" spans="1:7" ht="15" customHeight="1">
      <c r="A505" s="162" t="s">
        <v>7584</v>
      </c>
      <c r="B505" s="162" t="s">
        <v>401</v>
      </c>
      <c r="C505" s="459" t="s">
        <v>8314</v>
      </c>
      <c r="D505" s="141" t="s">
        <v>8315</v>
      </c>
      <c r="E505" s="737" t="s">
        <v>8316</v>
      </c>
      <c r="F505" s="483">
        <v>1.33</v>
      </c>
      <c r="G505" s="338" t="s">
        <v>4565</v>
      </c>
    </row>
    <row r="506" spans="1:7" ht="15" customHeight="1">
      <c r="A506" s="162" t="s">
        <v>7584</v>
      </c>
      <c r="B506" s="162" t="s">
        <v>401</v>
      </c>
      <c r="C506" s="459" t="s">
        <v>8317</v>
      </c>
      <c r="D506" s="141" t="s">
        <v>8315</v>
      </c>
      <c r="E506" s="737" t="s">
        <v>8318</v>
      </c>
      <c r="F506" s="483">
        <v>8</v>
      </c>
      <c r="G506" s="338" t="s">
        <v>4565</v>
      </c>
    </row>
    <row r="507" spans="1:7" ht="15" customHeight="1">
      <c r="A507" s="134" t="s">
        <v>7587</v>
      </c>
      <c r="B507" s="133" t="s">
        <v>51</v>
      </c>
      <c r="C507" s="133" t="s">
        <v>8319</v>
      </c>
      <c r="D507" s="116" t="s">
        <v>8320</v>
      </c>
      <c r="E507" s="742" t="s">
        <v>8321</v>
      </c>
      <c r="F507" s="528">
        <v>8</v>
      </c>
      <c r="G507" s="338" t="s">
        <v>7589</v>
      </c>
    </row>
    <row r="508" spans="1:7" ht="15" customHeight="1">
      <c r="A508" s="134" t="s">
        <v>7587</v>
      </c>
      <c r="B508" s="133" t="s">
        <v>51</v>
      </c>
      <c r="C508" s="133" t="s">
        <v>8322</v>
      </c>
      <c r="D508" s="116" t="s">
        <v>8320</v>
      </c>
      <c r="E508" s="742" t="s">
        <v>8321</v>
      </c>
      <c r="F508" s="528">
        <v>8</v>
      </c>
      <c r="G508" s="338" t="s">
        <v>7589</v>
      </c>
    </row>
    <row r="509" spans="1:7" ht="15" customHeight="1">
      <c r="A509" s="134" t="s">
        <v>7587</v>
      </c>
      <c r="B509" s="133" t="s">
        <v>51</v>
      </c>
      <c r="C509" s="133" t="s">
        <v>8323</v>
      </c>
      <c r="D509" s="116" t="s">
        <v>8320</v>
      </c>
      <c r="E509" s="742" t="s">
        <v>8321</v>
      </c>
      <c r="F509" s="528">
        <v>8</v>
      </c>
      <c r="G509" s="338" t="s">
        <v>7589</v>
      </c>
    </row>
    <row r="510" spans="1:7" ht="15" customHeight="1">
      <c r="A510" s="134" t="s">
        <v>7587</v>
      </c>
      <c r="B510" s="133" t="s">
        <v>51</v>
      </c>
      <c r="C510" s="133" t="s">
        <v>8324</v>
      </c>
      <c r="D510" s="116" t="s">
        <v>8320</v>
      </c>
      <c r="E510" s="742" t="s">
        <v>8321</v>
      </c>
      <c r="F510" s="528">
        <v>8</v>
      </c>
      <c r="G510" s="338" t="s">
        <v>7589</v>
      </c>
    </row>
    <row r="511" spans="1:7" ht="15" customHeight="1">
      <c r="A511" s="134" t="s">
        <v>7587</v>
      </c>
      <c r="B511" s="133" t="s">
        <v>51</v>
      </c>
      <c r="C511" s="133" t="s">
        <v>8324</v>
      </c>
      <c r="D511" s="116" t="s">
        <v>8320</v>
      </c>
      <c r="E511" s="742" t="s">
        <v>8321</v>
      </c>
      <c r="F511" s="528">
        <v>8</v>
      </c>
      <c r="G511" s="338" t="s">
        <v>7589</v>
      </c>
    </row>
    <row r="512" spans="1:7" ht="15" customHeight="1">
      <c r="A512" s="134" t="s">
        <v>7587</v>
      </c>
      <c r="B512" s="133" t="s">
        <v>51</v>
      </c>
      <c r="C512" s="133" t="s">
        <v>8325</v>
      </c>
      <c r="D512" s="116" t="s">
        <v>8320</v>
      </c>
      <c r="E512" s="742" t="s">
        <v>8326</v>
      </c>
      <c r="F512" s="528">
        <v>2</v>
      </c>
      <c r="G512" s="338" t="s">
        <v>7589</v>
      </c>
    </row>
    <row r="513" spans="1:7" ht="15" customHeight="1">
      <c r="A513" s="134" t="s">
        <v>7587</v>
      </c>
      <c r="B513" s="133" t="s">
        <v>51</v>
      </c>
      <c r="C513" s="133" t="s">
        <v>8327</v>
      </c>
      <c r="D513" s="116" t="s">
        <v>8320</v>
      </c>
      <c r="E513" s="742" t="s">
        <v>8328</v>
      </c>
      <c r="F513" s="528">
        <v>0.8</v>
      </c>
      <c r="G513" s="338" t="s">
        <v>7589</v>
      </c>
    </row>
    <row r="514" spans="1:7" ht="15" customHeight="1">
      <c r="A514" s="134" t="s">
        <v>7587</v>
      </c>
      <c r="B514" s="133" t="s">
        <v>51</v>
      </c>
      <c r="C514" s="133" t="s">
        <v>8329</v>
      </c>
      <c r="D514" s="116" t="s">
        <v>8320</v>
      </c>
      <c r="E514" s="742" t="s">
        <v>8321</v>
      </c>
      <c r="F514" s="528">
        <v>8</v>
      </c>
      <c r="G514" s="338" t="s">
        <v>7589</v>
      </c>
    </row>
    <row r="515" spans="1:7" ht="15" customHeight="1">
      <c r="A515" s="134" t="s">
        <v>7587</v>
      </c>
      <c r="B515" s="133" t="s">
        <v>51</v>
      </c>
      <c r="C515" s="133" t="s">
        <v>8330</v>
      </c>
      <c r="D515" s="116" t="s">
        <v>8320</v>
      </c>
      <c r="E515" s="742" t="s">
        <v>8321</v>
      </c>
      <c r="F515" s="528">
        <v>8</v>
      </c>
      <c r="G515" s="338" t="s">
        <v>7589</v>
      </c>
    </row>
    <row r="516" spans="1:7" ht="15" customHeight="1">
      <c r="A516" s="134" t="s">
        <v>7587</v>
      </c>
      <c r="B516" s="133" t="s">
        <v>51</v>
      </c>
      <c r="C516" s="133" t="s">
        <v>8331</v>
      </c>
      <c r="D516" s="116" t="s">
        <v>8320</v>
      </c>
      <c r="E516" s="742" t="s">
        <v>8326</v>
      </c>
      <c r="F516" s="528">
        <v>2</v>
      </c>
      <c r="G516" s="338" t="s">
        <v>7589</v>
      </c>
    </row>
    <row r="517" spans="1:7" ht="15" customHeight="1">
      <c r="A517" s="134" t="s">
        <v>7587</v>
      </c>
      <c r="B517" s="133" t="s">
        <v>51</v>
      </c>
      <c r="C517" s="133" t="s">
        <v>8332</v>
      </c>
      <c r="D517" s="116" t="s">
        <v>8320</v>
      </c>
      <c r="E517" s="742" t="s">
        <v>8328</v>
      </c>
      <c r="F517" s="528">
        <v>0.8</v>
      </c>
      <c r="G517" s="338" t="s">
        <v>7589</v>
      </c>
    </row>
    <row r="518" spans="1:7" ht="15" customHeight="1">
      <c r="A518" s="134" t="s">
        <v>7587</v>
      </c>
      <c r="B518" s="133" t="s">
        <v>51</v>
      </c>
      <c r="C518" s="133" t="s">
        <v>8333</v>
      </c>
      <c r="D518" s="116" t="s">
        <v>8320</v>
      </c>
      <c r="E518" s="100" t="s">
        <v>8334</v>
      </c>
      <c r="F518" s="528">
        <v>9.66</v>
      </c>
      <c r="G518" s="338" t="s">
        <v>7589</v>
      </c>
    </row>
    <row r="519" spans="1:7" ht="15" customHeight="1">
      <c r="A519" s="134" t="s">
        <v>7587</v>
      </c>
      <c r="B519" s="133" t="s">
        <v>51</v>
      </c>
      <c r="C519" s="133" t="s">
        <v>8335</v>
      </c>
      <c r="D519" s="116" t="s">
        <v>8320</v>
      </c>
      <c r="E519" s="742" t="s">
        <v>8321</v>
      </c>
      <c r="F519" s="528">
        <v>8</v>
      </c>
      <c r="G519" s="338" t="s">
        <v>7589</v>
      </c>
    </row>
    <row r="520" spans="1:7" ht="15" customHeight="1">
      <c r="A520" s="134" t="s">
        <v>7587</v>
      </c>
      <c r="B520" s="133" t="s">
        <v>51</v>
      </c>
      <c r="C520" s="133" t="s">
        <v>8336</v>
      </c>
      <c r="D520" s="116" t="s">
        <v>8320</v>
      </c>
      <c r="E520" s="742" t="s">
        <v>8321</v>
      </c>
      <c r="F520" s="528">
        <v>8</v>
      </c>
      <c r="G520" s="338" t="s">
        <v>7589</v>
      </c>
    </row>
    <row r="521" spans="1:7" ht="15" customHeight="1">
      <c r="A521" s="134" t="s">
        <v>7587</v>
      </c>
      <c r="B521" s="133" t="s">
        <v>51</v>
      </c>
      <c r="C521" s="133" t="s">
        <v>8337</v>
      </c>
      <c r="D521" s="116" t="s">
        <v>8320</v>
      </c>
      <c r="E521" s="742" t="s">
        <v>8321</v>
      </c>
      <c r="F521" s="528">
        <v>8</v>
      </c>
      <c r="G521" s="338" t="s">
        <v>7589</v>
      </c>
    </row>
    <row r="522" spans="1:7" ht="15" customHeight="1">
      <c r="A522" s="134" t="s">
        <v>7587</v>
      </c>
      <c r="B522" s="133" t="s">
        <v>51</v>
      </c>
      <c r="C522" s="133" t="s">
        <v>8338</v>
      </c>
      <c r="D522" s="116" t="s">
        <v>8320</v>
      </c>
      <c r="E522" s="742" t="s">
        <v>8321</v>
      </c>
      <c r="F522" s="528">
        <v>8</v>
      </c>
      <c r="G522" s="338" t="s">
        <v>7589</v>
      </c>
    </row>
    <row r="523" spans="1:7" ht="15" customHeight="1">
      <c r="A523" s="134" t="s">
        <v>7587</v>
      </c>
      <c r="B523" s="133" t="s">
        <v>51</v>
      </c>
      <c r="C523" s="133" t="s">
        <v>8339</v>
      </c>
      <c r="D523" s="116" t="s">
        <v>8320</v>
      </c>
      <c r="E523" s="742" t="s">
        <v>8321</v>
      </c>
      <c r="F523" s="528">
        <v>8</v>
      </c>
      <c r="G523" s="338" t="s">
        <v>7589</v>
      </c>
    </row>
    <row r="524" spans="1:7" ht="15" customHeight="1">
      <c r="A524" s="134" t="s">
        <v>7587</v>
      </c>
      <c r="B524" s="133" t="s">
        <v>51</v>
      </c>
      <c r="C524" s="133" t="s">
        <v>8340</v>
      </c>
      <c r="D524" s="116" t="s">
        <v>8320</v>
      </c>
      <c r="E524" s="742" t="s">
        <v>8326</v>
      </c>
      <c r="F524" s="528">
        <v>2</v>
      </c>
      <c r="G524" s="338" t="s">
        <v>7589</v>
      </c>
    </row>
    <row r="525" spans="1:7" ht="15" customHeight="1">
      <c r="A525" s="134" t="s">
        <v>7587</v>
      </c>
      <c r="B525" s="133" t="s">
        <v>51</v>
      </c>
      <c r="C525" s="133" t="s">
        <v>8341</v>
      </c>
      <c r="D525" s="116" t="s">
        <v>8320</v>
      </c>
      <c r="E525" s="742" t="s">
        <v>8328</v>
      </c>
      <c r="F525" s="528">
        <v>0.8</v>
      </c>
      <c r="G525" s="338" t="s">
        <v>7589</v>
      </c>
    </row>
    <row r="526" spans="1:7" ht="15" customHeight="1">
      <c r="A526" s="134" t="s">
        <v>2514</v>
      </c>
      <c r="B526" s="162" t="s">
        <v>51</v>
      </c>
      <c r="C526" s="138" t="s">
        <v>8342</v>
      </c>
      <c r="D526" s="1129" t="s">
        <v>7698</v>
      </c>
      <c r="E526" s="1129" t="s">
        <v>8343</v>
      </c>
      <c r="F526" s="1130">
        <v>15.33</v>
      </c>
      <c r="G526" s="338" t="s">
        <v>2514</v>
      </c>
    </row>
    <row r="527" spans="1:7" ht="15" customHeight="1">
      <c r="A527" s="134" t="s">
        <v>2514</v>
      </c>
      <c r="B527" s="162" t="s">
        <v>51</v>
      </c>
      <c r="C527" s="976" t="s">
        <v>8344</v>
      </c>
      <c r="D527" s="1131" t="s">
        <v>7698</v>
      </c>
      <c r="E527" s="1131" t="s">
        <v>8345</v>
      </c>
      <c r="F527" s="1132">
        <v>9</v>
      </c>
      <c r="G527" s="338" t="s">
        <v>2514</v>
      </c>
    </row>
    <row r="528" spans="1:7" ht="15" customHeight="1">
      <c r="A528" s="134" t="s">
        <v>2514</v>
      </c>
      <c r="B528" s="162" t="s">
        <v>51</v>
      </c>
      <c r="C528" s="133" t="s">
        <v>8346</v>
      </c>
      <c r="D528" s="116" t="s">
        <v>7698</v>
      </c>
      <c r="E528" s="116" t="s">
        <v>8343</v>
      </c>
      <c r="F528" s="528">
        <v>15.33</v>
      </c>
      <c r="G528" s="338" t="s">
        <v>2514</v>
      </c>
    </row>
    <row r="529" spans="1:7" ht="15" customHeight="1">
      <c r="A529" s="134" t="s">
        <v>2514</v>
      </c>
      <c r="B529" s="162" t="s">
        <v>51</v>
      </c>
      <c r="C529" s="133" t="s">
        <v>8347</v>
      </c>
      <c r="D529" s="116" t="s">
        <v>7698</v>
      </c>
      <c r="E529" s="116" t="s">
        <v>8345</v>
      </c>
      <c r="F529" s="528">
        <v>9</v>
      </c>
      <c r="G529" s="338" t="s">
        <v>2514</v>
      </c>
    </row>
    <row r="530" spans="1:7" ht="15" customHeight="1">
      <c r="A530" s="134" t="s">
        <v>2514</v>
      </c>
      <c r="B530" s="162" t="s">
        <v>51</v>
      </c>
      <c r="C530" s="133" t="s">
        <v>8348</v>
      </c>
      <c r="D530" s="116" t="s">
        <v>7698</v>
      </c>
      <c r="E530" s="116" t="s">
        <v>8349</v>
      </c>
      <c r="F530" s="528">
        <v>3.83</v>
      </c>
      <c r="G530" s="338" t="s">
        <v>2514</v>
      </c>
    </row>
    <row r="531" spans="1:7" ht="15" customHeight="1">
      <c r="A531" s="134" t="s">
        <v>2514</v>
      </c>
      <c r="B531" s="162" t="s">
        <v>51</v>
      </c>
      <c r="C531" s="133" t="s">
        <v>8350</v>
      </c>
      <c r="D531" s="116" t="s">
        <v>7698</v>
      </c>
      <c r="E531" s="116" t="s">
        <v>8351</v>
      </c>
      <c r="F531" s="528">
        <v>1.53</v>
      </c>
      <c r="G531" s="338" t="s">
        <v>2514</v>
      </c>
    </row>
    <row r="532" spans="1:7" ht="15" customHeight="1">
      <c r="A532" s="134" t="s">
        <v>2514</v>
      </c>
      <c r="B532" s="162" t="s">
        <v>51</v>
      </c>
      <c r="C532" s="133" t="s">
        <v>8352</v>
      </c>
      <c r="D532" s="116" t="s">
        <v>7698</v>
      </c>
      <c r="E532" s="116" t="s">
        <v>8353</v>
      </c>
      <c r="F532" s="528">
        <v>2.25</v>
      </c>
      <c r="G532" s="338" t="s">
        <v>2514</v>
      </c>
    </row>
    <row r="533" spans="1:7" ht="15" customHeight="1">
      <c r="A533" s="134" t="s">
        <v>2514</v>
      </c>
      <c r="B533" s="162" t="s">
        <v>51</v>
      </c>
      <c r="C533" s="133" t="s">
        <v>8354</v>
      </c>
      <c r="D533" s="116" t="s">
        <v>7698</v>
      </c>
      <c r="E533" s="259" t="s">
        <v>8355</v>
      </c>
      <c r="F533" s="1120">
        <v>0.9</v>
      </c>
      <c r="G533" s="338" t="s">
        <v>2514</v>
      </c>
    </row>
    <row r="534" spans="1:7" ht="15" customHeight="1">
      <c r="A534" s="134" t="s">
        <v>2514</v>
      </c>
      <c r="B534" s="162" t="s">
        <v>51</v>
      </c>
      <c r="C534" s="138" t="s">
        <v>8356</v>
      </c>
      <c r="D534" s="132" t="s">
        <v>7698</v>
      </c>
      <c r="E534" s="116" t="s">
        <v>8357</v>
      </c>
      <c r="F534" s="528">
        <f>11/3</f>
        <v>3.6666666666666665</v>
      </c>
      <c r="G534" s="338" t="s">
        <v>2514</v>
      </c>
    </row>
    <row r="535" spans="1:7" ht="15" customHeight="1">
      <c r="A535" s="134" t="s">
        <v>2514</v>
      </c>
      <c r="B535" s="162" t="s">
        <v>51</v>
      </c>
      <c r="C535" s="976" t="s">
        <v>8358</v>
      </c>
      <c r="D535" s="132" t="s">
        <v>7698</v>
      </c>
      <c r="E535" s="116" t="s">
        <v>8359</v>
      </c>
      <c r="F535" s="528">
        <f>14/3</f>
        <v>4.666666666666667</v>
      </c>
      <c r="G535" s="338" t="s">
        <v>2514</v>
      </c>
    </row>
    <row r="536" spans="1:7" ht="15" customHeight="1">
      <c r="A536" s="134" t="s">
        <v>2514</v>
      </c>
      <c r="B536" s="162"/>
      <c r="C536" s="976" t="s">
        <v>8360</v>
      </c>
      <c r="D536" s="132" t="s">
        <v>7698</v>
      </c>
      <c r="E536" s="116" t="s">
        <v>8361</v>
      </c>
      <c r="F536" s="528">
        <f t="shared" ref="F536:F542" si="83">28/3</f>
        <v>9.3333333333333339</v>
      </c>
      <c r="G536" s="338" t="s">
        <v>2514</v>
      </c>
    </row>
    <row r="537" spans="1:7" ht="15" customHeight="1">
      <c r="A537" s="134" t="s">
        <v>2514</v>
      </c>
      <c r="B537" s="162"/>
      <c r="C537" s="976" t="s">
        <v>8362</v>
      </c>
      <c r="D537" s="132" t="s">
        <v>7698</v>
      </c>
      <c r="E537" s="116" t="s">
        <v>8361</v>
      </c>
      <c r="F537" s="528">
        <f t="shared" si="83"/>
        <v>9.3333333333333339</v>
      </c>
      <c r="G537" s="338" t="s">
        <v>2514</v>
      </c>
    </row>
    <row r="538" spans="1:7" ht="15" customHeight="1">
      <c r="A538" s="134" t="s">
        <v>2514</v>
      </c>
      <c r="B538" s="162" t="s">
        <v>51</v>
      </c>
      <c r="C538" s="976" t="s">
        <v>8363</v>
      </c>
      <c r="D538" s="132" t="s">
        <v>7698</v>
      </c>
      <c r="E538" s="116" t="s">
        <v>8361</v>
      </c>
      <c r="F538" s="528">
        <f t="shared" si="83"/>
        <v>9.3333333333333339</v>
      </c>
      <c r="G538" s="338" t="s">
        <v>2514</v>
      </c>
    </row>
    <row r="539" spans="1:7" ht="15" customHeight="1">
      <c r="A539" s="134" t="s">
        <v>2514</v>
      </c>
      <c r="B539" s="162" t="s">
        <v>51</v>
      </c>
      <c r="C539" s="976" t="s">
        <v>8364</v>
      </c>
      <c r="D539" s="132" t="s">
        <v>7698</v>
      </c>
      <c r="E539" s="116" t="s">
        <v>8361</v>
      </c>
      <c r="F539" s="528">
        <f t="shared" si="83"/>
        <v>9.3333333333333339</v>
      </c>
      <c r="G539" s="338" t="s">
        <v>2514</v>
      </c>
    </row>
    <row r="540" spans="1:7" ht="15" customHeight="1">
      <c r="A540" s="134" t="s">
        <v>2514</v>
      </c>
      <c r="B540" s="162" t="s">
        <v>51</v>
      </c>
      <c r="C540" s="976" t="s">
        <v>8365</v>
      </c>
      <c r="D540" s="132" t="s">
        <v>7698</v>
      </c>
      <c r="E540" s="116" t="s">
        <v>8361</v>
      </c>
      <c r="F540" s="528">
        <f t="shared" si="83"/>
        <v>9.3333333333333339</v>
      </c>
      <c r="G540" s="338" t="s">
        <v>2514</v>
      </c>
    </row>
    <row r="541" spans="1:7" ht="15" customHeight="1">
      <c r="A541" s="134" t="s">
        <v>2514</v>
      </c>
      <c r="B541" s="162" t="s">
        <v>51</v>
      </c>
      <c r="C541" s="976" t="s">
        <v>8366</v>
      </c>
      <c r="D541" s="132" t="s">
        <v>7698</v>
      </c>
      <c r="E541" s="116" t="s">
        <v>8361</v>
      </c>
      <c r="F541" s="528">
        <f t="shared" si="83"/>
        <v>9.3333333333333339</v>
      </c>
      <c r="G541" s="338" t="s">
        <v>2514</v>
      </c>
    </row>
    <row r="542" spans="1:7" ht="15" customHeight="1">
      <c r="A542" s="134" t="s">
        <v>2514</v>
      </c>
      <c r="B542" s="162"/>
      <c r="C542" s="976" t="s">
        <v>8367</v>
      </c>
      <c r="D542" s="132" t="s">
        <v>7698</v>
      </c>
      <c r="E542" s="116" t="s">
        <v>8361</v>
      </c>
      <c r="F542" s="528">
        <f t="shared" si="83"/>
        <v>9.3333333333333339</v>
      </c>
      <c r="G542" s="338" t="s">
        <v>2514</v>
      </c>
    </row>
    <row r="543" spans="1:7" ht="15" customHeight="1">
      <c r="A543" s="134" t="s">
        <v>2514</v>
      </c>
      <c r="B543" s="162"/>
      <c r="C543" s="976" t="s">
        <v>8368</v>
      </c>
      <c r="D543" s="132" t="s">
        <v>7698</v>
      </c>
      <c r="E543" s="116" t="s">
        <v>8369</v>
      </c>
      <c r="F543" s="528">
        <f>28/3/4</f>
        <v>2.3333333333333335</v>
      </c>
      <c r="G543" s="338" t="s">
        <v>2514</v>
      </c>
    </row>
    <row r="544" spans="1:7" ht="15" customHeight="1">
      <c r="A544" s="134" t="s">
        <v>2514</v>
      </c>
      <c r="B544" s="162" t="s">
        <v>51</v>
      </c>
      <c r="C544" s="976" t="s">
        <v>8370</v>
      </c>
      <c r="D544" s="132" t="s">
        <v>7698</v>
      </c>
      <c r="E544" s="116" t="s">
        <v>8371</v>
      </c>
      <c r="F544" s="30">
        <f>30/3</f>
        <v>10</v>
      </c>
      <c r="G544" s="338" t="s">
        <v>2514</v>
      </c>
    </row>
    <row r="545" spans="1:7" ht="15" customHeight="1">
      <c r="A545" s="134" t="s">
        <v>2514</v>
      </c>
      <c r="B545" s="162" t="s">
        <v>51</v>
      </c>
      <c r="C545" s="133" t="s">
        <v>8372</v>
      </c>
      <c r="D545" s="132" t="s">
        <v>7698</v>
      </c>
      <c r="E545" s="116" t="s">
        <v>8373</v>
      </c>
      <c r="F545" s="528">
        <f>31/3</f>
        <v>10.333333333333334</v>
      </c>
      <c r="G545" s="338" t="s">
        <v>2514</v>
      </c>
    </row>
    <row r="546" spans="1:7" ht="15" customHeight="1">
      <c r="A546" s="134" t="s">
        <v>2514</v>
      </c>
      <c r="B546" s="162" t="s">
        <v>51</v>
      </c>
      <c r="C546" s="133" t="s">
        <v>8374</v>
      </c>
      <c r="D546" s="132" t="s">
        <v>7698</v>
      </c>
      <c r="E546" s="116" t="s">
        <v>8375</v>
      </c>
      <c r="F546" s="528">
        <f>23/3</f>
        <v>7.666666666666667</v>
      </c>
      <c r="G546" s="338" t="s">
        <v>2514</v>
      </c>
    </row>
    <row r="547" spans="1:7" ht="15" customHeight="1">
      <c r="A547" s="134" t="s">
        <v>2514</v>
      </c>
      <c r="B547" s="162" t="s">
        <v>51</v>
      </c>
      <c r="C547" s="133" t="s">
        <v>8376</v>
      </c>
      <c r="D547" s="132" t="s">
        <v>7698</v>
      </c>
      <c r="E547" s="116" t="s">
        <v>8377</v>
      </c>
      <c r="F547" s="528">
        <f>24/3</f>
        <v>8</v>
      </c>
      <c r="G547" s="338" t="s">
        <v>2514</v>
      </c>
    </row>
    <row r="548" spans="1:7" ht="15" customHeight="1">
      <c r="A548" s="134" t="s">
        <v>2514</v>
      </c>
      <c r="B548" s="162" t="s">
        <v>51</v>
      </c>
      <c r="C548" s="133" t="s">
        <v>8378</v>
      </c>
      <c r="D548" s="116" t="s">
        <v>8056</v>
      </c>
      <c r="E548" s="116" t="s">
        <v>8379</v>
      </c>
      <c r="F548" s="528">
        <f>60/6</f>
        <v>10</v>
      </c>
      <c r="G548" s="338" t="s">
        <v>2514</v>
      </c>
    </row>
    <row r="549" spans="1:7" ht="15" customHeight="1">
      <c r="A549" s="134" t="s">
        <v>2514</v>
      </c>
      <c r="B549" s="162" t="s">
        <v>51</v>
      </c>
      <c r="C549" s="133" t="s">
        <v>8380</v>
      </c>
      <c r="D549" s="116" t="s">
        <v>8056</v>
      </c>
      <c r="E549" s="116" t="s">
        <v>8381</v>
      </c>
      <c r="F549" s="528">
        <v>5</v>
      </c>
      <c r="G549" s="338" t="s">
        <v>2514</v>
      </c>
    </row>
    <row r="550" spans="1:7" ht="15" customHeight="1">
      <c r="A550" s="134" t="s">
        <v>2514</v>
      </c>
      <c r="B550" s="162" t="s">
        <v>51</v>
      </c>
      <c r="C550" s="133" t="s">
        <v>8382</v>
      </c>
      <c r="D550" s="116" t="s">
        <v>8056</v>
      </c>
      <c r="E550" s="116" t="s">
        <v>8383</v>
      </c>
      <c r="F550" s="528">
        <v>2</v>
      </c>
      <c r="G550" s="338" t="s">
        <v>2514</v>
      </c>
    </row>
    <row r="551" spans="1:7" ht="15" customHeight="1">
      <c r="A551" s="134" t="s">
        <v>2514</v>
      </c>
      <c r="B551" s="162" t="s">
        <v>51</v>
      </c>
      <c r="C551" s="133" t="s">
        <v>8384</v>
      </c>
      <c r="D551" s="116" t="s">
        <v>8056</v>
      </c>
      <c r="E551" s="116" t="s">
        <v>8385</v>
      </c>
      <c r="F551" s="528">
        <f t="shared" ref="F551:F552" si="84">7.67/2</f>
        <v>3.835</v>
      </c>
      <c r="G551" s="338" t="s">
        <v>2514</v>
      </c>
    </row>
    <row r="552" spans="1:7" ht="15" customHeight="1">
      <c r="A552" s="134" t="s">
        <v>2514</v>
      </c>
      <c r="B552" s="162" t="s">
        <v>51</v>
      </c>
      <c r="C552" s="133" t="s">
        <v>8386</v>
      </c>
      <c r="D552" s="116" t="s">
        <v>8056</v>
      </c>
      <c r="E552" s="116" t="s">
        <v>8385</v>
      </c>
      <c r="F552" s="528">
        <f t="shared" si="84"/>
        <v>3.835</v>
      </c>
      <c r="G552" s="338" t="s">
        <v>2514</v>
      </c>
    </row>
    <row r="553" spans="1:7" ht="15" customHeight="1">
      <c r="A553" s="134" t="s">
        <v>2514</v>
      </c>
      <c r="B553" s="162" t="s">
        <v>51</v>
      </c>
      <c r="C553" s="133" t="s">
        <v>8387</v>
      </c>
      <c r="D553" s="116" t="s">
        <v>8056</v>
      </c>
      <c r="E553" s="116" t="s">
        <v>8388</v>
      </c>
      <c r="F553" s="528">
        <f>1.92/2</f>
        <v>0.96</v>
      </c>
      <c r="G553" s="338" t="s">
        <v>2514</v>
      </c>
    </row>
    <row r="554" spans="1:7" ht="15" customHeight="1">
      <c r="A554" s="134" t="s">
        <v>2514</v>
      </c>
      <c r="B554" s="162" t="s">
        <v>51</v>
      </c>
      <c r="C554" s="133" t="s">
        <v>8389</v>
      </c>
      <c r="D554" s="116" t="s">
        <v>8056</v>
      </c>
      <c r="E554" s="116" t="s">
        <v>8390</v>
      </c>
      <c r="F554" s="528">
        <f>0.77/2</f>
        <v>0.38500000000000001</v>
      </c>
      <c r="G554" s="338" t="s">
        <v>2514</v>
      </c>
    </row>
    <row r="555" spans="1:7" ht="15" customHeight="1">
      <c r="A555" s="134" t="s">
        <v>2514</v>
      </c>
      <c r="B555" s="162" t="s">
        <v>51</v>
      </c>
      <c r="C555" s="133" t="s">
        <v>8391</v>
      </c>
      <c r="D555" s="116" t="s">
        <v>8056</v>
      </c>
      <c r="E555" s="116" t="s">
        <v>8392</v>
      </c>
      <c r="F555" s="528">
        <f>48/3/2</f>
        <v>8</v>
      </c>
      <c r="G555" s="338" t="s">
        <v>2514</v>
      </c>
    </row>
    <row r="556" spans="1:7" ht="15" customHeight="1">
      <c r="A556" s="134" t="s">
        <v>2514</v>
      </c>
      <c r="B556" s="162" t="s">
        <v>51</v>
      </c>
      <c r="C556" s="133" t="s">
        <v>8393</v>
      </c>
      <c r="D556" s="116" t="s">
        <v>8056</v>
      </c>
      <c r="E556" s="116" t="s">
        <v>8394</v>
      </c>
      <c r="F556" s="528">
        <f>48/3/2/4</f>
        <v>2</v>
      </c>
      <c r="G556" s="338" t="s">
        <v>2514</v>
      </c>
    </row>
    <row r="557" spans="1:7" ht="15" customHeight="1">
      <c r="A557" s="134" t="s">
        <v>2514</v>
      </c>
      <c r="B557" s="162" t="s">
        <v>51</v>
      </c>
      <c r="C557" s="133" t="s">
        <v>8395</v>
      </c>
      <c r="D557" s="116" t="s">
        <v>8056</v>
      </c>
      <c r="E557" s="259" t="s">
        <v>8396</v>
      </c>
      <c r="F557" s="1120">
        <f>48/3/2/10</f>
        <v>0.8</v>
      </c>
      <c r="G557" s="338" t="s">
        <v>2514</v>
      </c>
    </row>
    <row r="558" spans="1:7" ht="15" customHeight="1">
      <c r="A558" s="134" t="s">
        <v>2514</v>
      </c>
      <c r="B558" s="162" t="s">
        <v>51</v>
      </c>
      <c r="C558" s="133" t="s">
        <v>8397</v>
      </c>
      <c r="D558" s="132" t="s">
        <v>8056</v>
      </c>
      <c r="E558" s="116" t="s">
        <v>8398</v>
      </c>
      <c r="F558" s="528">
        <f>60/3/2</f>
        <v>10</v>
      </c>
      <c r="G558" s="338" t="s">
        <v>2514</v>
      </c>
    </row>
    <row r="559" spans="1:7" ht="15" customHeight="1">
      <c r="A559" s="134" t="s">
        <v>2514</v>
      </c>
      <c r="B559" s="162" t="s">
        <v>51</v>
      </c>
      <c r="C559" s="133" t="s">
        <v>8399</v>
      </c>
      <c r="D559" s="132" t="s">
        <v>8056</v>
      </c>
      <c r="E559" s="116" t="s">
        <v>8400</v>
      </c>
      <c r="F559" s="528">
        <f>60/3/2/4</f>
        <v>2.5</v>
      </c>
      <c r="G559" s="338" t="s">
        <v>2514</v>
      </c>
    </row>
    <row r="560" spans="1:7" ht="15" customHeight="1">
      <c r="A560" s="134" t="s">
        <v>2514</v>
      </c>
      <c r="B560" s="162" t="s">
        <v>51</v>
      </c>
      <c r="C560" s="133" t="s">
        <v>8401</v>
      </c>
      <c r="D560" s="132" t="s">
        <v>8056</v>
      </c>
      <c r="E560" s="116" t="s">
        <v>8402</v>
      </c>
      <c r="F560" s="528">
        <f>60/3/2/10</f>
        <v>1</v>
      </c>
      <c r="G560" s="338" t="s">
        <v>2514</v>
      </c>
    </row>
    <row r="561" spans="1:7" ht="15" customHeight="1">
      <c r="A561" s="134" t="s">
        <v>2514</v>
      </c>
      <c r="B561" s="162" t="s">
        <v>51</v>
      </c>
      <c r="C561" s="133" t="s">
        <v>8403</v>
      </c>
      <c r="D561" s="116" t="s">
        <v>8404</v>
      </c>
      <c r="E561" s="286" t="s">
        <v>8405</v>
      </c>
      <c r="F561" s="942">
        <f>4/3</f>
        <v>1.3333333333333333</v>
      </c>
      <c r="G561" s="338" t="s">
        <v>2514</v>
      </c>
    </row>
    <row r="562" spans="1:7" ht="15" customHeight="1">
      <c r="A562" s="134" t="s">
        <v>2514</v>
      </c>
      <c r="B562" s="162" t="s">
        <v>51</v>
      </c>
      <c r="C562" s="133" t="s">
        <v>8406</v>
      </c>
      <c r="D562" s="259" t="s">
        <v>8404</v>
      </c>
      <c r="E562" s="259" t="s">
        <v>8407</v>
      </c>
      <c r="F562" s="1120">
        <f t="shared" ref="F562:F563" si="85">24/3</f>
        <v>8</v>
      </c>
      <c r="G562" s="338" t="s">
        <v>2514</v>
      </c>
    </row>
    <row r="563" spans="1:7" ht="15" customHeight="1">
      <c r="A563" s="134" t="s">
        <v>2514</v>
      </c>
      <c r="B563" s="162" t="s">
        <v>51</v>
      </c>
      <c r="C563" s="955" t="s">
        <v>8408</v>
      </c>
      <c r="D563" s="116" t="s">
        <v>8056</v>
      </c>
      <c r="E563" s="116" t="s">
        <v>8409</v>
      </c>
      <c r="F563" s="528">
        <f t="shared" si="85"/>
        <v>8</v>
      </c>
      <c r="G563" s="338" t="s">
        <v>2514</v>
      </c>
    </row>
    <row r="564" spans="1:7" ht="15" customHeight="1">
      <c r="A564" s="134" t="s">
        <v>2520</v>
      </c>
      <c r="B564" s="133" t="s">
        <v>51</v>
      </c>
      <c r="C564" s="133" t="s">
        <v>8410</v>
      </c>
      <c r="D564" s="100" t="s">
        <v>7778</v>
      </c>
      <c r="E564" s="100">
        <f>53/3</f>
        <v>17.666666666666668</v>
      </c>
      <c r="F564" s="528">
        <f>2*E564</f>
        <v>35.333333333333336</v>
      </c>
      <c r="G564" s="338" t="s">
        <v>2520</v>
      </c>
    </row>
    <row r="565" spans="1:7" ht="15" customHeight="1">
      <c r="A565" s="134" t="s">
        <v>2520</v>
      </c>
      <c r="B565" s="133" t="s">
        <v>51</v>
      </c>
      <c r="C565" s="133" t="s">
        <v>8411</v>
      </c>
      <c r="D565" s="100" t="s">
        <v>7778</v>
      </c>
      <c r="E565" s="116">
        <f>19/3</f>
        <v>6.333333333333333</v>
      </c>
      <c r="F565" s="528">
        <f>E565*2</f>
        <v>12.666666666666666</v>
      </c>
      <c r="G565" s="338" t="s">
        <v>2520</v>
      </c>
    </row>
    <row r="566" spans="1:7" ht="15" customHeight="1">
      <c r="A566" s="134" t="s">
        <v>2520</v>
      </c>
      <c r="B566" s="133" t="s">
        <v>51</v>
      </c>
      <c r="C566" s="133" t="s">
        <v>8412</v>
      </c>
      <c r="D566" s="100" t="s">
        <v>7778</v>
      </c>
      <c r="E566" s="100">
        <f>24/3</f>
        <v>8</v>
      </c>
      <c r="F566" s="528">
        <f t="shared" ref="F566:F567" si="86">E566*3</f>
        <v>24</v>
      </c>
      <c r="G566" s="338" t="s">
        <v>2520</v>
      </c>
    </row>
    <row r="567" spans="1:7" ht="15" customHeight="1">
      <c r="A567" s="134" t="s">
        <v>2520</v>
      </c>
      <c r="B567" s="133" t="s">
        <v>51</v>
      </c>
      <c r="C567" s="133" t="s">
        <v>8413</v>
      </c>
      <c r="D567" s="100" t="s">
        <v>7778</v>
      </c>
      <c r="E567" s="116">
        <f>30/3</f>
        <v>10</v>
      </c>
      <c r="F567" s="528">
        <f t="shared" si="86"/>
        <v>30</v>
      </c>
      <c r="G567" s="338" t="s">
        <v>2520</v>
      </c>
    </row>
    <row r="568" spans="1:7" ht="15" customHeight="1">
      <c r="A568" s="134" t="s">
        <v>2520</v>
      </c>
      <c r="B568" s="133" t="s">
        <v>51</v>
      </c>
      <c r="C568" s="133" t="s">
        <v>8414</v>
      </c>
      <c r="D568" s="100" t="s">
        <v>7778</v>
      </c>
      <c r="E568" s="116">
        <f>23/3</f>
        <v>7.666666666666667</v>
      </c>
      <c r="F568" s="528">
        <f t="shared" ref="F568:F569" si="87">E568*2</f>
        <v>15.333333333333334</v>
      </c>
      <c r="G568" s="338" t="s">
        <v>2520</v>
      </c>
    </row>
    <row r="569" spans="1:7" ht="15" customHeight="1">
      <c r="A569" s="134" t="s">
        <v>2520</v>
      </c>
      <c r="B569" s="133" t="s">
        <v>51</v>
      </c>
      <c r="C569" s="489" t="s">
        <v>8415</v>
      </c>
      <c r="D569" s="100" t="s">
        <v>7778</v>
      </c>
      <c r="E569" s="1133">
        <f>55/3</f>
        <v>18.333333333333332</v>
      </c>
      <c r="F569" s="1134">
        <f t="shared" si="87"/>
        <v>36.666666666666664</v>
      </c>
      <c r="G569" s="338" t="s">
        <v>2520</v>
      </c>
    </row>
    <row r="570" spans="1:7" ht="15" customHeight="1">
      <c r="A570" s="134" t="s">
        <v>2520</v>
      </c>
      <c r="B570" s="133" t="s">
        <v>51</v>
      </c>
      <c r="C570" s="489" t="s">
        <v>8416</v>
      </c>
      <c r="D570" s="100" t="s">
        <v>7778</v>
      </c>
      <c r="E570" s="1133">
        <f>20/3</f>
        <v>6.666666666666667</v>
      </c>
      <c r="F570" s="1134">
        <f>E570*3</f>
        <v>20</v>
      </c>
      <c r="G570" s="338" t="s">
        <v>2520</v>
      </c>
    </row>
    <row r="571" spans="1:7" ht="15" customHeight="1">
      <c r="A571" s="134" t="s">
        <v>7596</v>
      </c>
      <c r="B571" s="133" t="s">
        <v>51</v>
      </c>
      <c r="C571" s="133" t="s">
        <v>8417</v>
      </c>
      <c r="D571" s="116" t="s">
        <v>7790</v>
      </c>
      <c r="E571" s="116">
        <f>28/3</f>
        <v>9.3333333333333339</v>
      </c>
      <c r="F571" s="528">
        <f t="shared" ref="F571:F573" si="88">E571*0.5</f>
        <v>4.666666666666667</v>
      </c>
      <c r="G571" s="338" t="s">
        <v>545</v>
      </c>
    </row>
    <row r="572" spans="1:7" ht="15" customHeight="1">
      <c r="A572" s="134" t="s">
        <v>7596</v>
      </c>
      <c r="B572" s="133" t="s">
        <v>51</v>
      </c>
      <c r="C572" s="133" t="s">
        <v>8418</v>
      </c>
      <c r="D572" s="116" t="s">
        <v>7790</v>
      </c>
      <c r="E572" s="116">
        <f>21/3</f>
        <v>7</v>
      </c>
      <c r="F572" s="528">
        <f t="shared" si="88"/>
        <v>3.5</v>
      </c>
      <c r="G572" s="338" t="s">
        <v>545</v>
      </c>
    </row>
    <row r="573" spans="1:7" ht="15" customHeight="1">
      <c r="A573" s="134" t="s">
        <v>7596</v>
      </c>
      <c r="B573" s="133" t="s">
        <v>51</v>
      </c>
      <c r="C573" s="133" t="s">
        <v>8419</v>
      </c>
      <c r="D573" s="116" t="s">
        <v>7790</v>
      </c>
      <c r="E573" s="116">
        <f>32/3</f>
        <v>10.666666666666666</v>
      </c>
      <c r="F573" s="528">
        <f t="shared" si="88"/>
        <v>5.333333333333333</v>
      </c>
      <c r="G573" s="338" t="s">
        <v>545</v>
      </c>
    </row>
    <row r="574" spans="1:7" ht="15" customHeight="1">
      <c r="A574" s="134" t="s">
        <v>7596</v>
      </c>
      <c r="B574" s="133" t="s">
        <v>51</v>
      </c>
      <c r="C574" s="133" t="s">
        <v>8420</v>
      </c>
      <c r="D574" s="116" t="s">
        <v>7778</v>
      </c>
      <c r="E574" s="116">
        <f>4/3</f>
        <v>1.3333333333333333</v>
      </c>
      <c r="F574" s="528">
        <f>E574*2</f>
        <v>2.6666666666666665</v>
      </c>
      <c r="G574" s="338" t="s">
        <v>545</v>
      </c>
    </row>
    <row r="575" spans="1:7" ht="15" customHeight="1">
      <c r="A575" s="134" t="s">
        <v>7596</v>
      </c>
      <c r="B575" s="133" t="s">
        <v>51</v>
      </c>
      <c r="C575" s="133" t="s">
        <v>8421</v>
      </c>
      <c r="D575" s="116" t="s">
        <v>7790</v>
      </c>
      <c r="E575" s="116">
        <f>28/3</f>
        <v>9.3333333333333339</v>
      </c>
      <c r="F575" s="528">
        <f t="shared" ref="F575:F581" si="89">E575*0.5</f>
        <v>4.666666666666667</v>
      </c>
      <c r="G575" s="338" t="s">
        <v>545</v>
      </c>
    </row>
    <row r="576" spans="1:7" ht="15" customHeight="1">
      <c r="A576" s="134" t="s">
        <v>7596</v>
      </c>
      <c r="B576" s="133" t="s">
        <v>51</v>
      </c>
      <c r="C576" s="133" t="s">
        <v>8422</v>
      </c>
      <c r="D576" s="116" t="s">
        <v>7790</v>
      </c>
      <c r="E576" s="116">
        <f>21/3</f>
        <v>7</v>
      </c>
      <c r="F576" s="528">
        <f t="shared" si="89"/>
        <v>3.5</v>
      </c>
      <c r="G576" s="338" t="s">
        <v>545</v>
      </c>
    </row>
    <row r="577" spans="1:7" ht="15" customHeight="1">
      <c r="A577" s="134" t="s">
        <v>7596</v>
      </c>
      <c r="B577" s="133" t="s">
        <v>51</v>
      </c>
      <c r="C577" s="133" t="s">
        <v>8423</v>
      </c>
      <c r="D577" s="116" t="s">
        <v>7790</v>
      </c>
      <c r="E577" s="116">
        <f>32/3</f>
        <v>10.666666666666666</v>
      </c>
      <c r="F577" s="528">
        <f t="shared" si="89"/>
        <v>5.333333333333333</v>
      </c>
      <c r="G577" s="338" t="s">
        <v>545</v>
      </c>
    </row>
    <row r="578" spans="1:7" ht="15" customHeight="1">
      <c r="A578" s="134" t="s">
        <v>7596</v>
      </c>
      <c r="B578" s="133" t="s">
        <v>51</v>
      </c>
      <c r="C578" s="133" t="s">
        <v>8424</v>
      </c>
      <c r="D578" s="116" t="s">
        <v>7790</v>
      </c>
      <c r="E578" s="116">
        <f>23/3</f>
        <v>7.666666666666667</v>
      </c>
      <c r="F578" s="528">
        <f t="shared" si="89"/>
        <v>3.8333333333333335</v>
      </c>
      <c r="G578" s="338" t="s">
        <v>545</v>
      </c>
    </row>
    <row r="579" spans="1:7" ht="15" customHeight="1">
      <c r="A579" s="134" t="s">
        <v>7596</v>
      </c>
      <c r="B579" s="133" t="s">
        <v>51</v>
      </c>
      <c r="C579" s="133" t="s">
        <v>8425</v>
      </c>
      <c r="D579" s="116" t="s">
        <v>7790</v>
      </c>
      <c r="E579" s="116">
        <f>28*0.25/3</f>
        <v>2.3333333333333335</v>
      </c>
      <c r="F579" s="528">
        <f t="shared" si="89"/>
        <v>1.1666666666666667</v>
      </c>
      <c r="G579" s="338" t="s">
        <v>545</v>
      </c>
    </row>
    <row r="580" spans="1:7" ht="15" customHeight="1">
      <c r="A580" s="134" t="s">
        <v>7596</v>
      </c>
      <c r="B580" s="133" t="s">
        <v>51</v>
      </c>
      <c r="C580" s="133" t="s">
        <v>8426</v>
      </c>
      <c r="D580" s="116" t="s">
        <v>7790</v>
      </c>
      <c r="E580" s="116">
        <f>21*0.25/3</f>
        <v>1.75</v>
      </c>
      <c r="F580" s="528">
        <f t="shared" si="89"/>
        <v>0.875</v>
      </c>
      <c r="G580" s="338" t="s">
        <v>545</v>
      </c>
    </row>
    <row r="581" spans="1:7" ht="15" customHeight="1">
      <c r="A581" s="134" t="s">
        <v>7596</v>
      </c>
      <c r="B581" s="133" t="s">
        <v>51</v>
      </c>
      <c r="C581" s="133" t="s">
        <v>8427</v>
      </c>
      <c r="D581" s="116" t="s">
        <v>7790</v>
      </c>
      <c r="E581" s="116">
        <f>32*0.25/3</f>
        <v>2.6666666666666665</v>
      </c>
      <c r="F581" s="528">
        <f t="shared" si="89"/>
        <v>1.3333333333333333</v>
      </c>
      <c r="G581" s="338" t="s">
        <v>545</v>
      </c>
    </row>
    <row r="582" spans="1:7" ht="15" customHeight="1">
      <c r="A582" s="134" t="s">
        <v>7596</v>
      </c>
      <c r="B582" s="133" t="s">
        <v>51</v>
      </c>
      <c r="C582" s="133" t="s">
        <v>8428</v>
      </c>
      <c r="D582" s="116" t="s">
        <v>7778</v>
      </c>
      <c r="E582" s="116">
        <f>4*0.25/3</f>
        <v>0.33333333333333331</v>
      </c>
      <c r="F582" s="528">
        <f>E582*2</f>
        <v>0.66666666666666663</v>
      </c>
      <c r="G582" s="338" t="s">
        <v>545</v>
      </c>
    </row>
    <row r="583" spans="1:7" ht="15" customHeight="1">
      <c r="A583" s="134" t="s">
        <v>7596</v>
      </c>
      <c r="B583" s="133" t="s">
        <v>51</v>
      </c>
      <c r="C583" s="133" t="s">
        <v>8429</v>
      </c>
      <c r="D583" s="116" t="s">
        <v>7790</v>
      </c>
      <c r="E583" s="116">
        <f>28*0.25/3</f>
        <v>2.3333333333333335</v>
      </c>
      <c r="F583" s="528">
        <f t="shared" ref="F583:F592" si="90">E583*0.5</f>
        <v>1.1666666666666667</v>
      </c>
      <c r="G583" s="338" t="s">
        <v>545</v>
      </c>
    </row>
    <row r="584" spans="1:7" ht="15" customHeight="1">
      <c r="A584" s="134" t="s">
        <v>7596</v>
      </c>
      <c r="B584" s="133" t="s">
        <v>51</v>
      </c>
      <c r="C584" s="133" t="s">
        <v>8430</v>
      </c>
      <c r="D584" s="116" t="s">
        <v>7790</v>
      </c>
      <c r="E584" s="116">
        <f>21*0.25/3</f>
        <v>1.75</v>
      </c>
      <c r="F584" s="528">
        <f t="shared" si="90"/>
        <v>0.875</v>
      </c>
      <c r="G584" s="338" t="s">
        <v>545</v>
      </c>
    </row>
    <row r="585" spans="1:7" ht="15" customHeight="1">
      <c r="A585" s="134" t="s">
        <v>7596</v>
      </c>
      <c r="B585" s="133" t="s">
        <v>51</v>
      </c>
      <c r="C585" s="133" t="s">
        <v>8431</v>
      </c>
      <c r="D585" s="116" t="s">
        <v>7790</v>
      </c>
      <c r="E585" s="116">
        <f>32*0.25/3</f>
        <v>2.6666666666666665</v>
      </c>
      <c r="F585" s="528">
        <f t="shared" si="90"/>
        <v>1.3333333333333333</v>
      </c>
      <c r="G585" s="338" t="s">
        <v>545</v>
      </c>
    </row>
    <row r="586" spans="1:7" ht="15" customHeight="1">
      <c r="A586" s="134" t="s">
        <v>7596</v>
      </c>
      <c r="B586" s="133" t="s">
        <v>51</v>
      </c>
      <c r="C586" s="133" t="s">
        <v>8432</v>
      </c>
      <c r="D586" s="116" t="s">
        <v>7790</v>
      </c>
      <c r="E586" s="116">
        <f>28*0.1/3</f>
        <v>0.93333333333333346</v>
      </c>
      <c r="F586" s="528">
        <f t="shared" si="90"/>
        <v>0.46666666666666673</v>
      </c>
      <c r="G586" s="338" t="s">
        <v>545</v>
      </c>
    </row>
    <row r="587" spans="1:7" ht="15" customHeight="1">
      <c r="A587" s="134" t="s">
        <v>7596</v>
      </c>
      <c r="B587" s="133" t="s">
        <v>51</v>
      </c>
      <c r="C587" s="133" t="s">
        <v>8433</v>
      </c>
      <c r="D587" s="116" t="s">
        <v>7790</v>
      </c>
      <c r="E587" s="116">
        <f>21*0.1/3</f>
        <v>0.70000000000000007</v>
      </c>
      <c r="F587" s="528">
        <f t="shared" si="90"/>
        <v>0.35000000000000003</v>
      </c>
      <c r="G587" s="338" t="s">
        <v>545</v>
      </c>
    </row>
    <row r="588" spans="1:7" ht="15" customHeight="1">
      <c r="A588" s="134" t="s">
        <v>7596</v>
      </c>
      <c r="B588" s="133" t="s">
        <v>51</v>
      </c>
      <c r="C588" s="133" t="s">
        <v>8434</v>
      </c>
      <c r="D588" s="116" t="s">
        <v>7790</v>
      </c>
      <c r="E588" s="116">
        <f>32*0.1/3</f>
        <v>1.0666666666666667</v>
      </c>
      <c r="F588" s="528">
        <f t="shared" si="90"/>
        <v>0.53333333333333333</v>
      </c>
      <c r="G588" s="338" t="s">
        <v>545</v>
      </c>
    </row>
    <row r="589" spans="1:7" ht="15" customHeight="1">
      <c r="A589" s="134" t="s">
        <v>7596</v>
      </c>
      <c r="B589" s="133" t="s">
        <v>51</v>
      </c>
      <c r="C589" s="133" t="s">
        <v>8435</v>
      </c>
      <c r="D589" s="116" t="s">
        <v>7790</v>
      </c>
      <c r="E589" s="116">
        <f>28*0.1/3</f>
        <v>0.93333333333333346</v>
      </c>
      <c r="F589" s="528">
        <f t="shared" si="90"/>
        <v>0.46666666666666673</v>
      </c>
      <c r="G589" s="338" t="s">
        <v>545</v>
      </c>
    </row>
    <row r="590" spans="1:7" ht="15" customHeight="1">
      <c r="A590" s="134" t="s">
        <v>7596</v>
      </c>
      <c r="B590" s="133" t="s">
        <v>51</v>
      </c>
      <c r="C590" s="133" t="s">
        <v>8436</v>
      </c>
      <c r="D590" s="116" t="s">
        <v>7790</v>
      </c>
      <c r="E590" s="116">
        <f>21*0.1/3</f>
        <v>0.70000000000000007</v>
      </c>
      <c r="F590" s="528">
        <f t="shared" si="90"/>
        <v>0.35000000000000003</v>
      </c>
      <c r="G590" s="338" t="s">
        <v>545</v>
      </c>
    </row>
    <row r="591" spans="1:7" ht="15" customHeight="1">
      <c r="A591" s="134" t="s">
        <v>7596</v>
      </c>
      <c r="B591" s="133" t="s">
        <v>51</v>
      </c>
      <c r="C591" s="133" t="s">
        <v>8437</v>
      </c>
      <c r="D591" s="116" t="s">
        <v>7790</v>
      </c>
      <c r="E591" s="116">
        <f>32*0.1/3</f>
        <v>1.0666666666666667</v>
      </c>
      <c r="F591" s="528">
        <f t="shared" si="90"/>
        <v>0.53333333333333333</v>
      </c>
      <c r="G591" s="338" t="s">
        <v>545</v>
      </c>
    </row>
    <row r="592" spans="1:7" ht="15" customHeight="1">
      <c r="A592" s="134" t="s">
        <v>7596</v>
      </c>
      <c r="B592" s="133" t="s">
        <v>51</v>
      </c>
      <c r="C592" s="133" t="s">
        <v>8438</v>
      </c>
      <c r="D592" s="116" t="s">
        <v>7790</v>
      </c>
      <c r="E592" s="116">
        <f>23/3*0.1</f>
        <v>0.76666666666666672</v>
      </c>
      <c r="F592" s="528">
        <f t="shared" si="90"/>
        <v>0.38333333333333336</v>
      </c>
      <c r="G592" s="338" t="s">
        <v>545</v>
      </c>
    </row>
    <row r="593" spans="1:7" ht="15" customHeight="1">
      <c r="A593" s="116" t="s">
        <v>7954</v>
      </c>
      <c r="B593" s="100" t="s">
        <v>7955</v>
      </c>
      <c r="C593" s="528">
        <v>25.33</v>
      </c>
      <c r="D593" s="116" t="s">
        <v>7954</v>
      </c>
      <c r="E593" s="100" t="s">
        <v>7955</v>
      </c>
      <c r="F593" s="528">
        <v>25.33</v>
      </c>
      <c r="G593" s="338" t="s">
        <v>546</v>
      </c>
    </row>
    <row r="594" spans="1:7" ht="15" customHeight="1">
      <c r="A594" s="134" t="s">
        <v>7599</v>
      </c>
      <c r="B594" s="133" t="s">
        <v>51</v>
      </c>
      <c r="C594" s="1135" t="s">
        <v>8439</v>
      </c>
      <c r="D594" s="1136" t="s">
        <v>8320</v>
      </c>
      <c r="E594" s="1137">
        <f>27/3</f>
        <v>9</v>
      </c>
      <c r="F594" s="1138">
        <v>9</v>
      </c>
      <c r="G594" s="338" t="s">
        <v>7600</v>
      </c>
    </row>
    <row r="595" spans="1:7" ht="15" customHeight="1">
      <c r="A595" s="134" t="s">
        <v>7599</v>
      </c>
      <c r="B595" s="133" t="s">
        <v>51</v>
      </c>
      <c r="C595" s="1135" t="s">
        <v>8440</v>
      </c>
      <c r="D595" s="1136" t="s">
        <v>8320</v>
      </c>
      <c r="E595" s="1137">
        <f t="shared" ref="E595:F595" si="91">23/3</f>
        <v>7.666666666666667</v>
      </c>
      <c r="F595" s="1137">
        <f t="shared" si="91"/>
        <v>7.666666666666667</v>
      </c>
      <c r="G595" s="338" t="s">
        <v>7600</v>
      </c>
    </row>
    <row r="596" spans="1:7" ht="15" customHeight="1">
      <c r="A596" s="134" t="s">
        <v>7599</v>
      </c>
      <c r="B596" s="133" t="s">
        <v>51</v>
      </c>
      <c r="C596" s="1135" t="s">
        <v>8441</v>
      </c>
      <c r="D596" s="1136" t="s">
        <v>8320</v>
      </c>
      <c r="E596" s="1137">
        <f t="shared" ref="E596:F596" si="92">23/3</f>
        <v>7.666666666666667</v>
      </c>
      <c r="F596" s="1137">
        <f t="shared" si="92"/>
        <v>7.666666666666667</v>
      </c>
      <c r="G596" s="338" t="s">
        <v>7600</v>
      </c>
    </row>
    <row r="597" spans="1:7" ht="15" customHeight="1">
      <c r="A597" s="134" t="s">
        <v>7599</v>
      </c>
      <c r="B597" s="133" t="s">
        <v>51</v>
      </c>
      <c r="C597" s="133" t="s">
        <v>8442</v>
      </c>
      <c r="D597" s="100" t="s">
        <v>8443</v>
      </c>
      <c r="E597" s="528">
        <f t="shared" ref="E597:E598" si="93">21/3</f>
        <v>7</v>
      </c>
      <c r="F597" s="528">
        <f>0.5*E597</f>
        <v>3.5</v>
      </c>
      <c r="G597" s="338" t="s">
        <v>7600</v>
      </c>
    </row>
    <row r="598" spans="1:7" ht="15" customHeight="1">
      <c r="A598" s="134" t="s">
        <v>7599</v>
      </c>
      <c r="B598" s="133" t="s">
        <v>51</v>
      </c>
      <c r="C598" s="133" t="s">
        <v>8444</v>
      </c>
      <c r="D598" s="1136" t="s">
        <v>8320</v>
      </c>
      <c r="E598" s="1138">
        <f t="shared" si="93"/>
        <v>7</v>
      </c>
      <c r="F598" s="1138">
        <v>7</v>
      </c>
      <c r="G598" s="338" t="s">
        <v>7600</v>
      </c>
    </row>
    <row r="599" spans="1:7" ht="15" customHeight="1">
      <c r="A599" s="134" t="s">
        <v>7599</v>
      </c>
      <c r="B599" s="133" t="s">
        <v>51</v>
      </c>
      <c r="C599" s="133" t="s">
        <v>8445</v>
      </c>
      <c r="D599" s="100" t="s">
        <v>8443</v>
      </c>
      <c r="E599" s="528">
        <f t="shared" ref="E599:E600" si="94">32/3</f>
        <v>10.666666666666666</v>
      </c>
      <c r="F599" s="528">
        <f>0.5*E599</f>
        <v>5.333333333333333</v>
      </c>
      <c r="G599" s="338" t="s">
        <v>7600</v>
      </c>
    </row>
    <row r="600" spans="1:7" ht="15" customHeight="1">
      <c r="A600" s="134" t="s">
        <v>7599</v>
      </c>
      <c r="B600" s="133" t="s">
        <v>51</v>
      </c>
      <c r="C600" s="1135" t="s">
        <v>8446</v>
      </c>
      <c r="D600" s="1136" t="s">
        <v>8443</v>
      </c>
      <c r="E600" s="1138">
        <f t="shared" si="94"/>
        <v>10.666666666666666</v>
      </c>
      <c r="F600" s="1138">
        <v>10.67</v>
      </c>
      <c r="G600" s="338" t="s">
        <v>7600</v>
      </c>
    </row>
    <row r="601" spans="1:7" ht="15" customHeight="1">
      <c r="A601" s="134" t="s">
        <v>7599</v>
      </c>
      <c r="B601" s="133" t="s">
        <v>51</v>
      </c>
      <c r="C601" s="1135" t="s">
        <v>8447</v>
      </c>
      <c r="D601" s="1136" t="s">
        <v>8320</v>
      </c>
      <c r="E601" s="1138">
        <f>20/3</f>
        <v>6.666666666666667</v>
      </c>
      <c r="F601" s="1138">
        <v>6.67</v>
      </c>
      <c r="G601" s="338" t="s">
        <v>7600</v>
      </c>
    </row>
    <row r="602" spans="1:7" ht="15" customHeight="1">
      <c r="A602" s="134" t="s">
        <v>7599</v>
      </c>
      <c r="B602" s="133" t="s">
        <v>51</v>
      </c>
      <c r="C602" s="1135" t="s">
        <v>8448</v>
      </c>
      <c r="D602" s="1136" t="s">
        <v>8320</v>
      </c>
      <c r="E602" s="1138">
        <f>19/3</f>
        <v>6.333333333333333</v>
      </c>
      <c r="F602" s="1138">
        <v>6.33</v>
      </c>
      <c r="G602" s="338" t="s">
        <v>7600</v>
      </c>
    </row>
    <row r="603" spans="1:7" ht="15" customHeight="1">
      <c r="A603" s="134" t="s">
        <v>7599</v>
      </c>
      <c r="B603" s="133" t="s">
        <v>51</v>
      </c>
      <c r="C603" s="1135" t="s">
        <v>8449</v>
      </c>
      <c r="D603" s="1136" t="s">
        <v>8320</v>
      </c>
      <c r="E603" s="1138">
        <f>26/3</f>
        <v>8.6666666666666661</v>
      </c>
      <c r="F603" s="1138">
        <v>8.67</v>
      </c>
      <c r="G603" s="338" t="s">
        <v>7600</v>
      </c>
    </row>
    <row r="604" spans="1:7" ht="15" customHeight="1">
      <c r="A604" s="134" t="s">
        <v>7599</v>
      </c>
      <c r="B604" s="133" t="s">
        <v>51</v>
      </c>
      <c r="C604" s="1135" t="s">
        <v>8450</v>
      </c>
      <c r="D604" s="1136" t="s">
        <v>8320</v>
      </c>
      <c r="E604" s="1138">
        <f>27/3</f>
        <v>9</v>
      </c>
      <c r="F604" s="1138">
        <v>9</v>
      </c>
      <c r="G604" s="338" t="s">
        <v>7600</v>
      </c>
    </row>
    <row r="605" spans="1:7" ht="15" customHeight="1">
      <c r="A605" s="134" t="s">
        <v>7599</v>
      </c>
      <c r="B605" s="133" t="s">
        <v>51</v>
      </c>
      <c r="C605" s="1135" t="s">
        <v>8451</v>
      </c>
      <c r="D605" s="1136" t="s">
        <v>8320</v>
      </c>
      <c r="E605" s="1138">
        <f>39/3</f>
        <v>13</v>
      </c>
      <c r="F605" s="1138">
        <v>13</v>
      </c>
      <c r="G605" s="338" t="s">
        <v>7600</v>
      </c>
    </row>
    <row r="606" spans="1:7" ht="15" customHeight="1">
      <c r="A606" s="134" t="s">
        <v>547</v>
      </c>
      <c r="B606" s="99" t="s">
        <v>51</v>
      </c>
      <c r="C606" s="134" t="s">
        <v>8452</v>
      </c>
      <c r="D606" s="116" t="s">
        <v>7698</v>
      </c>
      <c r="E606" s="116" t="s">
        <v>8453</v>
      </c>
      <c r="F606" s="528">
        <f>53/3</f>
        <v>17.666666666666668</v>
      </c>
      <c r="G606" s="338" t="s">
        <v>547</v>
      </c>
    </row>
    <row r="607" spans="1:7" ht="15" customHeight="1">
      <c r="A607" s="134" t="s">
        <v>547</v>
      </c>
      <c r="B607" s="99" t="s">
        <v>51</v>
      </c>
      <c r="C607" s="134" t="s">
        <v>8454</v>
      </c>
      <c r="D607" s="116" t="s">
        <v>7698</v>
      </c>
      <c r="E607" s="116" t="s">
        <v>8455</v>
      </c>
      <c r="F607" s="528">
        <f>73/3</f>
        <v>24.333333333333332</v>
      </c>
      <c r="G607" s="338" t="s">
        <v>547</v>
      </c>
    </row>
    <row r="608" spans="1:7" ht="15" customHeight="1">
      <c r="A608" s="134" t="s">
        <v>547</v>
      </c>
      <c r="B608" s="99" t="s">
        <v>51</v>
      </c>
      <c r="C608" s="134" t="s">
        <v>8456</v>
      </c>
      <c r="D608" s="116" t="s">
        <v>7698</v>
      </c>
      <c r="E608" s="116" t="s">
        <v>8457</v>
      </c>
      <c r="F608" s="528">
        <f t="shared" ref="F608:F610" si="95">72/3</f>
        <v>24</v>
      </c>
      <c r="G608" s="338" t="s">
        <v>547</v>
      </c>
    </row>
    <row r="609" spans="1:7" ht="15" customHeight="1">
      <c r="A609" s="134" t="s">
        <v>547</v>
      </c>
      <c r="B609" s="99" t="s">
        <v>51</v>
      </c>
      <c r="C609" s="134" t="s">
        <v>8458</v>
      </c>
      <c r="D609" s="116" t="s">
        <v>7698</v>
      </c>
      <c r="E609" s="116" t="s">
        <v>8457</v>
      </c>
      <c r="F609" s="528">
        <f t="shared" si="95"/>
        <v>24</v>
      </c>
      <c r="G609" s="338" t="s">
        <v>547</v>
      </c>
    </row>
    <row r="610" spans="1:7" ht="15" customHeight="1">
      <c r="A610" s="134" t="s">
        <v>547</v>
      </c>
      <c r="B610" s="99" t="s">
        <v>51</v>
      </c>
      <c r="C610" s="134" t="s">
        <v>8459</v>
      </c>
      <c r="D610" s="116" t="s">
        <v>7698</v>
      </c>
      <c r="E610" s="116" t="s">
        <v>8457</v>
      </c>
      <c r="F610" s="528">
        <f t="shared" si="95"/>
        <v>24</v>
      </c>
      <c r="G610" s="338" t="s">
        <v>547</v>
      </c>
    </row>
    <row r="611" spans="1:7" ht="15" customHeight="1">
      <c r="A611" s="134" t="s">
        <v>547</v>
      </c>
      <c r="B611" s="99" t="s">
        <v>51</v>
      </c>
      <c r="C611" s="134" t="s">
        <v>8460</v>
      </c>
      <c r="D611" s="116" t="s">
        <v>7698</v>
      </c>
      <c r="E611" s="116" t="s">
        <v>8461</v>
      </c>
      <c r="F611" s="528">
        <f>13.25/3</f>
        <v>4.416666666666667</v>
      </c>
      <c r="G611" s="338" t="s">
        <v>547</v>
      </c>
    </row>
    <row r="612" spans="1:7" ht="15" customHeight="1">
      <c r="A612" s="134" t="s">
        <v>547</v>
      </c>
      <c r="B612" s="99" t="s">
        <v>51</v>
      </c>
      <c r="C612" s="134" t="s">
        <v>8462</v>
      </c>
      <c r="D612" s="116" t="s">
        <v>7698</v>
      </c>
      <c r="E612" s="116" t="s">
        <v>8463</v>
      </c>
      <c r="F612" s="528">
        <f>18.25/3</f>
        <v>6.083333333333333</v>
      </c>
      <c r="G612" s="338" t="s">
        <v>547</v>
      </c>
    </row>
    <row r="613" spans="1:7" ht="15" customHeight="1">
      <c r="A613" s="134" t="s">
        <v>547</v>
      </c>
      <c r="B613" s="99" t="s">
        <v>51</v>
      </c>
      <c r="C613" s="134" t="s">
        <v>8464</v>
      </c>
      <c r="D613" s="116" t="s">
        <v>7698</v>
      </c>
      <c r="E613" s="116" t="s">
        <v>8465</v>
      </c>
      <c r="F613" s="528">
        <f>18/3</f>
        <v>6</v>
      </c>
      <c r="G613" s="338" t="s">
        <v>547</v>
      </c>
    </row>
    <row r="614" spans="1:7" ht="15" customHeight="1">
      <c r="A614" s="134" t="s">
        <v>547</v>
      </c>
      <c r="B614" s="99" t="s">
        <v>51</v>
      </c>
      <c r="C614" s="134" t="s">
        <v>8466</v>
      </c>
      <c r="D614" s="116" t="s">
        <v>7698</v>
      </c>
      <c r="E614" s="116" t="s">
        <v>8467</v>
      </c>
      <c r="F614" s="528">
        <f>5.3/3</f>
        <v>1.7666666666666666</v>
      </c>
      <c r="G614" s="338" t="s">
        <v>547</v>
      </c>
    </row>
    <row r="615" spans="1:7" ht="15" customHeight="1">
      <c r="A615" s="134" t="s">
        <v>547</v>
      </c>
      <c r="B615" s="99" t="s">
        <v>51</v>
      </c>
      <c r="C615" s="134" t="s">
        <v>8468</v>
      </c>
      <c r="D615" s="116" t="s">
        <v>7698</v>
      </c>
      <c r="E615" s="116" t="s">
        <v>8469</v>
      </c>
      <c r="F615" s="528">
        <f>87.3/3</f>
        <v>29.099999999999998</v>
      </c>
      <c r="G615" s="338" t="s">
        <v>547</v>
      </c>
    </row>
    <row r="616" spans="1:7" ht="15" customHeight="1">
      <c r="A616" s="134" t="s">
        <v>547</v>
      </c>
      <c r="B616" s="99" t="s">
        <v>51</v>
      </c>
      <c r="C616" s="134" t="s">
        <v>8470</v>
      </c>
      <c r="D616" s="116" t="s">
        <v>7698</v>
      </c>
      <c r="E616" s="116" t="s">
        <v>8471</v>
      </c>
      <c r="F616" s="528">
        <f>7.2/3</f>
        <v>2.4</v>
      </c>
      <c r="G616" s="338" t="s">
        <v>547</v>
      </c>
    </row>
    <row r="617" spans="1:7" ht="15" customHeight="1">
      <c r="A617" s="134" t="s">
        <v>547</v>
      </c>
      <c r="B617" s="99" t="s">
        <v>51</v>
      </c>
      <c r="C617" s="134" t="s">
        <v>8107</v>
      </c>
      <c r="D617" s="116" t="s">
        <v>7698</v>
      </c>
      <c r="E617" s="116" t="s">
        <v>8472</v>
      </c>
      <c r="F617" s="528">
        <f>(147)/3*2</f>
        <v>98</v>
      </c>
      <c r="G617" s="338" t="s">
        <v>547</v>
      </c>
    </row>
    <row r="618" spans="1:7" ht="15" customHeight="1">
      <c r="A618" s="134" t="s">
        <v>547</v>
      </c>
      <c r="B618" s="99" t="s">
        <v>51</v>
      </c>
      <c r="C618" s="134" t="s">
        <v>8473</v>
      </c>
      <c r="D618" s="116" t="s">
        <v>7698</v>
      </c>
      <c r="E618" s="116" t="s">
        <v>8474</v>
      </c>
      <c r="F618" s="528">
        <f>11/3*3</f>
        <v>11</v>
      </c>
      <c r="G618" s="338" t="s">
        <v>547</v>
      </c>
    </row>
    <row r="619" spans="1:7" ht="15" customHeight="1">
      <c r="A619" s="134" t="s">
        <v>563</v>
      </c>
      <c r="B619" s="99" t="s">
        <v>51</v>
      </c>
      <c r="C619" s="133" t="s">
        <v>8475</v>
      </c>
      <c r="D619" s="116" t="s">
        <v>7698</v>
      </c>
      <c r="E619" s="116" t="s">
        <v>8476</v>
      </c>
      <c r="F619" s="528">
        <v>6</v>
      </c>
      <c r="G619" s="338" t="s">
        <v>563</v>
      </c>
    </row>
    <row r="620" spans="1:7" ht="15" customHeight="1">
      <c r="A620" s="134" t="s">
        <v>563</v>
      </c>
      <c r="B620" s="99" t="s">
        <v>51</v>
      </c>
      <c r="C620" s="133" t="s">
        <v>8477</v>
      </c>
      <c r="D620" s="116" t="s">
        <v>7698</v>
      </c>
      <c r="E620" s="116" t="s">
        <v>8343</v>
      </c>
      <c r="F620" s="528">
        <v>15.33</v>
      </c>
      <c r="G620" s="338" t="s">
        <v>563</v>
      </c>
    </row>
    <row r="621" spans="1:7" ht="15" customHeight="1">
      <c r="A621" s="134" t="s">
        <v>563</v>
      </c>
      <c r="B621" s="99" t="s">
        <v>51</v>
      </c>
      <c r="C621" s="133" t="s">
        <v>8478</v>
      </c>
      <c r="D621" s="116" t="s">
        <v>7698</v>
      </c>
      <c r="E621" s="116" t="s">
        <v>8345</v>
      </c>
      <c r="F621" s="528">
        <v>9</v>
      </c>
      <c r="G621" s="338" t="s">
        <v>563</v>
      </c>
    </row>
    <row r="622" spans="1:7" ht="15" customHeight="1">
      <c r="A622" s="134" t="s">
        <v>563</v>
      </c>
      <c r="B622" s="99" t="s">
        <v>51</v>
      </c>
      <c r="C622" s="133" t="s">
        <v>8346</v>
      </c>
      <c r="D622" s="116" t="s">
        <v>7698</v>
      </c>
      <c r="E622" s="116" t="s">
        <v>8343</v>
      </c>
      <c r="F622" s="528">
        <v>15.33</v>
      </c>
      <c r="G622" s="338" t="s">
        <v>563</v>
      </c>
    </row>
    <row r="623" spans="1:7" ht="15" customHeight="1">
      <c r="A623" s="134" t="s">
        <v>563</v>
      </c>
      <c r="B623" s="99" t="s">
        <v>51</v>
      </c>
      <c r="C623" s="133" t="s">
        <v>8347</v>
      </c>
      <c r="D623" s="116" t="s">
        <v>7698</v>
      </c>
      <c r="E623" s="116" t="s">
        <v>8345</v>
      </c>
      <c r="F623" s="528">
        <v>9</v>
      </c>
      <c r="G623" s="338" t="s">
        <v>563</v>
      </c>
    </row>
    <row r="624" spans="1:7" ht="15" customHeight="1">
      <c r="A624" s="134" t="s">
        <v>563</v>
      </c>
      <c r="B624" s="99" t="s">
        <v>51</v>
      </c>
      <c r="C624" s="133" t="s">
        <v>8479</v>
      </c>
      <c r="D624" s="116" t="s">
        <v>7698</v>
      </c>
      <c r="E624" s="116" t="s">
        <v>8349</v>
      </c>
      <c r="F624" s="528">
        <v>3.83</v>
      </c>
      <c r="G624" s="338" t="s">
        <v>563</v>
      </c>
    </row>
    <row r="625" spans="1:7" ht="15" customHeight="1">
      <c r="A625" s="134" t="s">
        <v>563</v>
      </c>
      <c r="B625" s="99" t="s">
        <v>51</v>
      </c>
      <c r="C625" s="133" t="s">
        <v>8480</v>
      </c>
      <c r="D625" s="116" t="s">
        <v>7698</v>
      </c>
      <c r="E625" s="116" t="s">
        <v>8351</v>
      </c>
      <c r="F625" s="528">
        <v>1.53</v>
      </c>
      <c r="G625" s="338" t="s">
        <v>563</v>
      </c>
    </row>
    <row r="626" spans="1:7" ht="15" customHeight="1">
      <c r="A626" s="134" t="s">
        <v>563</v>
      </c>
      <c r="B626" s="99" t="s">
        <v>51</v>
      </c>
      <c r="C626" s="133" t="s">
        <v>8481</v>
      </c>
      <c r="D626" s="116" t="s">
        <v>7698</v>
      </c>
      <c r="E626" s="116" t="s">
        <v>8353</v>
      </c>
      <c r="F626" s="528">
        <v>2.25</v>
      </c>
      <c r="G626" s="338" t="s">
        <v>563</v>
      </c>
    </row>
    <row r="627" spans="1:7" ht="15" customHeight="1">
      <c r="A627" s="134" t="s">
        <v>563</v>
      </c>
      <c r="B627" s="99" t="s">
        <v>51</v>
      </c>
      <c r="C627" s="133" t="s">
        <v>8482</v>
      </c>
      <c r="D627" s="116" t="s">
        <v>7698</v>
      </c>
      <c r="E627" s="116" t="s">
        <v>8355</v>
      </c>
      <c r="F627" s="528">
        <v>0.9</v>
      </c>
      <c r="G627" s="338" t="s">
        <v>563</v>
      </c>
    </row>
    <row r="628" spans="1:7" ht="15" customHeight="1">
      <c r="A628" s="134" t="s">
        <v>563</v>
      </c>
      <c r="B628" s="99" t="s">
        <v>51</v>
      </c>
      <c r="C628" s="133" t="s">
        <v>8483</v>
      </c>
      <c r="D628" s="116" t="s">
        <v>7698</v>
      </c>
      <c r="E628" s="116" t="s">
        <v>8484</v>
      </c>
      <c r="F628" s="528">
        <v>13</v>
      </c>
      <c r="G628" s="338" t="s">
        <v>563</v>
      </c>
    </row>
    <row r="629" spans="1:7" ht="15" customHeight="1">
      <c r="A629" s="134" t="s">
        <v>563</v>
      </c>
      <c r="B629" s="99" t="s">
        <v>51</v>
      </c>
      <c r="C629" s="133" t="s">
        <v>8485</v>
      </c>
      <c r="D629" s="116" t="s">
        <v>7698</v>
      </c>
      <c r="E629" s="116" t="s">
        <v>8484</v>
      </c>
      <c r="F629" s="528">
        <v>13</v>
      </c>
      <c r="G629" s="338" t="s">
        <v>563</v>
      </c>
    </row>
    <row r="630" spans="1:7" ht="15" customHeight="1">
      <c r="A630" s="134" t="s">
        <v>563</v>
      </c>
      <c r="B630" s="99" t="s">
        <v>51</v>
      </c>
      <c r="C630" s="133" t="s">
        <v>8486</v>
      </c>
      <c r="D630" s="116" t="s">
        <v>7698</v>
      </c>
      <c r="E630" s="116" t="s">
        <v>8487</v>
      </c>
      <c r="F630" s="528">
        <v>3.25</v>
      </c>
      <c r="G630" s="338" t="s">
        <v>563</v>
      </c>
    </row>
    <row r="631" spans="1:7" ht="15" customHeight="1">
      <c r="A631" s="134" t="s">
        <v>563</v>
      </c>
      <c r="B631" s="99" t="s">
        <v>51</v>
      </c>
      <c r="C631" s="133" t="s">
        <v>8488</v>
      </c>
      <c r="D631" s="116" t="s">
        <v>7698</v>
      </c>
      <c r="E631" s="116" t="s">
        <v>8489</v>
      </c>
      <c r="F631" s="528">
        <v>1.3</v>
      </c>
      <c r="G631" s="338" t="s">
        <v>563</v>
      </c>
    </row>
    <row r="632" spans="1:7" ht="15" customHeight="1">
      <c r="A632" s="134" t="s">
        <v>563</v>
      </c>
      <c r="B632" s="99" t="s">
        <v>51</v>
      </c>
      <c r="C632" s="133" t="s">
        <v>8490</v>
      </c>
      <c r="D632" s="116" t="s">
        <v>7698</v>
      </c>
      <c r="E632" s="116" t="s">
        <v>7862</v>
      </c>
      <c r="F632" s="528">
        <v>7.67</v>
      </c>
      <c r="G632" s="338" t="s">
        <v>563</v>
      </c>
    </row>
    <row r="633" spans="1:7" ht="15" customHeight="1">
      <c r="A633" s="134" t="s">
        <v>563</v>
      </c>
      <c r="B633" s="99" t="s">
        <v>51</v>
      </c>
      <c r="C633" s="133" t="s">
        <v>8491</v>
      </c>
      <c r="D633" s="116" t="s">
        <v>7698</v>
      </c>
      <c r="E633" s="116" t="s">
        <v>8492</v>
      </c>
      <c r="F633" s="528">
        <v>9.67</v>
      </c>
      <c r="G633" s="338" t="s">
        <v>563</v>
      </c>
    </row>
    <row r="634" spans="1:7" ht="15" customHeight="1">
      <c r="A634" s="134" t="s">
        <v>563</v>
      </c>
      <c r="B634" s="99" t="s">
        <v>51</v>
      </c>
      <c r="C634" s="133" t="s">
        <v>8493</v>
      </c>
      <c r="D634" s="116" t="s">
        <v>7698</v>
      </c>
      <c r="E634" s="116" t="s">
        <v>8492</v>
      </c>
      <c r="F634" s="528">
        <v>9.67</v>
      </c>
      <c r="G634" s="338" t="s">
        <v>563</v>
      </c>
    </row>
    <row r="635" spans="1:7" ht="15" customHeight="1">
      <c r="A635" s="134" t="s">
        <v>563</v>
      </c>
      <c r="B635" s="99" t="s">
        <v>51</v>
      </c>
      <c r="C635" s="133" t="s">
        <v>8494</v>
      </c>
      <c r="D635" s="116" t="s">
        <v>7698</v>
      </c>
      <c r="E635" s="116" t="s">
        <v>8492</v>
      </c>
      <c r="F635" s="528">
        <v>9.67</v>
      </c>
      <c r="G635" s="338" t="s">
        <v>563</v>
      </c>
    </row>
    <row r="636" spans="1:7" ht="15" customHeight="1">
      <c r="A636" s="134" t="s">
        <v>563</v>
      </c>
      <c r="B636" s="99" t="s">
        <v>51</v>
      </c>
      <c r="C636" s="133" t="s">
        <v>8495</v>
      </c>
      <c r="D636" s="116" t="s">
        <v>7698</v>
      </c>
      <c r="E636" s="116" t="s">
        <v>8496</v>
      </c>
      <c r="F636" s="528">
        <v>2.42</v>
      </c>
      <c r="G636" s="338" t="s">
        <v>563</v>
      </c>
    </row>
    <row r="637" spans="1:7" ht="15" customHeight="1">
      <c r="A637" s="134" t="s">
        <v>563</v>
      </c>
      <c r="B637" s="99" t="s">
        <v>51</v>
      </c>
      <c r="C637" s="133" t="s">
        <v>8497</v>
      </c>
      <c r="D637" s="116" t="s">
        <v>7698</v>
      </c>
      <c r="E637" s="116" t="s">
        <v>8498</v>
      </c>
      <c r="F637" s="528">
        <v>0.97</v>
      </c>
      <c r="G637" s="338" t="s">
        <v>563</v>
      </c>
    </row>
    <row r="638" spans="1:7" ht="15" customHeight="1">
      <c r="A638" s="134" t="s">
        <v>563</v>
      </c>
      <c r="B638" s="99" t="s">
        <v>51</v>
      </c>
      <c r="C638" s="133" t="s">
        <v>8499</v>
      </c>
      <c r="D638" s="116" t="s">
        <v>7698</v>
      </c>
      <c r="E638" s="116" t="s">
        <v>7860</v>
      </c>
      <c r="F638" s="528">
        <v>20</v>
      </c>
      <c r="G638" s="338" t="s">
        <v>563</v>
      </c>
    </row>
    <row r="639" spans="1:7" ht="15" customHeight="1">
      <c r="A639" s="134" t="s">
        <v>563</v>
      </c>
      <c r="B639" s="99" t="s">
        <v>51</v>
      </c>
      <c r="C639" s="133" t="s">
        <v>8500</v>
      </c>
      <c r="D639" s="116" t="s">
        <v>7698</v>
      </c>
      <c r="E639" s="116" t="s">
        <v>7860</v>
      </c>
      <c r="F639" s="528">
        <v>20</v>
      </c>
      <c r="G639" s="338" t="s">
        <v>563</v>
      </c>
    </row>
    <row r="640" spans="1:7" ht="15" customHeight="1">
      <c r="A640" s="134" t="s">
        <v>563</v>
      </c>
      <c r="B640" s="99" t="s">
        <v>51</v>
      </c>
      <c r="C640" s="133" t="s">
        <v>8380</v>
      </c>
      <c r="D640" s="116" t="s">
        <v>7698</v>
      </c>
      <c r="E640" s="116" t="s">
        <v>8501</v>
      </c>
      <c r="F640" s="528">
        <v>5</v>
      </c>
      <c r="G640" s="338" t="s">
        <v>563</v>
      </c>
    </row>
    <row r="641" spans="1:7" ht="15" customHeight="1">
      <c r="A641" s="134" t="s">
        <v>563</v>
      </c>
      <c r="B641" s="99" t="s">
        <v>51</v>
      </c>
      <c r="C641" s="133" t="s">
        <v>8382</v>
      </c>
      <c r="D641" s="116" t="s">
        <v>7698</v>
      </c>
      <c r="E641" s="116" t="s">
        <v>8502</v>
      </c>
      <c r="F641" s="528">
        <v>2</v>
      </c>
      <c r="G641" s="338" t="s">
        <v>563</v>
      </c>
    </row>
    <row r="642" spans="1:7" ht="15" customHeight="1">
      <c r="A642" s="134" t="s">
        <v>563</v>
      </c>
      <c r="B642" s="99" t="s">
        <v>51</v>
      </c>
      <c r="C642" s="133" t="s">
        <v>8384</v>
      </c>
      <c r="D642" s="116" t="s">
        <v>7698</v>
      </c>
      <c r="E642" s="116" t="s">
        <v>7862</v>
      </c>
      <c r="F642" s="528">
        <v>7.67</v>
      </c>
      <c r="G642" s="338" t="s">
        <v>563</v>
      </c>
    </row>
    <row r="643" spans="1:7" ht="15" customHeight="1">
      <c r="A643" s="134" t="s">
        <v>563</v>
      </c>
      <c r="B643" s="99" t="s">
        <v>51</v>
      </c>
      <c r="C643" s="133" t="s">
        <v>8503</v>
      </c>
      <c r="D643" s="116" t="s">
        <v>7698</v>
      </c>
      <c r="E643" s="116" t="s">
        <v>7862</v>
      </c>
      <c r="F643" s="528">
        <v>7.67</v>
      </c>
      <c r="G643" s="338" t="s">
        <v>563</v>
      </c>
    </row>
    <row r="644" spans="1:7" ht="15" customHeight="1">
      <c r="A644" s="134" t="s">
        <v>563</v>
      </c>
      <c r="B644" s="99" t="s">
        <v>51</v>
      </c>
      <c r="C644" s="133" t="s">
        <v>8387</v>
      </c>
      <c r="D644" s="116" t="s">
        <v>7698</v>
      </c>
      <c r="E644" s="116" t="s">
        <v>7868</v>
      </c>
      <c r="F644" s="528">
        <v>1.92</v>
      </c>
      <c r="G644" s="338" t="s">
        <v>563</v>
      </c>
    </row>
    <row r="645" spans="1:7" ht="15" customHeight="1">
      <c r="A645" s="134" t="s">
        <v>563</v>
      </c>
      <c r="B645" s="99" t="s">
        <v>51</v>
      </c>
      <c r="C645" s="133" t="s">
        <v>8389</v>
      </c>
      <c r="D645" s="116" t="s">
        <v>7698</v>
      </c>
      <c r="E645" s="116" t="s">
        <v>7872</v>
      </c>
      <c r="F645" s="528">
        <v>0.77</v>
      </c>
      <c r="G645" s="338" t="s">
        <v>563</v>
      </c>
    </row>
    <row r="646" spans="1:7" ht="15" customHeight="1">
      <c r="A646" s="134" t="s">
        <v>563</v>
      </c>
      <c r="B646" s="99" t="s">
        <v>51</v>
      </c>
      <c r="C646" s="133" t="s">
        <v>8504</v>
      </c>
      <c r="D646" s="116" t="s">
        <v>7698</v>
      </c>
      <c r="E646" s="116" t="s">
        <v>8505</v>
      </c>
      <c r="F646" s="528">
        <v>5.33</v>
      </c>
      <c r="G646" s="338" t="s">
        <v>563</v>
      </c>
    </row>
    <row r="647" spans="1:7" ht="15" customHeight="1">
      <c r="A647" s="134" t="s">
        <v>563</v>
      </c>
      <c r="B647" s="99" t="s">
        <v>51</v>
      </c>
      <c r="C647" s="133" t="s">
        <v>8506</v>
      </c>
      <c r="D647" s="116" t="s">
        <v>8404</v>
      </c>
      <c r="E647" s="116" t="s">
        <v>8507</v>
      </c>
      <c r="F647" s="528">
        <v>49.33</v>
      </c>
      <c r="G647" s="338" t="s">
        <v>563</v>
      </c>
    </row>
    <row r="648" spans="1:7" ht="15" customHeight="1">
      <c r="A648" s="134" t="s">
        <v>563</v>
      </c>
      <c r="B648" s="99" t="s">
        <v>51</v>
      </c>
      <c r="C648" s="133" t="s">
        <v>8508</v>
      </c>
      <c r="D648" s="116" t="s">
        <v>8404</v>
      </c>
      <c r="E648" s="116" t="s">
        <v>8509</v>
      </c>
      <c r="F648" s="528">
        <v>26</v>
      </c>
      <c r="G648" s="338" t="s">
        <v>563</v>
      </c>
    </row>
    <row r="649" spans="1:7" ht="15" customHeight="1">
      <c r="A649" s="134" t="s">
        <v>563</v>
      </c>
      <c r="B649" s="99" t="s">
        <v>51</v>
      </c>
      <c r="C649" s="133" t="s">
        <v>8510</v>
      </c>
      <c r="D649" s="116" t="s">
        <v>8404</v>
      </c>
      <c r="E649" s="116" t="s">
        <v>8511</v>
      </c>
      <c r="F649" s="528">
        <v>0.67</v>
      </c>
      <c r="G649" s="338" t="s">
        <v>563</v>
      </c>
    </row>
    <row r="650" spans="1:7" ht="15" customHeight="1">
      <c r="A650" s="134" t="s">
        <v>563</v>
      </c>
      <c r="B650" s="99" t="s">
        <v>51</v>
      </c>
      <c r="C650" s="133" t="s">
        <v>8512</v>
      </c>
      <c r="D650" s="116" t="s">
        <v>8404</v>
      </c>
      <c r="E650" s="116" t="s">
        <v>8513</v>
      </c>
      <c r="F650" s="528">
        <v>25.33</v>
      </c>
      <c r="G650" s="338" t="s">
        <v>563</v>
      </c>
    </row>
    <row r="651" spans="1:7" ht="15" customHeight="1">
      <c r="A651" s="134" t="s">
        <v>563</v>
      </c>
      <c r="B651" s="99" t="s">
        <v>51</v>
      </c>
      <c r="C651" s="133" t="s">
        <v>8514</v>
      </c>
      <c r="D651" s="116" t="s">
        <v>8404</v>
      </c>
      <c r="E651" s="116" t="s">
        <v>8515</v>
      </c>
      <c r="F651" s="528">
        <v>2</v>
      </c>
      <c r="G651" s="338" t="s">
        <v>563</v>
      </c>
    </row>
    <row r="652" spans="1:7" ht="15" customHeight="1">
      <c r="A652" s="134" t="s">
        <v>563</v>
      </c>
      <c r="B652" s="99" t="s">
        <v>51</v>
      </c>
      <c r="C652" s="133" t="s">
        <v>8516</v>
      </c>
      <c r="D652" s="116" t="s">
        <v>8404</v>
      </c>
      <c r="E652" s="116" t="s">
        <v>8517</v>
      </c>
      <c r="F652" s="528">
        <v>17</v>
      </c>
      <c r="G652" s="338" t="s">
        <v>563</v>
      </c>
    </row>
    <row r="653" spans="1:7" ht="15" customHeight="1">
      <c r="A653" s="134" t="s">
        <v>563</v>
      </c>
      <c r="B653" s="99" t="s">
        <v>51</v>
      </c>
      <c r="C653" s="133" t="s">
        <v>8518</v>
      </c>
      <c r="D653" s="116" t="s">
        <v>8404</v>
      </c>
      <c r="E653" s="116" t="s">
        <v>8517</v>
      </c>
      <c r="F653" s="528">
        <v>17</v>
      </c>
      <c r="G653" s="338" t="s">
        <v>563</v>
      </c>
    </row>
    <row r="654" spans="1:7" ht="15" customHeight="1">
      <c r="A654" s="162" t="s">
        <v>580</v>
      </c>
      <c r="B654" s="162" t="s">
        <v>51</v>
      </c>
      <c r="C654" s="162" t="s">
        <v>8519</v>
      </c>
      <c r="D654" s="163" t="s">
        <v>7698</v>
      </c>
      <c r="E654" s="163">
        <f t="shared" ref="E654:F654" si="96">14/3</f>
        <v>4.666666666666667</v>
      </c>
      <c r="F654" s="483">
        <f t="shared" si="96"/>
        <v>4.666666666666667</v>
      </c>
      <c r="G654" s="338" t="s">
        <v>580</v>
      </c>
    </row>
    <row r="655" spans="1:7" ht="15" customHeight="1">
      <c r="A655" s="162" t="s">
        <v>580</v>
      </c>
      <c r="B655" s="162" t="s">
        <v>51</v>
      </c>
      <c r="C655" s="162" t="s">
        <v>8520</v>
      </c>
      <c r="D655" s="163" t="s">
        <v>7698</v>
      </c>
      <c r="E655" s="163">
        <f t="shared" ref="E655:F655" si="97">14/3</f>
        <v>4.666666666666667</v>
      </c>
      <c r="F655" s="483">
        <f t="shared" si="97"/>
        <v>4.666666666666667</v>
      </c>
      <c r="G655" s="338" t="s">
        <v>580</v>
      </c>
    </row>
    <row r="656" spans="1:7" ht="15" customHeight="1">
      <c r="A656" s="162" t="s">
        <v>580</v>
      </c>
      <c r="B656" s="162" t="s">
        <v>51</v>
      </c>
      <c r="C656" s="162" t="s">
        <v>8521</v>
      </c>
      <c r="D656" s="163" t="s">
        <v>7698</v>
      </c>
      <c r="E656" s="163">
        <f t="shared" ref="E656:F656" si="98">14/3</f>
        <v>4.666666666666667</v>
      </c>
      <c r="F656" s="483">
        <f t="shared" si="98"/>
        <v>4.666666666666667</v>
      </c>
      <c r="G656" s="338" t="s">
        <v>580</v>
      </c>
    </row>
    <row r="657" spans="1:7" ht="15" customHeight="1">
      <c r="A657" s="162" t="s">
        <v>580</v>
      </c>
      <c r="B657" s="162" t="s">
        <v>51</v>
      </c>
      <c r="C657" s="162" t="s">
        <v>8522</v>
      </c>
      <c r="D657" s="163" t="s">
        <v>7698</v>
      </c>
      <c r="E657" s="163">
        <f t="shared" ref="E657:F657" si="99">53/3</f>
        <v>17.666666666666668</v>
      </c>
      <c r="F657" s="483">
        <f t="shared" si="99"/>
        <v>17.666666666666668</v>
      </c>
      <c r="G657" s="338" t="s">
        <v>580</v>
      </c>
    </row>
    <row r="658" spans="1:7" ht="15" customHeight="1">
      <c r="A658" s="162" t="s">
        <v>580</v>
      </c>
      <c r="B658" s="162" t="s">
        <v>51</v>
      </c>
      <c r="C658" s="162" t="s">
        <v>8523</v>
      </c>
      <c r="D658" s="163" t="s">
        <v>7698</v>
      </c>
      <c r="E658" s="163">
        <f t="shared" ref="E658:F658" si="100">53/3</f>
        <v>17.666666666666668</v>
      </c>
      <c r="F658" s="483">
        <f t="shared" si="100"/>
        <v>17.666666666666668</v>
      </c>
      <c r="G658" s="338" t="s">
        <v>580</v>
      </c>
    </row>
    <row r="659" spans="1:7" ht="15" customHeight="1">
      <c r="A659" s="162" t="s">
        <v>580</v>
      </c>
      <c r="B659" s="162" t="s">
        <v>51</v>
      </c>
      <c r="C659" s="162" t="s">
        <v>8524</v>
      </c>
      <c r="D659" s="163" t="s">
        <v>7698</v>
      </c>
      <c r="E659" s="163">
        <f t="shared" ref="E659:E660" si="101">(13+13+13+14)/3</f>
        <v>17.666666666666668</v>
      </c>
      <c r="F659" s="483">
        <f t="shared" ref="F659:F660" si="102">53/3</f>
        <v>17.666666666666668</v>
      </c>
      <c r="G659" s="338" t="s">
        <v>580</v>
      </c>
    </row>
    <row r="660" spans="1:7" ht="15" customHeight="1">
      <c r="A660" s="162" t="s">
        <v>580</v>
      </c>
      <c r="B660" s="162" t="s">
        <v>51</v>
      </c>
      <c r="C660" s="162" t="s">
        <v>8525</v>
      </c>
      <c r="D660" s="163" t="s">
        <v>7698</v>
      </c>
      <c r="E660" s="163">
        <f t="shared" si="101"/>
        <v>17.666666666666668</v>
      </c>
      <c r="F660" s="483">
        <f t="shared" si="102"/>
        <v>17.666666666666668</v>
      </c>
      <c r="G660" s="338" t="s">
        <v>580</v>
      </c>
    </row>
    <row r="661" spans="1:7" ht="15" customHeight="1">
      <c r="A661" s="1139" t="s">
        <v>580</v>
      </c>
      <c r="B661" s="162" t="s">
        <v>51</v>
      </c>
      <c r="C661" s="1139" t="s">
        <v>8526</v>
      </c>
      <c r="D661" s="1140" t="s">
        <v>7698</v>
      </c>
      <c r="E661" s="1140">
        <f t="shared" ref="E661:F661" si="103">14/3</f>
        <v>4.666666666666667</v>
      </c>
      <c r="F661" s="1141">
        <f t="shared" si="103"/>
        <v>4.666666666666667</v>
      </c>
      <c r="G661" s="338" t="s">
        <v>580</v>
      </c>
    </row>
    <row r="662" spans="1:7" ht="15" customHeight="1">
      <c r="A662" s="457" t="s">
        <v>580</v>
      </c>
      <c r="B662" s="162" t="s">
        <v>51</v>
      </c>
      <c r="C662" s="457" t="s">
        <v>8527</v>
      </c>
      <c r="D662" s="740" t="s">
        <v>7698</v>
      </c>
      <c r="E662" s="740">
        <f t="shared" ref="E662:F662" si="104">28/3</f>
        <v>9.3333333333333339</v>
      </c>
      <c r="F662" s="1142">
        <f t="shared" si="104"/>
        <v>9.3333333333333339</v>
      </c>
      <c r="G662" s="338" t="s">
        <v>580</v>
      </c>
    </row>
    <row r="663" spans="1:7" ht="15" customHeight="1">
      <c r="A663" s="162" t="s">
        <v>580</v>
      </c>
      <c r="B663" s="162" t="s">
        <v>51</v>
      </c>
      <c r="C663" s="162" t="s">
        <v>8528</v>
      </c>
      <c r="D663" s="163" t="s">
        <v>7698</v>
      </c>
      <c r="E663" s="163">
        <f t="shared" ref="E663:F663" si="105">28/3</f>
        <v>9.3333333333333339</v>
      </c>
      <c r="F663" s="483">
        <f t="shared" si="105"/>
        <v>9.3333333333333339</v>
      </c>
      <c r="G663" s="338" t="s">
        <v>580</v>
      </c>
    </row>
    <row r="664" spans="1:7" ht="15" customHeight="1">
      <c r="A664" s="162" t="s">
        <v>580</v>
      </c>
      <c r="B664" s="162" t="s">
        <v>51</v>
      </c>
      <c r="C664" s="162" t="s">
        <v>8529</v>
      </c>
      <c r="D664" s="163" t="s">
        <v>7698</v>
      </c>
      <c r="E664" s="163">
        <f t="shared" ref="E664:F664" si="106">2*2/3</f>
        <v>1.3333333333333333</v>
      </c>
      <c r="F664" s="483">
        <f t="shared" si="106"/>
        <v>1.3333333333333333</v>
      </c>
      <c r="G664" s="338" t="s">
        <v>580</v>
      </c>
    </row>
    <row r="665" spans="1:7" ht="15" customHeight="1">
      <c r="A665" s="377" t="s">
        <v>4419</v>
      </c>
      <c r="B665" s="83" t="s">
        <v>7</v>
      </c>
      <c r="C665" s="83" t="s">
        <v>7695</v>
      </c>
      <c r="D665" s="83" t="s">
        <v>7696</v>
      </c>
      <c r="E665" s="350" t="s">
        <v>206</v>
      </c>
      <c r="F665" s="350" t="s">
        <v>210</v>
      </c>
      <c r="G665" s="338" t="s">
        <v>7606</v>
      </c>
    </row>
    <row r="666" spans="1:7" ht="15" customHeight="1">
      <c r="A666" s="134" t="s">
        <v>7604</v>
      </c>
      <c r="B666" s="133" t="s">
        <v>51</v>
      </c>
      <c r="C666" s="133" t="s">
        <v>8530</v>
      </c>
      <c r="D666" s="116" t="s">
        <v>8320</v>
      </c>
      <c r="E666" s="186" t="s">
        <v>8531</v>
      </c>
      <c r="F666" s="528">
        <v>8</v>
      </c>
      <c r="G666" s="338" t="s">
        <v>7606</v>
      </c>
    </row>
    <row r="667" spans="1:7" ht="15" customHeight="1">
      <c r="A667" s="134" t="s">
        <v>7604</v>
      </c>
      <c r="B667" s="133" t="s">
        <v>51</v>
      </c>
      <c r="C667" s="133" t="s">
        <v>8532</v>
      </c>
      <c r="D667" s="116" t="s">
        <v>8320</v>
      </c>
      <c r="E667" s="186" t="s">
        <v>8531</v>
      </c>
      <c r="F667" s="528">
        <v>8</v>
      </c>
      <c r="G667" s="338" t="s">
        <v>7606</v>
      </c>
    </row>
    <row r="668" spans="1:7" ht="15" customHeight="1">
      <c r="A668" s="134" t="s">
        <v>7604</v>
      </c>
      <c r="B668" s="133" t="s">
        <v>51</v>
      </c>
      <c r="C668" s="133" t="s">
        <v>8533</v>
      </c>
      <c r="D668" s="116" t="s">
        <v>8320</v>
      </c>
      <c r="E668" s="186" t="s">
        <v>8531</v>
      </c>
      <c r="F668" s="528">
        <v>8</v>
      </c>
      <c r="G668" s="338" t="s">
        <v>7606</v>
      </c>
    </row>
    <row r="669" spans="1:7" ht="15" customHeight="1">
      <c r="A669" s="134" t="s">
        <v>7604</v>
      </c>
      <c r="B669" s="133" t="s">
        <v>51</v>
      </c>
      <c r="C669" s="133" t="s">
        <v>8534</v>
      </c>
      <c r="D669" s="116" t="s">
        <v>8320</v>
      </c>
      <c r="E669" s="186" t="s">
        <v>8531</v>
      </c>
      <c r="F669" s="528">
        <v>8</v>
      </c>
      <c r="G669" s="338" t="s">
        <v>7606</v>
      </c>
    </row>
    <row r="670" spans="1:7" ht="15" customHeight="1">
      <c r="A670" s="134" t="s">
        <v>7604</v>
      </c>
      <c r="B670" s="133" t="s">
        <v>51</v>
      </c>
      <c r="C670" s="133" t="s">
        <v>8535</v>
      </c>
      <c r="D670" s="116" t="s">
        <v>8320</v>
      </c>
      <c r="E670" s="186" t="s">
        <v>8531</v>
      </c>
      <c r="F670" s="528">
        <v>8</v>
      </c>
      <c r="G670" s="338" t="s">
        <v>7606</v>
      </c>
    </row>
    <row r="671" spans="1:7" ht="15" customHeight="1">
      <c r="A671" s="134" t="s">
        <v>7604</v>
      </c>
      <c r="B671" s="133" t="s">
        <v>51</v>
      </c>
      <c r="C671" s="133" t="s">
        <v>8536</v>
      </c>
      <c r="D671" s="116" t="s">
        <v>8320</v>
      </c>
      <c r="E671" s="186" t="s">
        <v>8531</v>
      </c>
      <c r="F671" s="528">
        <v>8</v>
      </c>
      <c r="G671" s="338" t="s">
        <v>7606</v>
      </c>
    </row>
    <row r="672" spans="1:7" ht="15" customHeight="1">
      <c r="A672" s="134" t="s">
        <v>7604</v>
      </c>
      <c r="B672" s="133" t="s">
        <v>51</v>
      </c>
      <c r="C672" s="133" t="s">
        <v>8537</v>
      </c>
      <c r="D672" s="116" t="s">
        <v>8320</v>
      </c>
      <c r="E672" s="186" t="s">
        <v>8531</v>
      </c>
      <c r="F672" s="528">
        <v>8</v>
      </c>
      <c r="G672" s="338" t="s">
        <v>7606</v>
      </c>
    </row>
    <row r="673" spans="1:7" ht="15" customHeight="1">
      <c r="A673" s="134" t="s">
        <v>7604</v>
      </c>
      <c r="B673" s="133" t="s">
        <v>51</v>
      </c>
      <c r="C673" s="133" t="s">
        <v>8538</v>
      </c>
      <c r="D673" s="116" t="s">
        <v>8320</v>
      </c>
      <c r="E673" s="186" t="s">
        <v>8531</v>
      </c>
      <c r="F673" s="528">
        <v>8</v>
      </c>
      <c r="G673" s="338" t="s">
        <v>7606</v>
      </c>
    </row>
    <row r="674" spans="1:7" ht="15" customHeight="1">
      <c r="A674" s="134" t="s">
        <v>7604</v>
      </c>
      <c r="B674" s="133" t="s">
        <v>51</v>
      </c>
      <c r="C674" s="133" t="s">
        <v>8539</v>
      </c>
      <c r="D674" s="116" t="s">
        <v>8320</v>
      </c>
      <c r="E674" s="186" t="s">
        <v>8540</v>
      </c>
      <c r="F674" s="528">
        <v>3.66</v>
      </c>
      <c r="G674" s="338" t="s">
        <v>7606</v>
      </c>
    </row>
    <row r="675" spans="1:7" ht="15" customHeight="1">
      <c r="A675" s="134" t="s">
        <v>7604</v>
      </c>
      <c r="B675" s="133" t="s">
        <v>51</v>
      </c>
      <c r="C675" s="133" t="s">
        <v>8541</v>
      </c>
      <c r="D675" s="116" t="s">
        <v>8320</v>
      </c>
      <c r="E675" s="186" t="s">
        <v>8540</v>
      </c>
      <c r="F675" s="528">
        <v>3.66</v>
      </c>
      <c r="G675" s="338" t="s">
        <v>7606</v>
      </c>
    </row>
    <row r="676" spans="1:7" ht="15" customHeight="1">
      <c r="A676" s="134" t="s">
        <v>7604</v>
      </c>
      <c r="B676" s="133" t="s">
        <v>51</v>
      </c>
      <c r="C676" s="133" t="s">
        <v>8542</v>
      </c>
      <c r="D676" s="116" t="s">
        <v>8320</v>
      </c>
      <c r="E676" s="186" t="s">
        <v>8540</v>
      </c>
      <c r="F676" s="528">
        <v>3.66</v>
      </c>
      <c r="G676" s="338" t="s">
        <v>7606</v>
      </c>
    </row>
    <row r="677" spans="1:7" ht="15" customHeight="1">
      <c r="A677" s="134" t="s">
        <v>7604</v>
      </c>
      <c r="B677" s="133" t="s">
        <v>51</v>
      </c>
      <c r="C677" s="133" t="s">
        <v>8543</v>
      </c>
      <c r="D677" s="116" t="s">
        <v>8320</v>
      </c>
      <c r="E677" s="186" t="s">
        <v>8531</v>
      </c>
      <c r="F677" s="528">
        <v>8</v>
      </c>
      <c r="G677" s="338" t="s">
        <v>7606</v>
      </c>
    </row>
    <row r="678" spans="1:7" ht="15" customHeight="1">
      <c r="A678" s="134" t="s">
        <v>7604</v>
      </c>
      <c r="B678" s="133" t="s">
        <v>51</v>
      </c>
      <c r="C678" s="133" t="s">
        <v>8544</v>
      </c>
      <c r="D678" s="116" t="s">
        <v>8320</v>
      </c>
      <c r="E678" s="186" t="s">
        <v>8531</v>
      </c>
      <c r="F678" s="528">
        <v>8</v>
      </c>
      <c r="G678" s="338" t="s">
        <v>7606</v>
      </c>
    </row>
    <row r="679" spans="1:7" ht="15" customHeight="1">
      <c r="A679" s="134" t="s">
        <v>592</v>
      </c>
      <c r="B679" s="99" t="s">
        <v>51</v>
      </c>
      <c r="C679" s="133" t="s">
        <v>8545</v>
      </c>
      <c r="D679" s="116" t="s">
        <v>7698</v>
      </c>
      <c r="E679" s="116" t="s">
        <v>8546</v>
      </c>
      <c r="F679" s="528">
        <v>17.66</v>
      </c>
      <c r="G679" s="338" t="s">
        <v>592</v>
      </c>
    </row>
    <row r="680" spans="1:7" ht="15" customHeight="1">
      <c r="A680" s="134" t="s">
        <v>592</v>
      </c>
      <c r="B680" s="99" t="s">
        <v>51</v>
      </c>
      <c r="C680" s="133" t="s">
        <v>8547</v>
      </c>
      <c r="D680" s="116" t="s">
        <v>7698</v>
      </c>
      <c r="E680" s="116" t="s">
        <v>8548</v>
      </c>
      <c r="F680" s="528">
        <v>6.33</v>
      </c>
      <c r="G680" s="338" t="s">
        <v>592</v>
      </c>
    </row>
    <row r="681" spans="1:7" ht="15" customHeight="1">
      <c r="A681" s="134" t="s">
        <v>592</v>
      </c>
      <c r="B681" s="99" t="s">
        <v>51</v>
      </c>
      <c r="C681" s="133" t="s">
        <v>8549</v>
      </c>
      <c r="D681" s="116" t="s">
        <v>7698</v>
      </c>
      <c r="E681" s="116" t="s">
        <v>8548</v>
      </c>
      <c r="F681" s="528">
        <v>6.33</v>
      </c>
      <c r="G681" s="338" t="s">
        <v>592</v>
      </c>
    </row>
    <row r="682" spans="1:7" ht="15" customHeight="1">
      <c r="A682" s="134" t="s">
        <v>592</v>
      </c>
      <c r="B682" s="99" t="s">
        <v>51</v>
      </c>
      <c r="C682" s="133" t="s">
        <v>8550</v>
      </c>
      <c r="D682" s="116" t="s">
        <v>7698</v>
      </c>
      <c r="E682" s="116" t="s">
        <v>8548</v>
      </c>
      <c r="F682" s="528">
        <v>6.33</v>
      </c>
      <c r="G682" s="338" t="s">
        <v>592</v>
      </c>
    </row>
    <row r="683" spans="1:7" ht="15" customHeight="1">
      <c r="A683" s="134" t="s">
        <v>592</v>
      </c>
      <c r="B683" s="99" t="s">
        <v>51</v>
      </c>
      <c r="C683" s="133" t="s">
        <v>8551</v>
      </c>
      <c r="D683" s="116" t="s">
        <v>7698</v>
      </c>
      <c r="E683" s="116" t="s">
        <v>8548</v>
      </c>
      <c r="F683" s="528">
        <v>6.33</v>
      </c>
      <c r="G683" s="338" t="s">
        <v>592</v>
      </c>
    </row>
    <row r="684" spans="1:7" ht="15" customHeight="1">
      <c r="A684" s="134" t="s">
        <v>592</v>
      </c>
      <c r="B684" s="99" t="s">
        <v>51</v>
      </c>
      <c r="C684" s="133" t="s">
        <v>8552</v>
      </c>
      <c r="D684" s="116" t="s">
        <v>7698</v>
      </c>
      <c r="E684" s="116" t="s">
        <v>8553</v>
      </c>
      <c r="F684" s="528">
        <v>5.66</v>
      </c>
      <c r="G684" s="338" t="s">
        <v>592</v>
      </c>
    </row>
    <row r="685" spans="1:7" ht="15" customHeight="1">
      <c r="A685" s="134" t="s">
        <v>592</v>
      </c>
      <c r="B685" s="99" t="s">
        <v>51</v>
      </c>
      <c r="C685" s="133" t="s">
        <v>8554</v>
      </c>
      <c r="D685" s="116" t="s">
        <v>7698</v>
      </c>
      <c r="E685" s="116" t="s">
        <v>8359</v>
      </c>
      <c r="F685" s="528">
        <v>4.66</v>
      </c>
      <c r="G685" s="338" t="s">
        <v>592</v>
      </c>
    </row>
    <row r="686" spans="1:7" ht="15" customHeight="1">
      <c r="A686" s="134" t="s">
        <v>592</v>
      </c>
      <c r="B686" s="99" t="s">
        <v>51</v>
      </c>
      <c r="C686" s="133" t="s">
        <v>8555</v>
      </c>
      <c r="D686" s="116" t="s">
        <v>7698</v>
      </c>
      <c r="E686" s="116" t="s">
        <v>8553</v>
      </c>
      <c r="F686" s="528">
        <v>5.66</v>
      </c>
      <c r="G686" s="338" t="s">
        <v>592</v>
      </c>
    </row>
    <row r="687" spans="1:7" ht="15" customHeight="1">
      <c r="A687" s="134" t="s">
        <v>592</v>
      </c>
      <c r="B687" s="99" t="s">
        <v>51</v>
      </c>
      <c r="C687" s="133" t="s">
        <v>8556</v>
      </c>
      <c r="D687" s="116" t="s">
        <v>7698</v>
      </c>
      <c r="E687" s="116" t="s">
        <v>8553</v>
      </c>
      <c r="F687" s="528">
        <v>5.66</v>
      </c>
      <c r="G687" s="338" t="s">
        <v>592</v>
      </c>
    </row>
    <row r="688" spans="1:7" ht="15" customHeight="1">
      <c r="A688" s="134" t="s">
        <v>592</v>
      </c>
      <c r="B688" s="99" t="s">
        <v>51</v>
      </c>
      <c r="C688" s="133" t="s">
        <v>8557</v>
      </c>
      <c r="D688" s="116" t="s">
        <v>7698</v>
      </c>
      <c r="E688" s="116" t="s">
        <v>8409</v>
      </c>
      <c r="F688" s="528">
        <v>8</v>
      </c>
      <c r="G688" s="338" t="s">
        <v>592</v>
      </c>
    </row>
    <row r="689" spans="1:7" ht="15" customHeight="1">
      <c r="A689" s="134" t="s">
        <v>592</v>
      </c>
      <c r="B689" s="99" t="s">
        <v>51</v>
      </c>
      <c r="C689" s="133" t="s">
        <v>8558</v>
      </c>
      <c r="D689" s="116" t="s">
        <v>7698</v>
      </c>
      <c r="E689" s="116" t="s">
        <v>8559</v>
      </c>
      <c r="F689" s="528">
        <v>9.66</v>
      </c>
      <c r="G689" s="338" t="s">
        <v>592</v>
      </c>
    </row>
    <row r="690" spans="1:7" ht="15" customHeight="1">
      <c r="A690" s="134" t="s">
        <v>592</v>
      </c>
      <c r="B690" s="99" t="s">
        <v>51</v>
      </c>
      <c r="C690" s="133" t="s">
        <v>8560</v>
      </c>
      <c r="D690" s="116" t="s">
        <v>7698</v>
      </c>
      <c r="E690" s="116" t="s">
        <v>8561</v>
      </c>
      <c r="F690" s="528">
        <v>7.33</v>
      </c>
      <c r="G690" s="338" t="s">
        <v>592</v>
      </c>
    </row>
    <row r="691" spans="1:7" ht="15" customHeight="1">
      <c r="A691" s="134" t="s">
        <v>592</v>
      </c>
      <c r="B691" s="99" t="s">
        <v>51</v>
      </c>
      <c r="C691" s="133" t="s">
        <v>8562</v>
      </c>
      <c r="D691" s="116" t="s">
        <v>7698</v>
      </c>
      <c r="E691" s="116" t="s">
        <v>8546</v>
      </c>
      <c r="F691" s="528">
        <v>17.66</v>
      </c>
      <c r="G691" s="338" t="s">
        <v>592</v>
      </c>
    </row>
    <row r="692" spans="1:7" ht="15" customHeight="1">
      <c r="A692" s="134" t="s">
        <v>592</v>
      </c>
      <c r="B692" s="99" t="s">
        <v>51</v>
      </c>
      <c r="C692" s="133" t="s">
        <v>8563</v>
      </c>
      <c r="D692" s="116" t="s">
        <v>7698</v>
      </c>
      <c r="E692" s="116" t="s">
        <v>8548</v>
      </c>
      <c r="F692" s="528">
        <v>6.33</v>
      </c>
      <c r="G692" s="338" t="s">
        <v>592</v>
      </c>
    </row>
    <row r="693" spans="1:7" ht="15" customHeight="1">
      <c r="A693" s="134" t="s">
        <v>592</v>
      </c>
      <c r="B693" s="99" t="s">
        <v>51</v>
      </c>
      <c r="C693" s="133" t="s">
        <v>8564</v>
      </c>
      <c r="D693" s="116" t="s">
        <v>7698</v>
      </c>
      <c r="E693" s="116" t="s">
        <v>8548</v>
      </c>
      <c r="F693" s="528">
        <v>6.33</v>
      </c>
      <c r="G693" s="338" t="s">
        <v>592</v>
      </c>
    </row>
    <row r="694" spans="1:7" ht="15" customHeight="1">
      <c r="A694" s="134" t="s">
        <v>592</v>
      </c>
      <c r="B694" s="99" t="s">
        <v>51</v>
      </c>
      <c r="C694" s="133" t="s">
        <v>8565</v>
      </c>
      <c r="D694" s="116" t="s">
        <v>7698</v>
      </c>
      <c r="E694" s="116" t="s">
        <v>8553</v>
      </c>
      <c r="F694" s="528">
        <v>5.66</v>
      </c>
      <c r="G694" s="338" t="s">
        <v>592</v>
      </c>
    </row>
    <row r="695" spans="1:7" ht="15" customHeight="1">
      <c r="A695" s="134" t="s">
        <v>592</v>
      </c>
      <c r="B695" s="99" t="s">
        <v>51</v>
      </c>
      <c r="C695" s="133" t="s">
        <v>8566</v>
      </c>
      <c r="D695" s="116" t="s">
        <v>7698</v>
      </c>
      <c r="E695" s="116" t="s">
        <v>8359</v>
      </c>
      <c r="F695" s="528">
        <v>4.66</v>
      </c>
      <c r="G695" s="338" t="s">
        <v>592</v>
      </c>
    </row>
    <row r="696" spans="1:7" ht="15" customHeight="1">
      <c r="A696" s="134" t="s">
        <v>592</v>
      </c>
      <c r="B696" s="99" t="s">
        <v>51</v>
      </c>
      <c r="C696" s="133" t="s">
        <v>8567</v>
      </c>
      <c r="D696" s="116" t="s">
        <v>7698</v>
      </c>
      <c r="E696" s="116" t="s">
        <v>8553</v>
      </c>
      <c r="F696" s="528">
        <v>5.66</v>
      </c>
      <c r="G696" s="338" t="s">
        <v>592</v>
      </c>
    </row>
    <row r="697" spans="1:7" ht="15" customHeight="1">
      <c r="A697" s="134" t="s">
        <v>592</v>
      </c>
      <c r="B697" s="99" t="s">
        <v>51</v>
      </c>
      <c r="C697" s="133" t="s">
        <v>8568</v>
      </c>
      <c r="D697" s="116" t="s">
        <v>7698</v>
      </c>
      <c r="E697" s="116" t="s">
        <v>8409</v>
      </c>
      <c r="F697" s="528">
        <v>8</v>
      </c>
      <c r="G697" s="338" t="s">
        <v>592</v>
      </c>
    </row>
    <row r="698" spans="1:7" ht="15" customHeight="1">
      <c r="A698" s="134" t="s">
        <v>592</v>
      </c>
      <c r="B698" s="99" t="s">
        <v>51</v>
      </c>
      <c r="C698" s="133" t="s">
        <v>8569</v>
      </c>
      <c r="D698" s="116" t="s">
        <v>7698</v>
      </c>
      <c r="E698" s="116" t="s">
        <v>8559</v>
      </c>
      <c r="F698" s="528">
        <v>9.66</v>
      </c>
      <c r="G698" s="338" t="s">
        <v>592</v>
      </c>
    </row>
    <row r="699" spans="1:7" ht="15" customHeight="1">
      <c r="A699" s="134" t="s">
        <v>592</v>
      </c>
      <c r="B699" s="99" t="s">
        <v>51</v>
      </c>
      <c r="C699" s="133" t="s">
        <v>8570</v>
      </c>
      <c r="D699" s="116" t="s">
        <v>7698</v>
      </c>
      <c r="E699" s="116" t="s">
        <v>8561</v>
      </c>
      <c r="F699" s="528">
        <v>7.33</v>
      </c>
      <c r="G699" s="338" t="s">
        <v>592</v>
      </c>
    </row>
    <row r="700" spans="1:7" ht="15" customHeight="1">
      <c r="A700" s="134" t="s">
        <v>7607</v>
      </c>
      <c r="B700" s="133" t="s">
        <v>51</v>
      </c>
      <c r="C700" s="133" t="s">
        <v>8571</v>
      </c>
      <c r="D700" s="100" t="s">
        <v>7778</v>
      </c>
      <c r="E700" s="100" t="s">
        <v>8572</v>
      </c>
      <c r="F700" s="528">
        <v>16</v>
      </c>
      <c r="G700" s="338" t="s">
        <v>608</v>
      </c>
    </row>
    <row r="701" spans="1:7" ht="15" customHeight="1">
      <c r="A701" s="134" t="s">
        <v>7607</v>
      </c>
      <c r="B701" s="133" t="s">
        <v>51</v>
      </c>
      <c r="C701" s="133" t="s">
        <v>8573</v>
      </c>
      <c r="D701" s="100" t="s">
        <v>7778</v>
      </c>
      <c r="E701" s="100" t="s">
        <v>8574</v>
      </c>
      <c r="F701" s="528">
        <v>12.33</v>
      </c>
      <c r="G701" s="338" t="s">
        <v>608</v>
      </c>
    </row>
    <row r="702" spans="1:7" ht="15" customHeight="1">
      <c r="A702" s="134" t="s">
        <v>7607</v>
      </c>
      <c r="B702" s="133" t="s">
        <v>51</v>
      </c>
      <c r="C702" s="133" t="s">
        <v>8575</v>
      </c>
      <c r="D702" s="100" t="s">
        <v>7778</v>
      </c>
      <c r="E702" s="100" t="s">
        <v>8572</v>
      </c>
      <c r="F702" s="528">
        <v>16</v>
      </c>
      <c r="G702" s="338" t="s">
        <v>608</v>
      </c>
    </row>
    <row r="703" spans="1:7" ht="15" customHeight="1">
      <c r="A703" s="134" t="s">
        <v>7607</v>
      </c>
      <c r="B703" s="133" t="s">
        <v>51</v>
      </c>
      <c r="C703" s="133" t="s">
        <v>8576</v>
      </c>
      <c r="D703" s="100" t="s">
        <v>7778</v>
      </c>
      <c r="E703" s="100" t="s">
        <v>8574</v>
      </c>
      <c r="F703" s="528">
        <v>12.33</v>
      </c>
      <c r="G703" s="338" t="s">
        <v>608</v>
      </c>
    </row>
    <row r="704" spans="1:7" ht="15" customHeight="1">
      <c r="A704" s="134" t="s">
        <v>7607</v>
      </c>
      <c r="B704" s="133" t="s">
        <v>51</v>
      </c>
      <c r="C704" s="133" t="s">
        <v>8577</v>
      </c>
      <c r="D704" s="100" t="s">
        <v>7778</v>
      </c>
      <c r="E704" s="100" t="s">
        <v>8578</v>
      </c>
      <c r="F704" s="528">
        <v>4</v>
      </c>
      <c r="G704" s="338" t="s">
        <v>608</v>
      </c>
    </row>
    <row r="705" spans="1:7" ht="15" customHeight="1">
      <c r="A705" s="134" t="s">
        <v>7607</v>
      </c>
      <c r="B705" s="133" t="s">
        <v>51</v>
      </c>
      <c r="C705" s="133" t="s">
        <v>8579</v>
      </c>
      <c r="D705" s="100" t="s">
        <v>7778</v>
      </c>
      <c r="E705" s="100" t="s">
        <v>8578</v>
      </c>
      <c r="F705" s="528">
        <v>4</v>
      </c>
      <c r="G705" s="338" t="s">
        <v>608</v>
      </c>
    </row>
    <row r="706" spans="1:7" ht="15" customHeight="1">
      <c r="A706" s="134" t="s">
        <v>7607</v>
      </c>
      <c r="B706" s="133" t="s">
        <v>51</v>
      </c>
      <c r="C706" s="133" t="s">
        <v>8580</v>
      </c>
      <c r="D706" s="100" t="s">
        <v>7778</v>
      </c>
      <c r="E706" s="100" t="s">
        <v>8578</v>
      </c>
      <c r="F706" s="528">
        <v>4</v>
      </c>
      <c r="G706" s="338" t="s">
        <v>608</v>
      </c>
    </row>
    <row r="707" spans="1:7" ht="15" customHeight="1">
      <c r="A707" s="134" t="s">
        <v>7607</v>
      </c>
      <c r="B707" s="133" t="s">
        <v>51</v>
      </c>
      <c r="C707" s="133" t="s">
        <v>8581</v>
      </c>
      <c r="D707" s="100" t="s">
        <v>7778</v>
      </c>
      <c r="E707" s="100" t="s">
        <v>8578</v>
      </c>
      <c r="F707" s="528">
        <v>4</v>
      </c>
      <c r="G707" s="338" t="s">
        <v>608</v>
      </c>
    </row>
    <row r="708" spans="1:7" ht="15" customHeight="1">
      <c r="A708" s="134" t="s">
        <v>7148</v>
      </c>
      <c r="B708" s="133" t="s">
        <v>51</v>
      </c>
      <c r="C708" s="459" t="s">
        <v>8582</v>
      </c>
      <c r="D708" s="100" t="s">
        <v>7698</v>
      </c>
      <c r="E708" s="737" t="s">
        <v>8583</v>
      </c>
      <c r="F708" s="528">
        <f>14/3</f>
        <v>4.666666666666667</v>
      </c>
      <c r="G708" s="338" t="s">
        <v>2783</v>
      </c>
    </row>
    <row r="709" spans="1:7" ht="15" customHeight="1">
      <c r="A709" s="134" t="s">
        <v>7148</v>
      </c>
      <c r="B709" s="133" t="s">
        <v>51</v>
      </c>
      <c r="C709" s="459" t="s">
        <v>8584</v>
      </c>
      <c r="D709" s="100" t="s">
        <v>7698</v>
      </c>
      <c r="E709" s="737" t="s">
        <v>8585</v>
      </c>
      <c r="F709" s="528">
        <f>11/3</f>
        <v>3.6666666666666665</v>
      </c>
      <c r="G709" s="338" t="s">
        <v>2783</v>
      </c>
    </row>
    <row r="710" spans="1:7" ht="15" customHeight="1">
      <c r="A710" s="134" t="s">
        <v>7148</v>
      </c>
      <c r="B710" s="133" t="s">
        <v>51</v>
      </c>
      <c r="C710" s="459" t="s">
        <v>8586</v>
      </c>
      <c r="D710" s="100" t="s">
        <v>7698</v>
      </c>
      <c r="E710" s="737" t="s">
        <v>8587</v>
      </c>
      <c r="F710" s="528">
        <f>21/3</f>
        <v>7</v>
      </c>
      <c r="G710" s="338" t="s">
        <v>2783</v>
      </c>
    </row>
    <row r="711" spans="1:7" ht="15" customHeight="1">
      <c r="A711" s="134" t="s">
        <v>7148</v>
      </c>
      <c r="B711" s="133" t="s">
        <v>51</v>
      </c>
      <c r="C711" s="459" t="s">
        <v>8588</v>
      </c>
      <c r="D711" s="116" t="s">
        <v>8056</v>
      </c>
      <c r="E711" s="737" t="s">
        <v>8589</v>
      </c>
      <c r="F711" s="528">
        <f>(57/3)*0.5</f>
        <v>9.5</v>
      </c>
      <c r="G711" s="338" t="s">
        <v>2783</v>
      </c>
    </row>
    <row r="712" spans="1:7" ht="15" customHeight="1">
      <c r="A712" s="134" t="s">
        <v>7148</v>
      </c>
      <c r="B712" s="133" t="s">
        <v>51</v>
      </c>
      <c r="C712" s="459" t="s">
        <v>8590</v>
      </c>
      <c r="D712" s="116" t="s">
        <v>8056</v>
      </c>
      <c r="E712" s="737" t="s">
        <v>8591</v>
      </c>
      <c r="F712" s="528">
        <f>(20/3)*0.5</f>
        <v>3.3333333333333335</v>
      </c>
      <c r="G712" s="338" t="s">
        <v>2783</v>
      </c>
    </row>
    <row r="713" spans="1:7" ht="15" customHeight="1">
      <c r="A713" s="134" t="s">
        <v>7148</v>
      </c>
      <c r="B713" s="133" t="s">
        <v>51</v>
      </c>
      <c r="C713" s="459" t="s">
        <v>8592</v>
      </c>
      <c r="D713" s="116" t="s">
        <v>8056</v>
      </c>
      <c r="E713" s="737" t="s">
        <v>8593</v>
      </c>
      <c r="F713" s="528">
        <f>(41/3)*0.5</f>
        <v>6.833333333333333</v>
      </c>
      <c r="G713" s="338" t="s">
        <v>2783</v>
      </c>
    </row>
    <row r="714" spans="1:7" ht="15" customHeight="1">
      <c r="A714" s="134" t="s">
        <v>7148</v>
      </c>
      <c r="B714" s="133" t="s">
        <v>51</v>
      </c>
      <c r="C714" s="459" t="s">
        <v>8594</v>
      </c>
      <c r="D714" s="116" t="s">
        <v>8056</v>
      </c>
      <c r="E714" s="737" t="s">
        <v>8595</v>
      </c>
      <c r="F714" s="528">
        <f>(36/3)*0.5</f>
        <v>6</v>
      </c>
      <c r="G714" s="338" t="s">
        <v>2783</v>
      </c>
    </row>
    <row r="715" spans="1:7" ht="15" customHeight="1">
      <c r="A715" s="134" t="s">
        <v>7148</v>
      </c>
      <c r="B715" s="133" t="s">
        <v>51</v>
      </c>
      <c r="C715" s="459" t="s">
        <v>8596</v>
      </c>
      <c r="D715" s="116" t="s">
        <v>8056</v>
      </c>
      <c r="E715" s="737" t="s">
        <v>8597</v>
      </c>
      <c r="F715" s="528">
        <f>(33/3)*0.5</f>
        <v>5.5</v>
      </c>
      <c r="G715" s="338" t="s">
        <v>2783</v>
      </c>
    </row>
    <row r="716" spans="1:7" ht="15" customHeight="1">
      <c r="A716" s="134" t="s">
        <v>7148</v>
      </c>
      <c r="B716" s="133" t="s">
        <v>51</v>
      </c>
      <c r="C716" s="459" t="s">
        <v>8598</v>
      </c>
      <c r="D716" s="116" t="s">
        <v>8056</v>
      </c>
      <c r="E716" s="737" t="s">
        <v>8599</v>
      </c>
      <c r="F716" s="528">
        <f>(25/3)*0.5</f>
        <v>4.166666666666667</v>
      </c>
      <c r="G716" s="338" t="s">
        <v>2783</v>
      </c>
    </row>
    <row r="717" spans="1:7" ht="15" customHeight="1">
      <c r="A717" s="134" t="s">
        <v>7148</v>
      </c>
      <c r="B717" s="133" t="s">
        <v>51</v>
      </c>
      <c r="C717" s="459" t="s">
        <v>8586</v>
      </c>
      <c r="D717" s="116" t="s">
        <v>8056</v>
      </c>
      <c r="E717" s="737" t="s">
        <v>8600</v>
      </c>
      <c r="F717" s="528">
        <f>21/3*0.5</f>
        <v>3.5</v>
      </c>
      <c r="G717" s="338" t="s">
        <v>2783</v>
      </c>
    </row>
    <row r="718" spans="1:7" ht="15" customHeight="1">
      <c r="A718" s="134" t="s">
        <v>7148</v>
      </c>
      <c r="B718" s="133" t="s">
        <v>51</v>
      </c>
      <c r="C718" s="459" t="s">
        <v>8306</v>
      </c>
      <c r="D718" s="116" t="s">
        <v>8056</v>
      </c>
      <c r="E718" s="737" t="s">
        <v>8601</v>
      </c>
      <c r="F718" s="528">
        <f>23/3*0.5</f>
        <v>3.8333333333333335</v>
      </c>
      <c r="G718" s="338" t="s">
        <v>2783</v>
      </c>
    </row>
    <row r="719" spans="1:7" ht="15" customHeight="1">
      <c r="A719" s="134" t="s">
        <v>7148</v>
      </c>
      <c r="B719" s="133" t="s">
        <v>51</v>
      </c>
      <c r="C719" s="459" t="s">
        <v>8314</v>
      </c>
      <c r="D719" s="141" t="s">
        <v>8315</v>
      </c>
      <c r="E719" s="737" t="s">
        <v>8602</v>
      </c>
      <c r="F719" s="528">
        <f>(14/3)*2</f>
        <v>9.3333333333333339</v>
      </c>
      <c r="G719" s="338" t="s">
        <v>2783</v>
      </c>
    </row>
    <row r="720" spans="1:7" ht="15" customHeight="1">
      <c r="A720" s="134" t="s">
        <v>7148</v>
      </c>
      <c r="B720" s="133" t="s">
        <v>51</v>
      </c>
      <c r="C720" s="459" t="s">
        <v>8603</v>
      </c>
      <c r="D720" s="141" t="s">
        <v>8604</v>
      </c>
      <c r="E720" s="737" t="s">
        <v>8605</v>
      </c>
      <c r="F720" s="528">
        <f>(13/3)*2</f>
        <v>8.6666666666666661</v>
      </c>
      <c r="G720" s="338" t="s">
        <v>2783</v>
      </c>
    </row>
    <row r="721" spans="1:26" ht="15" customHeight="1">
      <c r="A721" s="134" t="s">
        <v>7148</v>
      </c>
      <c r="B721" s="133" t="s">
        <v>51</v>
      </c>
      <c r="C721" s="459" t="s">
        <v>8606</v>
      </c>
      <c r="D721" s="141" t="s">
        <v>8607</v>
      </c>
      <c r="E721" s="737" t="s">
        <v>8608</v>
      </c>
      <c r="F721" s="528">
        <f t="shared" ref="F721:F722" si="107">20/3*2</f>
        <v>13.333333333333334</v>
      </c>
      <c r="G721" s="338" t="s">
        <v>2783</v>
      </c>
    </row>
    <row r="722" spans="1:26" ht="15" customHeight="1">
      <c r="A722" s="134" t="s">
        <v>7148</v>
      </c>
      <c r="B722" s="133" t="s">
        <v>51</v>
      </c>
      <c r="C722" s="459" t="s">
        <v>8609</v>
      </c>
      <c r="D722" s="141" t="s">
        <v>8610</v>
      </c>
      <c r="E722" s="737" t="s">
        <v>8608</v>
      </c>
      <c r="F722" s="528">
        <f t="shared" si="107"/>
        <v>13.333333333333334</v>
      </c>
      <c r="G722" s="338" t="s">
        <v>2783</v>
      </c>
    </row>
    <row r="723" spans="1:26" ht="15" customHeight="1">
      <c r="A723" s="134" t="s">
        <v>7148</v>
      </c>
      <c r="B723" s="133" t="s">
        <v>51</v>
      </c>
      <c r="C723" s="459" t="s">
        <v>8611</v>
      </c>
      <c r="D723" s="141" t="s">
        <v>8610</v>
      </c>
      <c r="E723" s="737" t="s">
        <v>8612</v>
      </c>
      <c r="F723" s="528">
        <f>19/3*2</f>
        <v>12.666666666666666</v>
      </c>
      <c r="G723" s="338" t="s">
        <v>2783</v>
      </c>
    </row>
    <row r="724" spans="1:26" ht="15" customHeight="1">
      <c r="A724" s="134" t="s">
        <v>7148</v>
      </c>
      <c r="B724" s="133" t="s">
        <v>51</v>
      </c>
      <c r="C724" s="459" t="s">
        <v>8613</v>
      </c>
      <c r="D724" s="141" t="s">
        <v>8614</v>
      </c>
      <c r="E724" s="737" t="s">
        <v>8615</v>
      </c>
      <c r="F724" s="528">
        <f>(45/3 )*2</f>
        <v>30</v>
      </c>
      <c r="G724" s="338" t="s">
        <v>2783</v>
      </c>
    </row>
    <row r="725" spans="1:26" ht="15" customHeight="1">
      <c r="A725" s="134" t="s">
        <v>7148</v>
      </c>
      <c r="B725" s="133" t="s">
        <v>51</v>
      </c>
      <c r="C725" s="459" t="s">
        <v>8616</v>
      </c>
      <c r="D725" s="141" t="s">
        <v>8617</v>
      </c>
      <c r="E725" s="737" t="s">
        <v>8618</v>
      </c>
      <c r="F725" s="528">
        <f>(26/3)*2</f>
        <v>17.333333333333332</v>
      </c>
      <c r="G725" s="338" t="s">
        <v>2783</v>
      </c>
    </row>
    <row r="726" spans="1:26" ht="15" customHeight="1">
      <c r="A726" s="134" t="s">
        <v>7148</v>
      </c>
      <c r="B726" s="133" t="s">
        <v>51</v>
      </c>
      <c r="C726" s="459" t="s">
        <v>8619</v>
      </c>
      <c r="D726" s="141" t="s">
        <v>8620</v>
      </c>
      <c r="E726" s="737" t="s">
        <v>8621</v>
      </c>
      <c r="F726" s="528">
        <f>(29/3)*2</f>
        <v>19.333333333333332</v>
      </c>
      <c r="G726" s="338" t="s">
        <v>2783</v>
      </c>
    </row>
    <row r="727" spans="1:26" ht="15" customHeight="1">
      <c r="A727" s="134" t="s">
        <v>7148</v>
      </c>
      <c r="B727" s="133" t="s">
        <v>51</v>
      </c>
      <c r="C727" s="1143" t="s">
        <v>8622</v>
      </c>
      <c r="D727" s="1144" t="s">
        <v>8623</v>
      </c>
      <c r="E727" s="1145" t="s">
        <v>8624</v>
      </c>
      <c r="F727" s="1146">
        <f>(57/3)*2</f>
        <v>38</v>
      </c>
      <c r="G727" s="338" t="s">
        <v>2783</v>
      </c>
    </row>
    <row r="728" spans="1:26" ht="15" customHeight="1">
      <c r="A728" s="134" t="s">
        <v>7148</v>
      </c>
      <c r="B728" s="133" t="s">
        <v>51</v>
      </c>
      <c r="C728" s="1143" t="s">
        <v>8625</v>
      </c>
      <c r="D728" s="1144" t="s">
        <v>8623</v>
      </c>
      <c r="E728" s="1145" t="s">
        <v>8626</v>
      </c>
      <c r="F728" s="1146">
        <f>(90/3)*2</f>
        <v>60</v>
      </c>
      <c r="G728" s="338" t="s">
        <v>2783</v>
      </c>
    </row>
    <row r="729" spans="1:26" ht="15" customHeight="1">
      <c r="A729" s="134" t="s">
        <v>7148</v>
      </c>
      <c r="B729" s="133" t="s">
        <v>51</v>
      </c>
      <c r="C729" s="459" t="s">
        <v>8627</v>
      </c>
      <c r="D729" s="141" t="s">
        <v>8628</v>
      </c>
      <c r="E729" s="737" t="s">
        <v>8629</v>
      </c>
      <c r="F729" s="528">
        <f>(30/3)*2</f>
        <v>20</v>
      </c>
      <c r="G729" s="338" t="s">
        <v>2783</v>
      </c>
    </row>
    <row r="730" spans="1:26" ht="15.75" customHeight="1">
      <c r="A730" s="134" t="s">
        <v>7401</v>
      </c>
      <c r="B730" s="133" t="s">
        <v>141</v>
      </c>
      <c r="C730" s="133" t="s">
        <v>8630</v>
      </c>
      <c r="D730" s="100" t="s">
        <v>7698</v>
      </c>
      <c r="E730" s="100" t="s">
        <v>8631</v>
      </c>
      <c r="F730" s="528">
        <v>207</v>
      </c>
      <c r="G730" s="216" t="s">
        <v>7401</v>
      </c>
      <c r="H730" s="216"/>
      <c r="I730" s="216"/>
      <c r="J730" s="216"/>
      <c r="K730" s="216"/>
      <c r="L730" s="216"/>
      <c r="M730" s="216"/>
      <c r="N730" s="216"/>
      <c r="O730" s="216"/>
      <c r="P730" s="216"/>
      <c r="Q730" s="216"/>
      <c r="R730" s="216"/>
      <c r="S730" s="216"/>
      <c r="T730" s="216"/>
      <c r="U730" s="216"/>
      <c r="V730" s="216"/>
      <c r="W730" s="216"/>
      <c r="X730" s="216"/>
      <c r="Y730" s="216"/>
      <c r="Z730" s="216"/>
    </row>
    <row r="731" spans="1:26" ht="15.75" customHeight="1">
      <c r="A731" s="134" t="s">
        <v>7401</v>
      </c>
      <c r="B731" s="133" t="s">
        <v>141</v>
      </c>
      <c r="C731" s="133" t="s">
        <v>8632</v>
      </c>
      <c r="D731" s="100" t="s">
        <v>7698</v>
      </c>
      <c r="E731" s="100" t="s">
        <v>8633</v>
      </c>
      <c r="F731" s="528">
        <v>17.329999999999998</v>
      </c>
      <c r="G731" s="216" t="s">
        <v>7401</v>
      </c>
      <c r="H731" s="216"/>
      <c r="I731" s="216"/>
      <c r="J731" s="216"/>
      <c r="K731" s="216"/>
      <c r="L731" s="216"/>
      <c r="M731" s="216"/>
      <c r="N731" s="216"/>
      <c r="O731" s="216"/>
      <c r="P731" s="216"/>
      <c r="Q731" s="216"/>
      <c r="R731" s="216"/>
      <c r="S731" s="216"/>
      <c r="T731" s="216"/>
      <c r="U731" s="216"/>
      <c r="V731" s="216"/>
      <c r="W731" s="216"/>
      <c r="X731" s="216"/>
      <c r="Y731" s="216"/>
      <c r="Z731" s="216"/>
    </row>
    <row r="732" spans="1:26" ht="15.75" customHeight="1">
      <c r="A732" s="134" t="s">
        <v>730</v>
      </c>
      <c r="B732" s="108" t="s">
        <v>141</v>
      </c>
      <c r="C732" s="133" t="s">
        <v>8634</v>
      </c>
      <c r="D732" s="100" t="s">
        <v>7778</v>
      </c>
      <c r="E732" s="100" t="s">
        <v>8635</v>
      </c>
      <c r="F732" s="528">
        <v>44.6</v>
      </c>
      <c r="G732" s="216" t="str">
        <f t="shared" ref="G732:G737" si="108">A732</f>
        <v>Bogdan Mihai</v>
      </c>
      <c r="H732" s="216"/>
      <c r="I732" s="216"/>
      <c r="J732" s="216"/>
      <c r="K732" s="216"/>
      <c r="L732" s="216"/>
      <c r="M732" s="216"/>
      <c r="N732" s="216"/>
      <c r="O732" s="216"/>
      <c r="P732" s="216"/>
      <c r="Q732" s="216"/>
      <c r="R732" s="216"/>
      <c r="S732" s="216"/>
      <c r="T732" s="216"/>
      <c r="U732" s="216"/>
      <c r="V732" s="216"/>
      <c r="W732" s="216"/>
      <c r="X732" s="216"/>
      <c r="Y732" s="216"/>
      <c r="Z732" s="216"/>
    </row>
    <row r="733" spans="1:26" ht="15.75" customHeight="1">
      <c r="A733" s="134" t="s">
        <v>730</v>
      </c>
      <c r="B733" s="108" t="s">
        <v>141</v>
      </c>
      <c r="C733" s="133" t="s">
        <v>8636</v>
      </c>
      <c r="D733" s="100" t="s">
        <v>7778</v>
      </c>
      <c r="E733" s="100" t="s">
        <v>8637</v>
      </c>
      <c r="F733" s="528">
        <v>17</v>
      </c>
      <c r="G733" s="216" t="str">
        <f t="shared" si="108"/>
        <v>Bogdan Mihai</v>
      </c>
      <c r="H733" s="216"/>
      <c r="I733" s="216"/>
      <c r="J733" s="216"/>
      <c r="K733" s="216"/>
      <c r="L733" s="216"/>
      <c r="M733" s="216"/>
      <c r="N733" s="216"/>
      <c r="O733" s="216"/>
      <c r="P733" s="216"/>
      <c r="Q733" s="216"/>
      <c r="R733" s="216"/>
      <c r="S733" s="216"/>
      <c r="T733" s="216"/>
      <c r="U733" s="216"/>
      <c r="V733" s="216"/>
      <c r="W733" s="216"/>
      <c r="X733" s="216"/>
      <c r="Y733" s="216"/>
      <c r="Z733" s="216"/>
    </row>
    <row r="734" spans="1:26" ht="15.75" customHeight="1">
      <c r="A734" s="134" t="s">
        <v>730</v>
      </c>
      <c r="B734" s="108" t="s">
        <v>141</v>
      </c>
      <c r="C734" s="133" t="s">
        <v>8638</v>
      </c>
      <c r="D734" s="100" t="s">
        <v>7778</v>
      </c>
      <c r="E734" s="100" t="s">
        <v>8639</v>
      </c>
      <c r="F734" s="528">
        <v>48.6</v>
      </c>
      <c r="G734" s="216" t="str">
        <f t="shared" si="108"/>
        <v>Bogdan Mihai</v>
      </c>
      <c r="H734" s="216"/>
      <c r="I734" s="216"/>
      <c r="J734" s="216"/>
      <c r="K734" s="216"/>
      <c r="L734" s="216"/>
      <c r="M734" s="216"/>
      <c r="N734" s="216"/>
      <c r="O734" s="216"/>
      <c r="P734" s="216"/>
      <c r="Q734" s="216"/>
      <c r="R734" s="216"/>
      <c r="S734" s="216"/>
      <c r="T734" s="216"/>
      <c r="U734" s="216"/>
      <c r="V734" s="216"/>
      <c r="W734" s="216"/>
      <c r="X734" s="216"/>
      <c r="Y734" s="216"/>
      <c r="Z734" s="216"/>
    </row>
    <row r="735" spans="1:26" ht="15.75" customHeight="1">
      <c r="A735" s="134" t="s">
        <v>730</v>
      </c>
      <c r="B735" s="108" t="s">
        <v>141</v>
      </c>
      <c r="C735" s="133" t="s">
        <v>8640</v>
      </c>
      <c r="D735" s="100" t="s">
        <v>7778</v>
      </c>
      <c r="E735" s="100" t="s">
        <v>8641</v>
      </c>
      <c r="F735" s="528">
        <v>36</v>
      </c>
      <c r="G735" s="216" t="str">
        <f t="shared" si="108"/>
        <v>Bogdan Mihai</v>
      </c>
      <c r="H735" s="216"/>
      <c r="I735" s="216"/>
      <c r="J735" s="216"/>
      <c r="K735" s="216"/>
      <c r="L735" s="216"/>
      <c r="M735" s="216"/>
      <c r="N735" s="216"/>
      <c r="O735" s="216"/>
      <c r="P735" s="216"/>
      <c r="Q735" s="216"/>
      <c r="R735" s="216"/>
      <c r="S735" s="216"/>
      <c r="T735" s="216"/>
      <c r="U735" s="216"/>
      <c r="V735" s="216"/>
      <c r="W735" s="216"/>
      <c r="X735" s="216"/>
      <c r="Y735" s="216"/>
      <c r="Z735" s="216"/>
    </row>
    <row r="736" spans="1:26" ht="15.75" customHeight="1">
      <c r="A736" s="134" t="s">
        <v>730</v>
      </c>
      <c r="B736" s="108" t="s">
        <v>141</v>
      </c>
      <c r="C736" s="133" t="s">
        <v>8642</v>
      </c>
      <c r="D736" s="100" t="s">
        <v>7778</v>
      </c>
      <c r="E736" s="100" t="s">
        <v>8643</v>
      </c>
      <c r="F736" s="528">
        <v>16</v>
      </c>
      <c r="G736" s="216" t="str">
        <f t="shared" si="108"/>
        <v>Bogdan Mihai</v>
      </c>
      <c r="H736" s="216"/>
      <c r="I736" s="216"/>
      <c r="J736" s="216"/>
      <c r="K736" s="216"/>
      <c r="L736" s="216"/>
      <c r="M736" s="216"/>
      <c r="N736" s="216"/>
      <c r="O736" s="216"/>
      <c r="P736" s="216"/>
      <c r="Q736" s="216"/>
      <c r="R736" s="216"/>
      <c r="S736" s="216"/>
      <c r="T736" s="216"/>
      <c r="U736" s="216"/>
      <c r="V736" s="216"/>
      <c r="W736" s="216"/>
      <c r="X736" s="216"/>
      <c r="Y736" s="216"/>
      <c r="Z736" s="216"/>
    </row>
    <row r="737" spans="1:26" ht="15.75" customHeight="1">
      <c r="A737" s="134" t="s">
        <v>730</v>
      </c>
      <c r="B737" s="108" t="s">
        <v>141</v>
      </c>
      <c r="C737" s="133" t="s">
        <v>8644</v>
      </c>
      <c r="D737" s="100" t="s">
        <v>8645</v>
      </c>
      <c r="E737" s="100" t="s">
        <v>8646</v>
      </c>
      <c r="F737" s="528">
        <f>(30/3)*2</f>
        <v>20</v>
      </c>
      <c r="G737" s="216" t="str">
        <f t="shared" si="108"/>
        <v>Bogdan Mihai</v>
      </c>
      <c r="H737" s="216"/>
      <c r="I737" s="216"/>
      <c r="J737" s="216"/>
      <c r="K737" s="216"/>
      <c r="L737" s="216"/>
      <c r="M737" s="216"/>
      <c r="N737" s="216"/>
      <c r="O737" s="216"/>
      <c r="P737" s="216"/>
      <c r="Q737" s="216"/>
      <c r="R737" s="216"/>
      <c r="S737" s="216"/>
      <c r="T737" s="216"/>
      <c r="U737" s="216"/>
      <c r="V737" s="216"/>
      <c r="W737" s="216"/>
      <c r="X737" s="216"/>
      <c r="Y737" s="216"/>
      <c r="Z737" s="216"/>
    </row>
    <row r="738" spans="1:26" ht="15.75" customHeight="1">
      <c r="A738" s="1261" t="s">
        <v>2825</v>
      </c>
      <c r="B738" s="1263" t="s">
        <v>141</v>
      </c>
      <c r="C738" s="133" t="s">
        <v>8647</v>
      </c>
      <c r="D738" s="116" t="s">
        <v>7698</v>
      </c>
      <c r="E738" s="116" t="s">
        <v>8648</v>
      </c>
      <c r="F738" s="528">
        <v>13.95</v>
      </c>
      <c r="G738" s="216" t="s">
        <v>2825</v>
      </c>
      <c r="H738" s="216"/>
      <c r="I738" s="216"/>
      <c r="J738" s="216"/>
      <c r="K738" s="216"/>
      <c r="L738" s="216"/>
      <c r="M738" s="216"/>
      <c r="N738" s="216"/>
      <c r="O738" s="216"/>
      <c r="P738" s="216"/>
      <c r="Q738" s="216"/>
      <c r="R738" s="216"/>
      <c r="S738" s="216"/>
      <c r="T738" s="216"/>
      <c r="U738" s="216"/>
      <c r="V738" s="216"/>
      <c r="W738" s="216"/>
      <c r="X738" s="216"/>
      <c r="Y738" s="216"/>
      <c r="Z738" s="216"/>
    </row>
    <row r="739" spans="1:26" ht="15.75" customHeight="1">
      <c r="A739" s="1262"/>
      <c r="B739" s="1262"/>
      <c r="C739" s="133" t="s">
        <v>8649</v>
      </c>
      <c r="D739" s="116" t="s">
        <v>7698</v>
      </c>
      <c r="E739" s="116" t="s">
        <v>8650</v>
      </c>
      <c r="F739" s="528">
        <v>10.33</v>
      </c>
      <c r="G739" s="216" t="s">
        <v>2825</v>
      </c>
      <c r="H739" s="216"/>
      <c r="I739" s="216"/>
      <c r="J739" s="216"/>
      <c r="K739" s="216"/>
      <c r="L739" s="216"/>
      <c r="M739" s="216"/>
      <c r="N739" s="216"/>
      <c r="O739" s="216"/>
      <c r="P739" s="216"/>
      <c r="Q739" s="216"/>
      <c r="R739" s="216"/>
      <c r="S739" s="216"/>
      <c r="T739" s="216"/>
      <c r="U739" s="216"/>
      <c r="V739" s="216"/>
      <c r="W739" s="216"/>
      <c r="X739" s="216"/>
      <c r="Y739" s="216"/>
      <c r="Z739" s="216"/>
    </row>
    <row r="740" spans="1:26" ht="15.75" customHeight="1">
      <c r="A740" s="1262"/>
      <c r="B740" s="1262"/>
      <c r="C740" s="133" t="s">
        <v>8651</v>
      </c>
      <c r="D740" s="116" t="s">
        <v>7698</v>
      </c>
      <c r="E740" s="116" t="s">
        <v>8652</v>
      </c>
      <c r="F740" s="528">
        <v>9.33</v>
      </c>
      <c r="G740" s="216" t="s">
        <v>2825</v>
      </c>
      <c r="H740" s="216"/>
      <c r="I740" s="216"/>
      <c r="J740" s="216"/>
      <c r="K740" s="216"/>
      <c r="L740" s="216"/>
      <c r="M740" s="216"/>
      <c r="N740" s="216"/>
      <c r="O740" s="216"/>
      <c r="P740" s="216"/>
      <c r="Q740" s="216"/>
      <c r="R740" s="216"/>
      <c r="S740" s="216"/>
      <c r="T740" s="216"/>
      <c r="U740" s="216"/>
      <c r="V740" s="216"/>
      <c r="W740" s="216"/>
      <c r="X740" s="216"/>
      <c r="Y740" s="216"/>
      <c r="Z740" s="216"/>
    </row>
    <row r="741" spans="1:26" ht="15.75" customHeight="1">
      <c r="A741" s="1262"/>
      <c r="B741" s="1262"/>
      <c r="C741" s="133" t="s">
        <v>8653</v>
      </c>
      <c r="D741" s="116" t="s">
        <v>7698</v>
      </c>
      <c r="E741" s="116" t="s">
        <v>8654</v>
      </c>
      <c r="F741" s="528">
        <v>8.33</v>
      </c>
      <c r="G741" s="216" t="s">
        <v>2825</v>
      </c>
      <c r="H741" s="216"/>
      <c r="I741" s="216"/>
      <c r="J741" s="216"/>
      <c r="K741" s="216"/>
      <c r="L741" s="216"/>
      <c r="M741" s="216"/>
      <c r="N741" s="216"/>
      <c r="O741" s="216"/>
      <c r="P741" s="216"/>
      <c r="Q741" s="216"/>
      <c r="R741" s="216"/>
      <c r="S741" s="216"/>
      <c r="T741" s="216"/>
      <c r="U741" s="216"/>
      <c r="V741" s="216"/>
      <c r="W741" s="216"/>
      <c r="X741" s="216"/>
      <c r="Y741" s="216"/>
      <c r="Z741" s="216"/>
    </row>
    <row r="742" spans="1:26" ht="15.75" customHeight="1">
      <c r="A742" s="1262"/>
      <c r="B742" s="1262"/>
      <c r="C742" s="133" t="s">
        <v>8655</v>
      </c>
      <c r="D742" s="116" t="s">
        <v>7698</v>
      </c>
      <c r="E742" s="116" t="s">
        <v>8654</v>
      </c>
      <c r="F742" s="528">
        <v>8.33</v>
      </c>
      <c r="G742" s="216" t="s">
        <v>2825</v>
      </c>
      <c r="H742" s="216"/>
      <c r="I742" s="216"/>
      <c r="J742" s="216"/>
      <c r="K742" s="216"/>
      <c r="L742" s="216"/>
      <c r="M742" s="216"/>
      <c r="N742" s="216"/>
      <c r="O742" s="216"/>
      <c r="P742" s="216"/>
      <c r="Q742" s="216"/>
      <c r="R742" s="216"/>
      <c r="S742" s="216"/>
      <c r="T742" s="216"/>
      <c r="U742" s="216"/>
      <c r="V742" s="216"/>
      <c r="W742" s="216"/>
      <c r="X742" s="216"/>
      <c r="Y742" s="216"/>
      <c r="Z742" s="216"/>
    </row>
    <row r="743" spans="1:26" ht="15.75" customHeight="1">
      <c r="A743" s="1262"/>
      <c r="B743" s="1262"/>
      <c r="C743" s="133" t="s">
        <v>8656</v>
      </c>
      <c r="D743" s="116" t="s">
        <v>8657</v>
      </c>
      <c r="E743" s="116" t="s">
        <v>8658</v>
      </c>
      <c r="F743" s="528">
        <f>6.16</f>
        <v>6.16</v>
      </c>
      <c r="G743" s="216" t="s">
        <v>2825</v>
      </c>
      <c r="H743" s="216"/>
      <c r="I743" s="216"/>
      <c r="J743" s="216"/>
      <c r="K743" s="216"/>
      <c r="L743" s="216"/>
      <c r="M743" s="216"/>
      <c r="N743" s="216"/>
      <c r="O743" s="216"/>
      <c r="P743" s="216"/>
      <c r="Q743" s="216"/>
      <c r="R743" s="216"/>
      <c r="S743" s="216"/>
      <c r="T743" s="216"/>
      <c r="U743" s="216"/>
      <c r="V743" s="216"/>
      <c r="W743" s="216"/>
      <c r="X743" s="216"/>
      <c r="Y743" s="216"/>
      <c r="Z743" s="216"/>
    </row>
    <row r="744" spans="1:26" ht="15.75" customHeight="1">
      <c r="A744" s="1262"/>
      <c r="B744" s="1262"/>
      <c r="C744" s="133" t="s">
        <v>8659</v>
      </c>
      <c r="D744" s="116" t="s">
        <v>7698</v>
      </c>
      <c r="E744" s="116" t="s">
        <v>8660</v>
      </c>
      <c r="F744" s="528">
        <f>38.8/3</f>
        <v>12.933333333333332</v>
      </c>
      <c r="G744" s="216" t="s">
        <v>2825</v>
      </c>
      <c r="H744" s="216"/>
      <c r="I744" s="216"/>
      <c r="J744" s="216"/>
      <c r="K744" s="216"/>
      <c r="L744" s="216"/>
      <c r="M744" s="216"/>
      <c r="N744" s="216"/>
      <c r="O744" s="216"/>
      <c r="P744" s="216"/>
      <c r="Q744" s="216"/>
      <c r="R744" s="216"/>
      <c r="S744" s="216"/>
      <c r="T744" s="216"/>
      <c r="U744" s="216"/>
      <c r="V744" s="216"/>
      <c r="W744" s="216"/>
      <c r="X744" s="216"/>
      <c r="Y744" s="216"/>
      <c r="Z744" s="216"/>
    </row>
    <row r="745" spans="1:26" ht="15.75" customHeight="1">
      <c r="A745" s="1262"/>
      <c r="B745" s="1262"/>
      <c r="C745" s="133" t="s">
        <v>8661</v>
      </c>
      <c r="D745" s="116" t="s">
        <v>7698</v>
      </c>
      <c r="E745" s="116" t="s">
        <v>8662</v>
      </c>
      <c r="F745" s="528">
        <v>9.33</v>
      </c>
      <c r="G745" s="216" t="s">
        <v>2825</v>
      </c>
      <c r="H745" s="216"/>
      <c r="I745" s="216"/>
      <c r="J745" s="216"/>
      <c r="K745" s="216"/>
      <c r="L745" s="216"/>
      <c r="M745" s="216"/>
      <c r="N745" s="216"/>
      <c r="O745" s="216"/>
      <c r="P745" s="216"/>
      <c r="Q745" s="216"/>
      <c r="R745" s="216"/>
      <c r="S745" s="216"/>
      <c r="T745" s="216"/>
      <c r="U745" s="216"/>
      <c r="V745" s="216"/>
      <c r="W745" s="216"/>
      <c r="X745" s="216"/>
      <c r="Y745" s="216"/>
      <c r="Z745" s="216"/>
    </row>
    <row r="746" spans="1:26" ht="15.75" customHeight="1">
      <c r="A746" s="1262"/>
      <c r="B746" s="1262"/>
      <c r="C746" s="133" t="s">
        <v>8663</v>
      </c>
      <c r="D746" s="116" t="s">
        <v>7698</v>
      </c>
      <c r="E746" s="116" t="s">
        <v>8662</v>
      </c>
      <c r="F746" s="528">
        <v>9.33</v>
      </c>
      <c r="G746" s="216" t="s">
        <v>2825</v>
      </c>
      <c r="H746" s="216"/>
      <c r="I746" s="216"/>
      <c r="J746" s="216"/>
      <c r="K746" s="216"/>
      <c r="L746" s="216"/>
      <c r="M746" s="216"/>
      <c r="N746" s="216"/>
      <c r="O746" s="216"/>
      <c r="P746" s="216"/>
      <c r="Q746" s="216"/>
      <c r="R746" s="216"/>
      <c r="S746" s="216"/>
      <c r="T746" s="216"/>
      <c r="U746" s="216"/>
      <c r="V746" s="216"/>
      <c r="W746" s="216"/>
      <c r="X746" s="216"/>
      <c r="Y746" s="216"/>
      <c r="Z746" s="216"/>
    </row>
    <row r="747" spans="1:26" ht="15.75" customHeight="1">
      <c r="A747" s="1262"/>
      <c r="B747" s="1262"/>
      <c r="C747" s="133" t="s">
        <v>8664</v>
      </c>
      <c r="D747" s="116" t="s">
        <v>8657</v>
      </c>
      <c r="E747" s="116" t="s">
        <v>8665</v>
      </c>
      <c r="F747" s="528">
        <v>4.67</v>
      </c>
      <c r="G747" s="216" t="s">
        <v>2825</v>
      </c>
      <c r="H747" s="216"/>
      <c r="I747" s="216"/>
      <c r="J747" s="216"/>
      <c r="K747" s="216"/>
      <c r="L747" s="216"/>
      <c r="M747" s="216"/>
      <c r="N747" s="216"/>
      <c r="O747" s="216"/>
      <c r="P747" s="216"/>
      <c r="Q747" s="216"/>
      <c r="R747" s="216"/>
      <c r="S747" s="216"/>
      <c r="T747" s="216"/>
      <c r="U747" s="216"/>
      <c r="V747" s="216"/>
      <c r="W747" s="216"/>
      <c r="X747" s="216"/>
      <c r="Y747" s="216"/>
      <c r="Z747" s="216"/>
    </row>
    <row r="748" spans="1:26" ht="15.75" customHeight="1">
      <c r="A748" s="1250"/>
      <c r="B748" s="1250"/>
      <c r="C748" s="133" t="s">
        <v>8666</v>
      </c>
      <c r="D748" s="116" t="s">
        <v>8657</v>
      </c>
      <c r="E748" s="116" t="s">
        <v>8667</v>
      </c>
      <c r="F748" s="528">
        <v>2.08</v>
      </c>
      <c r="G748" s="216" t="s">
        <v>2825</v>
      </c>
      <c r="H748" s="216"/>
      <c r="I748" s="216"/>
      <c r="J748" s="216"/>
      <c r="K748" s="216"/>
      <c r="L748" s="216"/>
      <c r="M748" s="216"/>
      <c r="N748" s="216"/>
      <c r="O748" s="216"/>
      <c r="P748" s="216"/>
      <c r="Q748" s="216"/>
      <c r="R748" s="216"/>
      <c r="S748" s="216"/>
      <c r="T748" s="216"/>
      <c r="U748" s="216"/>
      <c r="V748" s="216"/>
      <c r="W748" s="216"/>
      <c r="X748" s="216"/>
      <c r="Y748" s="216"/>
      <c r="Z748" s="216"/>
    </row>
    <row r="749" spans="1:26" ht="15.75" customHeight="1">
      <c r="A749" s="134" t="s">
        <v>2825</v>
      </c>
      <c r="B749" s="133" t="s">
        <v>141</v>
      </c>
      <c r="C749" s="133" t="s">
        <v>8668</v>
      </c>
      <c r="D749" s="116" t="s">
        <v>7698</v>
      </c>
      <c r="E749" s="116" t="s">
        <v>8669</v>
      </c>
      <c r="F749" s="528">
        <v>20.66</v>
      </c>
      <c r="G749" s="216" t="s">
        <v>2825</v>
      </c>
      <c r="H749" s="216"/>
      <c r="I749" s="216"/>
      <c r="J749" s="216"/>
      <c r="K749" s="216"/>
      <c r="L749" s="216"/>
      <c r="M749" s="216"/>
      <c r="N749" s="216"/>
      <c r="O749" s="216"/>
      <c r="P749" s="216"/>
      <c r="Q749" s="216"/>
      <c r="R749" s="216"/>
      <c r="S749" s="216"/>
      <c r="T749" s="216"/>
      <c r="U749" s="216"/>
      <c r="V749" s="216"/>
      <c r="W749" s="216"/>
      <c r="X749" s="216"/>
      <c r="Y749" s="216"/>
      <c r="Z749" s="216"/>
    </row>
    <row r="750" spans="1:26" ht="15.75" customHeight="1">
      <c r="A750" s="134" t="s">
        <v>7610</v>
      </c>
      <c r="B750" s="133" t="s">
        <v>141</v>
      </c>
      <c r="C750" s="275" t="s">
        <v>8670</v>
      </c>
      <c r="D750" s="116" t="s">
        <v>7778</v>
      </c>
      <c r="E750" s="768">
        <f>294/3*1.35+30/3</f>
        <v>142.30000000000001</v>
      </c>
      <c r="F750" s="528">
        <v>142.30000000000001</v>
      </c>
      <c r="G750" s="216" t="str">
        <f t="shared" ref="G750:G757" si="109">A750</f>
        <v xml:space="preserve">Brad Remus </v>
      </c>
      <c r="H750" s="216"/>
      <c r="I750" s="216"/>
      <c r="J750" s="216"/>
      <c r="K750" s="216"/>
      <c r="L750" s="216"/>
      <c r="M750" s="216"/>
      <c r="N750" s="216"/>
      <c r="O750" s="216"/>
      <c r="P750" s="216"/>
      <c r="Q750" s="216"/>
      <c r="R750" s="216"/>
      <c r="S750" s="216"/>
      <c r="T750" s="216"/>
      <c r="U750" s="216"/>
      <c r="V750" s="216"/>
      <c r="W750" s="216"/>
      <c r="X750" s="216"/>
      <c r="Y750" s="216"/>
      <c r="Z750" s="216"/>
    </row>
    <row r="751" spans="1:26" ht="15.75" customHeight="1">
      <c r="A751" s="134" t="s">
        <v>7610</v>
      </c>
      <c r="B751" s="133" t="s">
        <v>141</v>
      </c>
      <c r="C751" s="275" t="s">
        <v>8671</v>
      </c>
      <c r="D751" s="116" t="s">
        <v>7778</v>
      </c>
      <c r="E751" s="768">
        <f t="shared" ref="E751:F751" si="110">107/3*2</f>
        <v>71.333333333333329</v>
      </c>
      <c r="F751" s="528">
        <f t="shared" si="110"/>
        <v>71.333333333333329</v>
      </c>
      <c r="G751" s="216" t="str">
        <f t="shared" si="109"/>
        <v xml:space="preserve">Brad Remus </v>
      </c>
      <c r="H751" s="216"/>
      <c r="I751" s="216"/>
      <c r="J751" s="216"/>
      <c r="K751" s="216"/>
      <c r="L751" s="216"/>
      <c r="M751" s="216"/>
      <c r="N751" s="216"/>
      <c r="O751" s="216"/>
      <c r="P751" s="216"/>
      <c r="Q751" s="216"/>
      <c r="R751" s="216"/>
      <c r="S751" s="216"/>
      <c r="T751" s="216"/>
      <c r="U751" s="216"/>
      <c r="V751" s="216"/>
      <c r="W751" s="216"/>
      <c r="X751" s="216"/>
      <c r="Y751" s="216"/>
      <c r="Z751" s="216"/>
    </row>
    <row r="752" spans="1:26" ht="15.75" customHeight="1">
      <c r="A752" s="134" t="s">
        <v>7610</v>
      </c>
      <c r="B752" s="133" t="s">
        <v>141</v>
      </c>
      <c r="C752" s="275" t="s">
        <v>8672</v>
      </c>
      <c r="D752" s="116" t="s">
        <v>7778</v>
      </c>
      <c r="E752" s="768">
        <f t="shared" ref="E752:F752" si="111">4/3*3</f>
        <v>4</v>
      </c>
      <c r="F752" s="528">
        <f t="shared" si="111"/>
        <v>4</v>
      </c>
      <c r="G752" s="216" t="str">
        <f t="shared" si="109"/>
        <v xml:space="preserve">Brad Remus </v>
      </c>
      <c r="H752" s="216"/>
      <c r="I752" s="216"/>
      <c r="J752" s="216"/>
      <c r="K752" s="216"/>
      <c r="L752" s="216"/>
      <c r="M752" s="216"/>
      <c r="N752" s="216"/>
      <c r="O752" s="216"/>
      <c r="P752" s="216"/>
      <c r="Q752" s="216"/>
      <c r="R752" s="216"/>
      <c r="S752" s="216"/>
      <c r="T752" s="216"/>
      <c r="U752" s="216"/>
      <c r="V752" s="216"/>
      <c r="W752" s="216"/>
      <c r="X752" s="216"/>
      <c r="Y752" s="216"/>
      <c r="Z752" s="216"/>
    </row>
    <row r="753" spans="1:26" ht="15.75" customHeight="1">
      <c r="A753" s="134" t="s">
        <v>7610</v>
      </c>
      <c r="B753" s="133" t="s">
        <v>141</v>
      </c>
      <c r="C753" s="1147" t="s">
        <v>8673</v>
      </c>
      <c r="D753" s="116" t="s">
        <v>7778</v>
      </c>
      <c r="E753" s="1082">
        <f>101/3*2</f>
        <v>67.333333333333329</v>
      </c>
      <c r="F753" s="483">
        <v>67.33</v>
      </c>
      <c r="G753" s="216" t="str">
        <f t="shared" si="109"/>
        <v xml:space="preserve">Brad Remus </v>
      </c>
      <c r="H753" s="216"/>
      <c r="I753" s="216"/>
      <c r="J753" s="216"/>
      <c r="K753" s="216"/>
      <c r="L753" s="216"/>
      <c r="M753" s="216"/>
      <c r="N753" s="216"/>
      <c r="O753" s="216"/>
      <c r="P753" s="216"/>
      <c r="Q753" s="216"/>
      <c r="R753" s="216"/>
      <c r="S753" s="216"/>
      <c r="T753" s="216"/>
      <c r="U753" s="216"/>
      <c r="V753" s="216"/>
      <c r="W753" s="216"/>
      <c r="X753" s="216"/>
      <c r="Y753" s="216"/>
      <c r="Z753" s="216"/>
    </row>
    <row r="754" spans="1:26" ht="15.75" customHeight="1">
      <c r="A754" s="134" t="s">
        <v>7610</v>
      </c>
      <c r="B754" s="133" t="s">
        <v>141</v>
      </c>
      <c r="C754" s="413" t="s">
        <v>8674</v>
      </c>
      <c r="D754" s="116" t="s">
        <v>7778</v>
      </c>
      <c r="E754" s="1082">
        <f>2/3*3</f>
        <v>2</v>
      </c>
      <c r="F754" s="483">
        <v>2</v>
      </c>
      <c r="G754" s="216" t="str">
        <f t="shared" si="109"/>
        <v xml:space="preserve">Brad Remus </v>
      </c>
      <c r="H754" s="216"/>
      <c r="I754" s="216"/>
      <c r="J754" s="216"/>
      <c r="K754" s="216"/>
      <c r="L754" s="216"/>
      <c r="M754" s="216"/>
      <c r="N754" s="216"/>
      <c r="O754" s="216"/>
      <c r="P754" s="216"/>
      <c r="Q754" s="216"/>
      <c r="R754" s="216"/>
      <c r="S754" s="216"/>
      <c r="T754" s="216"/>
      <c r="U754" s="216"/>
      <c r="V754" s="216"/>
      <c r="W754" s="216"/>
      <c r="X754" s="216"/>
      <c r="Y754" s="216"/>
      <c r="Z754" s="216"/>
    </row>
    <row r="755" spans="1:26" ht="15.75" customHeight="1">
      <c r="A755" s="134" t="s">
        <v>2962</v>
      </c>
      <c r="B755" s="133" t="s">
        <v>141</v>
      </c>
      <c r="C755" s="133" t="s">
        <v>8675</v>
      </c>
      <c r="D755" s="100" t="s">
        <v>7698</v>
      </c>
      <c r="E755" s="100" t="s">
        <v>8676</v>
      </c>
      <c r="F755" s="528">
        <v>148.94999999999999</v>
      </c>
      <c r="G755" s="216" t="str">
        <f t="shared" si="109"/>
        <v>Breazu Macarie</v>
      </c>
      <c r="H755" s="216"/>
      <c r="I755" s="216"/>
      <c r="J755" s="216"/>
      <c r="K755" s="216"/>
      <c r="L755" s="216"/>
      <c r="M755" s="216"/>
      <c r="N755" s="216"/>
      <c r="O755" s="216"/>
      <c r="P755" s="216"/>
      <c r="Q755" s="216"/>
      <c r="R755" s="216"/>
      <c r="S755" s="216"/>
      <c r="T755" s="216"/>
      <c r="U755" s="216"/>
      <c r="V755" s="216"/>
      <c r="W755" s="216"/>
      <c r="X755" s="216"/>
      <c r="Y755" s="216"/>
      <c r="Z755" s="216"/>
    </row>
    <row r="756" spans="1:26" ht="15.75" customHeight="1">
      <c r="A756" s="134" t="s">
        <v>2962</v>
      </c>
      <c r="B756" s="133" t="s">
        <v>141</v>
      </c>
      <c r="C756" s="133" t="s">
        <v>8677</v>
      </c>
      <c r="D756" s="100" t="s">
        <v>7698</v>
      </c>
      <c r="E756" s="100" t="s">
        <v>8678</v>
      </c>
      <c r="F756" s="528">
        <v>92</v>
      </c>
      <c r="G756" s="216" t="str">
        <f t="shared" si="109"/>
        <v>Breazu Macarie</v>
      </c>
      <c r="H756" s="216"/>
      <c r="I756" s="216"/>
      <c r="J756" s="216"/>
      <c r="K756" s="216"/>
      <c r="L756" s="216"/>
      <c r="M756" s="216"/>
      <c r="N756" s="216"/>
      <c r="O756" s="216"/>
      <c r="P756" s="216"/>
      <c r="Q756" s="216"/>
      <c r="R756" s="216"/>
      <c r="S756" s="216"/>
      <c r="T756" s="216"/>
      <c r="U756" s="216"/>
      <c r="V756" s="216"/>
      <c r="W756" s="216"/>
      <c r="X756" s="216"/>
      <c r="Y756" s="216"/>
      <c r="Z756" s="216"/>
    </row>
    <row r="757" spans="1:26" ht="15.75" customHeight="1">
      <c r="A757" s="134" t="s">
        <v>2962</v>
      </c>
      <c r="B757" s="133" t="s">
        <v>141</v>
      </c>
      <c r="C757" s="133" t="s">
        <v>8679</v>
      </c>
      <c r="D757" s="100" t="s">
        <v>7698</v>
      </c>
      <c r="E757" s="100" t="s">
        <v>8680</v>
      </c>
      <c r="F757" s="528">
        <v>4</v>
      </c>
      <c r="G757" s="216" t="str">
        <f t="shared" si="109"/>
        <v>Breazu Macarie</v>
      </c>
      <c r="H757" s="216"/>
      <c r="I757" s="216"/>
      <c r="J757" s="216"/>
      <c r="K757" s="216"/>
      <c r="L757" s="216"/>
      <c r="M757" s="216"/>
      <c r="N757" s="216"/>
      <c r="O757" s="216"/>
      <c r="P757" s="216"/>
      <c r="Q757" s="216"/>
      <c r="R757" s="216"/>
      <c r="S757" s="216"/>
      <c r="T757" s="216"/>
      <c r="U757" s="216"/>
      <c r="V757" s="216"/>
      <c r="W757" s="216"/>
      <c r="X757" s="216"/>
      <c r="Y757" s="216"/>
      <c r="Z757" s="216"/>
    </row>
    <row r="758" spans="1:26" ht="15.75" customHeight="1">
      <c r="A758" s="438" t="s">
        <v>7169</v>
      </c>
      <c r="B758" s="138" t="s">
        <v>8681</v>
      </c>
      <c r="C758" s="138" t="s">
        <v>8682</v>
      </c>
      <c r="D758" s="229" t="s">
        <v>7778</v>
      </c>
      <c r="E758" s="229">
        <v>33</v>
      </c>
      <c r="F758" s="1117">
        <v>33</v>
      </c>
      <c r="G758" s="216" t="s">
        <v>7169</v>
      </c>
      <c r="H758" s="216"/>
      <c r="I758" s="216"/>
      <c r="J758" s="216"/>
      <c r="K758" s="216"/>
      <c r="L758" s="216"/>
      <c r="M758" s="216"/>
      <c r="N758" s="216"/>
      <c r="O758" s="216"/>
      <c r="P758" s="216"/>
      <c r="Q758" s="216"/>
      <c r="R758" s="216"/>
      <c r="S758" s="216"/>
      <c r="T758" s="216"/>
      <c r="U758" s="216"/>
      <c r="V758" s="216"/>
      <c r="W758" s="216"/>
      <c r="X758" s="216"/>
      <c r="Y758" s="216"/>
      <c r="Z758" s="216"/>
    </row>
    <row r="759" spans="1:26" ht="15.75" customHeight="1">
      <c r="A759" s="438" t="s">
        <v>7169</v>
      </c>
      <c r="B759" s="138" t="s">
        <v>141</v>
      </c>
      <c r="C759" s="138" t="s">
        <v>8683</v>
      </c>
      <c r="D759" s="1055" t="s">
        <v>7778</v>
      </c>
      <c r="E759" s="1055">
        <v>16</v>
      </c>
      <c r="F759" s="1117">
        <v>16</v>
      </c>
      <c r="G759" s="216" t="s">
        <v>7169</v>
      </c>
      <c r="H759" s="1"/>
      <c r="I759" s="1"/>
      <c r="J759" s="216"/>
      <c r="K759" s="216"/>
      <c r="L759" s="216"/>
      <c r="M759" s="216"/>
      <c r="N759" s="216"/>
      <c r="O759" s="216"/>
      <c r="P759" s="216"/>
      <c r="Q759" s="216"/>
      <c r="R759" s="216"/>
      <c r="S759" s="216"/>
      <c r="T759" s="216"/>
      <c r="U759" s="216"/>
      <c r="V759" s="216"/>
      <c r="W759" s="216"/>
      <c r="X759" s="216"/>
      <c r="Y759" s="216"/>
      <c r="Z759" s="216"/>
    </row>
    <row r="760" spans="1:26" ht="15" customHeight="1">
      <c r="A760" s="216" t="s">
        <v>7169</v>
      </c>
      <c r="B760" s="216" t="s">
        <v>141</v>
      </c>
      <c r="C760" s="138" t="s">
        <v>8684</v>
      </c>
      <c r="D760" s="1055" t="s">
        <v>7778</v>
      </c>
      <c r="E760" s="1148">
        <v>21</v>
      </c>
      <c r="F760" s="1148">
        <v>21</v>
      </c>
      <c r="G760" s="216" t="s">
        <v>7169</v>
      </c>
      <c r="H760" s="216"/>
      <c r="I760" s="216"/>
      <c r="J760" s="64"/>
      <c r="K760" s="64"/>
      <c r="L760" s="64"/>
      <c r="M760" s="64"/>
      <c r="N760" s="64"/>
      <c r="O760" s="64"/>
      <c r="P760" s="64"/>
      <c r="Q760" s="64"/>
      <c r="R760" s="64"/>
      <c r="S760" s="64"/>
      <c r="T760" s="64"/>
      <c r="U760" s="64"/>
      <c r="V760" s="64"/>
      <c r="W760" s="64"/>
      <c r="X760" s="64"/>
      <c r="Y760" s="64"/>
      <c r="Z760" s="64"/>
    </row>
    <row r="761" spans="1:26" ht="15" customHeight="1">
      <c r="A761" s="438" t="s">
        <v>7169</v>
      </c>
      <c r="B761" s="138" t="s">
        <v>8681</v>
      </c>
      <c r="C761" s="138" t="s">
        <v>8685</v>
      </c>
      <c r="D761" s="229" t="s">
        <v>7778</v>
      </c>
      <c r="E761" s="229">
        <v>33</v>
      </c>
      <c r="F761" s="1117">
        <v>33</v>
      </c>
      <c r="G761" s="216" t="s">
        <v>7169</v>
      </c>
      <c r="H761" s="216"/>
      <c r="I761" s="216"/>
      <c r="J761" s="64"/>
      <c r="K761" s="64"/>
      <c r="L761" s="64"/>
      <c r="M761" s="64"/>
      <c r="N761" s="64"/>
      <c r="O761" s="64"/>
      <c r="P761" s="64"/>
      <c r="Q761" s="64"/>
      <c r="R761" s="64"/>
      <c r="S761" s="64"/>
      <c r="T761" s="64"/>
      <c r="U761" s="64"/>
      <c r="V761" s="64"/>
      <c r="W761" s="64"/>
      <c r="X761" s="64"/>
      <c r="Y761" s="64"/>
      <c r="Z761" s="64"/>
    </row>
    <row r="762" spans="1:26" ht="15" customHeight="1">
      <c r="A762" s="438" t="s">
        <v>7169</v>
      </c>
      <c r="B762" s="138" t="s">
        <v>141</v>
      </c>
      <c r="C762" s="138" t="s">
        <v>8686</v>
      </c>
      <c r="D762" s="1055" t="s">
        <v>7778</v>
      </c>
      <c r="E762" s="1055">
        <v>16</v>
      </c>
      <c r="F762" s="1117">
        <v>16</v>
      </c>
      <c r="G762" s="216" t="s">
        <v>7169</v>
      </c>
      <c r="H762" s="216"/>
      <c r="I762" s="216"/>
      <c r="J762" s="64"/>
      <c r="K762" s="64"/>
      <c r="L762" s="64"/>
      <c r="M762" s="64"/>
      <c r="N762" s="64"/>
      <c r="O762" s="64"/>
      <c r="P762" s="64"/>
      <c r="Q762" s="64"/>
      <c r="R762" s="64"/>
      <c r="S762" s="64"/>
      <c r="T762" s="64"/>
      <c r="U762" s="64"/>
      <c r="V762" s="64"/>
      <c r="W762" s="64"/>
      <c r="X762" s="64"/>
      <c r="Y762" s="64"/>
      <c r="Z762" s="64"/>
    </row>
    <row r="763" spans="1:26" ht="15" customHeight="1">
      <c r="A763" s="216" t="s">
        <v>7169</v>
      </c>
      <c r="B763" s="216" t="s">
        <v>141</v>
      </c>
      <c r="C763" s="138" t="s">
        <v>8687</v>
      </c>
      <c r="D763" s="1055" t="s">
        <v>7778</v>
      </c>
      <c r="E763" s="89">
        <v>21</v>
      </c>
      <c r="F763" s="89">
        <v>21</v>
      </c>
      <c r="G763" s="216" t="s">
        <v>7169</v>
      </c>
      <c r="H763" s="216"/>
      <c r="I763" s="216"/>
      <c r="J763" s="64"/>
      <c r="K763" s="64"/>
      <c r="L763" s="64"/>
      <c r="M763" s="64"/>
      <c r="N763" s="64"/>
      <c r="O763" s="64"/>
      <c r="P763" s="64"/>
      <c r="Q763" s="64"/>
      <c r="R763" s="64"/>
      <c r="S763" s="64"/>
      <c r="T763" s="64"/>
      <c r="U763" s="64"/>
      <c r="V763" s="64"/>
      <c r="W763" s="64"/>
      <c r="X763" s="64"/>
      <c r="Y763" s="64"/>
      <c r="Z763" s="64"/>
    </row>
    <row r="764" spans="1:26" ht="15.75" customHeight="1">
      <c r="A764" s="134" t="s">
        <v>759</v>
      </c>
      <c r="B764" s="133" t="s">
        <v>141</v>
      </c>
      <c r="C764" s="133" t="s">
        <v>8688</v>
      </c>
      <c r="D764" s="100" t="s">
        <v>7698</v>
      </c>
      <c r="E764" s="116">
        <f>40/3*1.35</f>
        <v>18.000000000000004</v>
      </c>
      <c r="F764" s="528">
        <f t="shared" ref="F764:F767" si="112">E764</f>
        <v>18.000000000000004</v>
      </c>
      <c r="G764" s="216" t="s">
        <v>759</v>
      </c>
      <c r="H764" s="1"/>
      <c r="I764" s="1"/>
      <c r="J764" s="216"/>
      <c r="K764" s="216"/>
      <c r="L764" s="216"/>
      <c r="M764" s="216"/>
      <c r="N764" s="216"/>
      <c r="O764" s="216"/>
      <c r="P764" s="216"/>
      <c r="Q764" s="216"/>
      <c r="R764" s="216"/>
      <c r="S764" s="216"/>
      <c r="T764" s="216"/>
      <c r="U764" s="216"/>
      <c r="V764" s="216"/>
      <c r="W764" s="216"/>
      <c r="X764" s="216"/>
      <c r="Y764" s="216"/>
      <c r="Z764" s="216"/>
    </row>
    <row r="765" spans="1:26" ht="15.75" customHeight="1">
      <c r="A765" s="134" t="s">
        <v>759</v>
      </c>
      <c r="B765" s="133" t="s">
        <v>141</v>
      </c>
      <c r="C765" s="133" t="s">
        <v>8689</v>
      </c>
      <c r="D765" s="100" t="s">
        <v>7698</v>
      </c>
      <c r="E765" s="116">
        <f>40/3</f>
        <v>13.333333333333334</v>
      </c>
      <c r="F765" s="528">
        <f t="shared" si="112"/>
        <v>13.333333333333334</v>
      </c>
      <c r="G765" s="216" t="s">
        <v>759</v>
      </c>
      <c r="H765" s="1"/>
      <c r="I765" s="1"/>
      <c r="J765" s="216"/>
      <c r="K765" s="216"/>
      <c r="L765" s="216"/>
      <c r="M765" s="216"/>
      <c r="N765" s="216"/>
      <c r="O765" s="216"/>
      <c r="P765" s="216"/>
      <c r="Q765" s="216"/>
      <c r="R765" s="216"/>
      <c r="S765" s="216"/>
      <c r="T765" s="216"/>
      <c r="U765" s="216"/>
      <c r="V765" s="216"/>
      <c r="W765" s="216"/>
      <c r="X765" s="216"/>
      <c r="Y765" s="216"/>
      <c r="Z765" s="216"/>
    </row>
    <row r="766" spans="1:26" ht="15.75" customHeight="1">
      <c r="A766" s="134" t="s">
        <v>759</v>
      </c>
      <c r="B766" s="133" t="s">
        <v>141</v>
      </c>
      <c r="C766" s="133" t="s">
        <v>8690</v>
      </c>
      <c r="D766" s="100" t="s">
        <v>7698</v>
      </c>
      <c r="E766" s="116">
        <f>37/3</f>
        <v>12.333333333333334</v>
      </c>
      <c r="F766" s="528">
        <f t="shared" si="112"/>
        <v>12.333333333333334</v>
      </c>
      <c r="G766" s="216" t="s">
        <v>759</v>
      </c>
      <c r="H766" s="1"/>
      <c r="I766" s="1"/>
      <c r="J766" s="216"/>
      <c r="K766" s="216"/>
      <c r="L766" s="216"/>
      <c r="M766" s="216"/>
      <c r="N766" s="216"/>
      <c r="O766" s="216"/>
      <c r="P766" s="216"/>
      <c r="Q766" s="216"/>
      <c r="R766" s="216"/>
      <c r="S766" s="216"/>
      <c r="T766" s="216"/>
      <c r="U766" s="216"/>
      <c r="V766" s="216"/>
      <c r="W766" s="216"/>
      <c r="X766" s="216"/>
      <c r="Y766" s="216"/>
      <c r="Z766" s="216"/>
    </row>
    <row r="767" spans="1:26" ht="15.75" customHeight="1">
      <c r="A767" s="134" t="s">
        <v>759</v>
      </c>
      <c r="B767" s="133" t="s">
        <v>141</v>
      </c>
      <c r="C767" s="133" t="s">
        <v>8691</v>
      </c>
      <c r="D767" s="100" t="s">
        <v>7698</v>
      </c>
      <c r="E767" s="116">
        <f>25/3</f>
        <v>8.3333333333333339</v>
      </c>
      <c r="F767" s="528">
        <f t="shared" si="112"/>
        <v>8.3333333333333339</v>
      </c>
      <c r="G767" s="216" t="s">
        <v>759</v>
      </c>
      <c r="H767" s="1"/>
      <c r="I767" s="1"/>
      <c r="J767" s="216"/>
      <c r="K767" s="216"/>
      <c r="L767" s="216"/>
      <c r="M767" s="216"/>
      <c r="N767" s="216"/>
      <c r="O767" s="216"/>
      <c r="P767" s="216"/>
      <c r="Q767" s="216"/>
      <c r="R767" s="216"/>
      <c r="S767" s="216"/>
      <c r="T767" s="216"/>
      <c r="U767" s="216"/>
      <c r="V767" s="216"/>
      <c r="W767" s="216"/>
      <c r="X767" s="216"/>
      <c r="Y767" s="216"/>
      <c r="Z767" s="216"/>
    </row>
    <row r="768" spans="1:26" ht="15.75" customHeight="1">
      <c r="A768" s="134" t="s">
        <v>759</v>
      </c>
      <c r="B768" s="133" t="s">
        <v>141</v>
      </c>
      <c r="C768" s="133" t="s">
        <v>8692</v>
      </c>
      <c r="D768" s="100" t="s">
        <v>7698</v>
      </c>
      <c r="E768" s="116">
        <f>25/3/2</f>
        <v>4.166666666666667</v>
      </c>
      <c r="F768" s="528"/>
      <c r="G768" s="216" t="s">
        <v>759</v>
      </c>
      <c r="H768" s="1"/>
      <c r="I768" s="1"/>
      <c r="J768" s="216"/>
      <c r="K768" s="216"/>
      <c r="L768" s="216"/>
      <c r="M768" s="216"/>
      <c r="N768" s="216"/>
      <c r="O768" s="216"/>
      <c r="P768" s="216"/>
      <c r="Q768" s="216"/>
      <c r="R768" s="216"/>
      <c r="S768" s="216"/>
      <c r="T768" s="216"/>
      <c r="U768" s="216"/>
      <c r="V768" s="216"/>
      <c r="W768" s="216"/>
      <c r="X768" s="216"/>
      <c r="Y768" s="216"/>
      <c r="Z768" s="216"/>
    </row>
    <row r="769" spans="1:26" ht="15.75" customHeight="1">
      <c r="A769" s="134" t="s">
        <v>759</v>
      </c>
      <c r="B769" s="133" t="s">
        <v>141</v>
      </c>
      <c r="C769" s="133" t="s">
        <v>8693</v>
      </c>
      <c r="D769" s="100" t="s">
        <v>8056</v>
      </c>
      <c r="E769" s="116">
        <f>(73+30)*1.35/3/2</f>
        <v>23.175000000000001</v>
      </c>
      <c r="F769" s="528">
        <f t="shared" ref="F769:F770" si="113">E769</f>
        <v>23.175000000000001</v>
      </c>
      <c r="G769" s="216" t="s">
        <v>759</v>
      </c>
      <c r="H769" s="1"/>
      <c r="I769" s="1"/>
      <c r="J769" s="216"/>
      <c r="K769" s="216"/>
      <c r="L769" s="216"/>
      <c r="M769" s="216"/>
      <c r="N769" s="216"/>
      <c r="O769" s="216"/>
      <c r="P769" s="216"/>
      <c r="Q769" s="216"/>
      <c r="R769" s="216"/>
      <c r="S769" s="216"/>
      <c r="T769" s="216"/>
      <c r="U769" s="216"/>
      <c r="V769" s="216"/>
      <c r="W769" s="216"/>
      <c r="X769" s="216"/>
      <c r="Y769" s="216"/>
      <c r="Z769" s="216"/>
    </row>
    <row r="770" spans="1:26" ht="15.75" customHeight="1">
      <c r="A770" s="134" t="s">
        <v>759</v>
      </c>
      <c r="B770" s="133" t="s">
        <v>141</v>
      </c>
      <c r="C770" s="133" t="s">
        <v>8694</v>
      </c>
      <c r="D770" s="100" t="s">
        <v>8056</v>
      </c>
      <c r="E770" s="116">
        <f>(74)*1.35/3/2</f>
        <v>16.650000000000002</v>
      </c>
      <c r="F770" s="528">
        <f t="shared" si="113"/>
        <v>16.650000000000002</v>
      </c>
      <c r="G770" s="216" t="s">
        <v>759</v>
      </c>
      <c r="H770" s="1"/>
      <c r="I770" s="1"/>
      <c r="J770" s="216"/>
      <c r="K770" s="216"/>
      <c r="L770" s="216"/>
      <c r="M770" s="216"/>
      <c r="N770" s="216"/>
      <c r="O770" s="216"/>
      <c r="P770" s="216"/>
      <c r="Q770" s="216"/>
      <c r="R770" s="216"/>
      <c r="S770" s="216"/>
      <c r="T770" s="216"/>
      <c r="U770" s="216"/>
      <c r="V770" s="216"/>
      <c r="W770" s="216"/>
      <c r="X770" s="216"/>
      <c r="Y770" s="216"/>
      <c r="Z770" s="216"/>
    </row>
    <row r="771" spans="1:26" ht="15.75" customHeight="1">
      <c r="A771" s="134" t="s">
        <v>761</v>
      </c>
      <c r="B771" s="134" t="s">
        <v>141</v>
      </c>
      <c r="C771" s="586" t="s">
        <v>8695</v>
      </c>
      <c r="D771" s="178" t="s">
        <v>7698</v>
      </c>
      <c r="E771" s="178" t="s">
        <v>8696</v>
      </c>
      <c r="F771" s="1120">
        <v>59.4</v>
      </c>
      <c r="G771" s="216" t="str">
        <f t="shared" ref="G771:G783" si="114">A771</f>
        <v>Craciunas Gabriela</v>
      </c>
      <c r="H771" s="1"/>
      <c r="I771" s="1"/>
      <c r="J771" s="216"/>
      <c r="K771" s="216"/>
      <c r="L771" s="216"/>
      <c r="M771" s="216"/>
      <c r="N771" s="216"/>
      <c r="O771" s="216"/>
      <c r="P771" s="216"/>
      <c r="Q771" s="216"/>
      <c r="R771" s="216"/>
      <c r="S771" s="216"/>
      <c r="T771" s="216"/>
      <c r="U771" s="216"/>
      <c r="V771" s="216"/>
      <c r="W771" s="216"/>
      <c r="X771" s="216"/>
      <c r="Y771" s="216"/>
      <c r="Z771" s="216"/>
    </row>
    <row r="772" spans="1:26" ht="15.75" customHeight="1">
      <c r="A772" s="134" t="s">
        <v>761</v>
      </c>
      <c r="B772" s="134" t="s">
        <v>141</v>
      </c>
      <c r="C772" s="586" t="s">
        <v>8697</v>
      </c>
      <c r="D772" s="178" t="s">
        <v>7698</v>
      </c>
      <c r="E772" s="178" t="s">
        <v>8698</v>
      </c>
      <c r="F772" s="528">
        <v>22.66</v>
      </c>
      <c r="G772" s="216" t="str">
        <f t="shared" si="114"/>
        <v>Craciunas Gabriela</v>
      </c>
      <c r="H772" s="1"/>
      <c r="I772" s="1"/>
      <c r="J772" s="216"/>
      <c r="K772" s="216"/>
      <c r="L772" s="216"/>
      <c r="M772" s="216"/>
      <c r="N772" s="216"/>
      <c r="O772" s="216"/>
      <c r="P772" s="216"/>
      <c r="Q772" s="216"/>
      <c r="R772" s="216"/>
      <c r="S772" s="216"/>
      <c r="T772" s="216"/>
      <c r="U772" s="216"/>
      <c r="V772" s="216"/>
      <c r="W772" s="216"/>
      <c r="X772" s="216"/>
      <c r="Y772" s="216"/>
      <c r="Z772" s="216"/>
    </row>
    <row r="773" spans="1:26" ht="15.75" customHeight="1">
      <c r="A773" s="134" t="s">
        <v>761</v>
      </c>
      <c r="B773" s="133" t="s">
        <v>141</v>
      </c>
      <c r="C773" s="586" t="s">
        <v>8699</v>
      </c>
      <c r="D773" s="178" t="s">
        <v>7698</v>
      </c>
      <c r="E773" s="178" t="s">
        <v>8700</v>
      </c>
      <c r="F773" s="1120">
        <v>8</v>
      </c>
      <c r="G773" s="216" t="str">
        <f t="shared" si="114"/>
        <v>Craciunas Gabriela</v>
      </c>
      <c r="H773" s="1"/>
      <c r="I773" s="1"/>
      <c r="J773" s="216"/>
      <c r="K773" s="216"/>
      <c r="L773" s="216"/>
      <c r="M773" s="216"/>
      <c r="N773" s="216"/>
      <c r="O773" s="216"/>
      <c r="P773" s="216"/>
      <c r="Q773" s="216"/>
      <c r="R773" s="216"/>
      <c r="S773" s="216"/>
      <c r="T773" s="216"/>
      <c r="U773" s="216"/>
      <c r="V773" s="216"/>
      <c r="W773" s="216"/>
      <c r="X773" s="216"/>
      <c r="Y773" s="216"/>
      <c r="Z773" s="216"/>
    </row>
    <row r="774" spans="1:26" ht="15.75" customHeight="1">
      <c r="A774" s="134" t="s">
        <v>761</v>
      </c>
      <c r="B774" s="133" t="s">
        <v>141</v>
      </c>
      <c r="C774" s="586" t="s">
        <v>8701</v>
      </c>
      <c r="D774" s="178" t="s">
        <v>7698</v>
      </c>
      <c r="E774" s="100" t="s">
        <v>8702</v>
      </c>
      <c r="F774" s="528">
        <v>16.66</v>
      </c>
      <c r="G774" s="216" t="str">
        <f t="shared" si="114"/>
        <v>Craciunas Gabriela</v>
      </c>
      <c r="H774" s="1"/>
      <c r="I774" s="1"/>
      <c r="J774" s="216"/>
      <c r="K774" s="216"/>
      <c r="L774" s="216"/>
      <c r="M774" s="216"/>
      <c r="N774" s="216"/>
      <c r="O774" s="216"/>
      <c r="P774" s="216"/>
      <c r="Q774" s="216"/>
      <c r="R774" s="216"/>
      <c r="S774" s="216"/>
      <c r="T774" s="216"/>
      <c r="U774" s="216"/>
      <c r="V774" s="216"/>
      <c r="W774" s="216"/>
      <c r="X774" s="216"/>
      <c r="Y774" s="216"/>
      <c r="Z774" s="216"/>
    </row>
    <row r="775" spans="1:26" ht="15.75" customHeight="1">
      <c r="A775" s="134" t="s">
        <v>761</v>
      </c>
      <c r="B775" s="133" t="s">
        <v>141</v>
      </c>
      <c r="C775" s="586" t="s">
        <v>8703</v>
      </c>
      <c r="D775" s="100" t="s">
        <v>7698</v>
      </c>
      <c r="E775" s="100" t="s">
        <v>8704</v>
      </c>
      <c r="F775" s="1149">
        <v>14</v>
      </c>
      <c r="G775" s="216" t="str">
        <f t="shared" si="114"/>
        <v>Craciunas Gabriela</v>
      </c>
      <c r="H775" s="1"/>
      <c r="I775" s="1"/>
      <c r="J775" s="216"/>
      <c r="K775" s="216"/>
      <c r="L775" s="216"/>
      <c r="M775" s="216"/>
      <c r="N775" s="216"/>
      <c r="O775" s="216"/>
      <c r="P775" s="216"/>
      <c r="Q775" s="216"/>
      <c r="R775" s="216"/>
      <c r="S775" s="216"/>
      <c r="T775" s="216"/>
      <c r="U775" s="216"/>
      <c r="V775" s="216"/>
      <c r="W775" s="216"/>
      <c r="X775" s="216"/>
      <c r="Y775" s="216"/>
      <c r="Z775" s="216"/>
    </row>
    <row r="776" spans="1:26" ht="15.75" customHeight="1">
      <c r="A776" s="134" t="s">
        <v>761</v>
      </c>
      <c r="B776" s="133" t="s">
        <v>141</v>
      </c>
      <c r="C776" s="586" t="s">
        <v>8705</v>
      </c>
      <c r="D776" s="100" t="s">
        <v>8124</v>
      </c>
      <c r="E776" s="100" t="s">
        <v>8706</v>
      </c>
      <c r="F776" s="528">
        <v>9</v>
      </c>
      <c r="G776" s="216" t="str">
        <f t="shared" si="114"/>
        <v>Craciunas Gabriela</v>
      </c>
      <c r="H776" s="1"/>
      <c r="I776" s="1"/>
      <c r="J776" s="216"/>
      <c r="K776" s="216"/>
      <c r="L776" s="216"/>
      <c r="M776" s="216"/>
      <c r="N776" s="216"/>
      <c r="O776" s="216"/>
      <c r="P776" s="216"/>
      <c r="Q776" s="216"/>
      <c r="R776" s="216"/>
      <c r="S776" s="216"/>
      <c r="T776" s="216"/>
      <c r="U776" s="216"/>
      <c r="V776" s="216"/>
      <c r="W776" s="216"/>
      <c r="X776" s="216"/>
      <c r="Y776" s="216"/>
      <c r="Z776" s="216"/>
    </row>
    <row r="777" spans="1:26" ht="15.75" customHeight="1">
      <c r="A777" s="134" t="s">
        <v>7612</v>
      </c>
      <c r="B777" s="133" t="s">
        <v>141</v>
      </c>
      <c r="C777" s="133" t="s">
        <v>8707</v>
      </c>
      <c r="D777" s="100" t="s">
        <v>7698</v>
      </c>
      <c r="E777" s="100" t="s">
        <v>8708</v>
      </c>
      <c r="F777" s="528">
        <v>64</v>
      </c>
      <c r="G777" s="216" t="str">
        <f t="shared" si="114"/>
        <v>Craciunean Daniel-Cristian</v>
      </c>
      <c r="H777" s="1"/>
      <c r="I777" s="1"/>
      <c r="J777" s="216"/>
      <c r="K777" s="216"/>
      <c r="L777" s="216"/>
      <c r="M777" s="216"/>
      <c r="N777" s="216"/>
      <c r="O777" s="216"/>
      <c r="P777" s="216"/>
      <c r="Q777" s="216"/>
      <c r="R777" s="216"/>
      <c r="S777" s="216"/>
      <c r="T777" s="216"/>
      <c r="U777" s="216"/>
      <c r="V777" s="216"/>
      <c r="W777" s="216"/>
      <c r="X777" s="216"/>
      <c r="Y777" s="216"/>
      <c r="Z777" s="216"/>
    </row>
    <row r="778" spans="1:26" ht="15.75" customHeight="1">
      <c r="A778" s="134" t="s">
        <v>7612</v>
      </c>
      <c r="B778" s="133" t="s">
        <v>141</v>
      </c>
      <c r="C778" s="133" t="s">
        <v>8709</v>
      </c>
      <c r="D778" s="116"/>
      <c r="E778" s="116" t="s">
        <v>8710</v>
      </c>
      <c r="F778" s="528">
        <v>20</v>
      </c>
      <c r="G778" s="216" t="str">
        <f t="shared" si="114"/>
        <v>Craciunean Daniel-Cristian</v>
      </c>
      <c r="H778" s="1"/>
      <c r="I778" s="1"/>
      <c r="J778" s="216"/>
      <c r="K778" s="216"/>
      <c r="L778" s="216"/>
      <c r="M778" s="216"/>
      <c r="N778" s="216"/>
      <c r="O778" s="216"/>
      <c r="P778" s="216"/>
      <c r="Q778" s="216"/>
      <c r="R778" s="216"/>
      <c r="S778" s="216"/>
      <c r="T778" s="216"/>
      <c r="U778" s="216"/>
      <c r="V778" s="216"/>
      <c r="W778" s="216"/>
      <c r="X778" s="216"/>
      <c r="Y778" s="216"/>
      <c r="Z778" s="216"/>
    </row>
    <row r="779" spans="1:26" ht="15.75" customHeight="1">
      <c r="A779" s="134" t="s">
        <v>7612</v>
      </c>
      <c r="B779" s="133" t="s">
        <v>141</v>
      </c>
      <c r="C779" s="133" t="s">
        <v>8711</v>
      </c>
      <c r="D779" s="100"/>
      <c r="E779" s="100" t="s">
        <v>8712</v>
      </c>
      <c r="F779" s="528">
        <v>15</v>
      </c>
      <c r="G779" s="216" t="str">
        <f t="shared" si="114"/>
        <v>Craciunean Daniel-Cristian</v>
      </c>
      <c r="H779" s="1"/>
      <c r="I779" s="1"/>
      <c r="J779" s="216"/>
      <c r="K779" s="216"/>
      <c r="L779" s="216"/>
      <c r="M779" s="216"/>
      <c r="N779" s="216"/>
      <c r="O779" s="216"/>
      <c r="P779" s="216"/>
      <c r="Q779" s="216"/>
      <c r="R779" s="216"/>
      <c r="S779" s="216"/>
      <c r="T779" s="216"/>
      <c r="U779" s="216"/>
      <c r="V779" s="216"/>
      <c r="W779" s="216"/>
      <c r="X779" s="216"/>
      <c r="Y779" s="216"/>
      <c r="Z779" s="216"/>
    </row>
    <row r="780" spans="1:26" ht="15.75" customHeight="1">
      <c r="A780" s="134" t="s">
        <v>7404</v>
      </c>
      <c r="B780" s="133" t="s">
        <v>141</v>
      </c>
      <c r="C780" s="133" t="s">
        <v>8713</v>
      </c>
      <c r="D780" s="100" t="s">
        <v>7698</v>
      </c>
      <c r="E780" s="100" t="s">
        <v>8714</v>
      </c>
      <c r="F780" s="528">
        <f>236 * 1.35 / 3</f>
        <v>106.2</v>
      </c>
      <c r="G780" s="216" t="str">
        <f t="shared" si="114"/>
        <v>Crețulescu Radu</v>
      </c>
      <c r="H780" s="1"/>
      <c r="I780" s="1"/>
      <c r="J780" s="216"/>
      <c r="K780" s="216"/>
      <c r="L780" s="216"/>
      <c r="M780" s="216"/>
      <c r="N780" s="216"/>
      <c r="O780" s="216"/>
      <c r="P780" s="216"/>
      <c r="Q780" s="216"/>
      <c r="R780" s="216"/>
      <c r="S780" s="216"/>
      <c r="T780" s="216"/>
      <c r="U780" s="216"/>
      <c r="V780" s="216"/>
      <c r="W780" s="216"/>
      <c r="X780" s="216"/>
      <c r="Y780" s="216"/>
      <c r="Z780" s="216"/>
    </row>
    <row r="781" spans="1:26" ht="15.75" customHeight="1">
      <c r="A781" s="134" t="s">
        <v>7404</v>
      </c>
      <c r="B781" s="133" t="s">
        <v>141</v>
      </c>
      <c r="C781" s="133" t="s">
        <v>8715</v>
      </c>
      <c r="D781" s="100" t="s">
        <v>7698</v>
      </c>
      <c r="E781" s="100" t="s">
        <v>8700</v>
      </c>
      <c r="F781" s="528">
        <v>8</v>
      </c>
      <c r="G781" s="216" t="str">
        <f t="shared" si="114"/>
        <v>Crețulescu Radu</v>
      </c>
      <c r="H781" s="1"/>
      <c r="I781" s="1"/>
      <c r="J781" s="216"/>
      <c r="K781" s="216"/>
      <c r="L781" s="216"/>
      <c r="M781" s="216"/>
      <c r="N781" s="216"/>
      <c r="O781" s="216"/>
      <c r="P781" s="216"/>
      <c r="Q781" s="216"/>
      <c r="R781" s="216"/>
      <c r="S781" s="216"/>
      <c r="T781" s="216"/>
      <c r="U781" s="216"/>
      <c r="V781" s="216"/>
      <c r="W781" s="216"/>
      <c r="X781" s="216"/>
      <c r="Y781" s="216"/>
      <c r="Z781" s="216"/>
    </row>
    <row r="782" spans="1:26" ht="15.75" customHeight="1">
      <c r="A782" s="134" t="s">
        <v>7404</v>
      </c>
      <c r="B782" s="133" t="s">
        <v>141</v>
      </c>
      <c r="C782" s="133" t="s">
        <v>8716</v>
      </c>
      <c r="D782" s="100" t="s">
        <v>7698</v>
      </c>
      <c r="E782" s="100" t="s">
        <v>8717</v>
      </c>
      <c r="F782" s="528">
        <v>19.329999999999998</v>
      </c>
      <c r="G782" s="216" t="str">
        <f t="shared" si="114"/>
        <v>Crețulescu Radu</v>
      </c>
      <c r="H782" s="1"/>
      <c r="I782" s="1"/>
      <c r="J782" s="216"/>
      <c r="K782" s="216"/>
      <c r="L782" s="216"/>
      <c r="M782" s="216"/>
      <c r="N782" s="216"/>
      <c r="O782" s="216"/>
      <c r="P782" s="216"/>
      <c r="Q782" s="216"/>
      <c r="R782" s="216"/>
      <c r="S782" s="216"/>
      <c r="T782" s="216"/>
      <c r="U782" s="216"/>
      <c r="V782" s="216"/>
      <c r="W782" s="216"/>
      <c r="X782" s="216"/>
      <c r="Y782" s="216"/>
      <c r="Z782" s="216"/>
    </row>
    <row r="783" spans="1:26" ht="15.75" customHeight="1">
      <c r="A783" s="134" t="s">
        <v>7404</v>
      </c>
      <c r="B783" s="133" t="s">
        <v>141</v>
      </c>
      <c r="C783" s="133" t="s">
        <v>8718</v>
      </c>
      <c r="D783" s="100" t="s">
        <v>7698</v>
      </c>
      <c r="E783" s="100" t="s">
        <v>8719</v>
      </c>
      <c r="F783" s="528">
        <v>25</v>
      </c>
      <c r="G783" s="216" t="str">
        <f t="shared" si="114"/>
        <v>Crețulescu Radu</v>
      </c>
      <c r="H783" s="1"/>
      <c r="I783" s="1"/>
      <c r="J783" s="216"/>
      <c r="K783" s="216"/>
      <c r="L783" s="216"/>
      <c r="M783" s="216"/>
      <c r="N783" s="216"/>
      <c r="O783" s="216"/>
      <c r="P783" s="216"/>
      <c r="Q783" s="216"/>
      <c r="R783" s="216"/>
      <c r="S783" s="216"/>
      <c r="T783" s="216"/>
      <c r="U783" s="216"/>
      <c r="V783" s="216"/>
      <c r="W783" s="216"/>
      <c r="X783" s="216"/>
      <c r="Y783" s="216"/>
      <c r="Z783" s="216"/>
    </row>
    <row r="784" spans="1:26" ht="15.75" customHeight="1">
      <c r="A784" s="134" t="s">
        <v>7613</v>
      </c>
      <c r="B784" s="133" t="s">
        <v>141</v>
      </c>
      <c r="C784" s="133" t="s">
        <v>8720</v>
      </c>
      <c r="D784" s="100" t="s">
        <v>7698</v>
      </c>
      <c r="E784" s="100" t="s">
        <v>8721</v>
      </c>
      <c r="F784" s="528">
        <v>38</v>
      </c>
      <c r="G784" s="216" t="s">
        <v>7613</v>
      </c>
      <c r="H784" s="1"/>
      <c r="I784" s="1"/>
      <c r="J784" s="216"/>
      <c r="K784" s="216"/>
      <c r="L784" s="216"/>
      <c r="M784" s="216"/>
      <c r="N784" s="216"/>
      <c r="O784" s="216"/>
      <c r="P784" s="216"/>
      <c r="Q784" s="216"/>
      <c r="R784" s="216"/>
      <c r="S784" s="216"/>
      <c r="T784" s="216"/>
      <c r="U784" s="216"/>
      <c r="V784" s="216"/>
      <c r="W784" s="216"/>
      <c r="X784" s="216"/>
      <c r="Y784" s="216"/>
      <c r="Z784" s="216"/>
    </row>
    <row r="785" spans="1:26" ht="15.75" customHeight="1">
      <c r="A785" s="134" t="s">
        <v>7613</v>
      </c>
      <c r="B785" s="133" t="s">
        <v>141</v>
      </c>
      <c r="C785" s="133" t="s">
        <v>8722</v>
      </c>
      <c r="D785" s="100" t="s">
        <v>7698</v>
      </c>
      <c r="E785" s="100" t="s">
        <v>8723</v>
      </c>
      <c r="F785" s="528">
        <v>47</v>
      </c>
      <c r="G785" s="216" t="s">
        <v>7613</v>
      </c>
      <c r="H785" s="1"/>
      <c r="I785" s="1"/>
      <c r="J785" s="216"/>
      <c r="K785" s="216"/>
      <c r="L785" s="216"/>
      <c r="M785" s="216"/>
      <c r="N785" s="216"/>
      <c r="O785" s="216"/>
      <c r="P785" s="216"/>
      <c r="Q785" s="216"/>
      <c r="R785" s="216"/>
      <c r="S785" s="216"/>
      <c r="T785" s="216"/>
      <c r="U785" s="216"/>
      <c r="V785" s="216"/>
      <c r="W785" s="216"/>
      <c r="X785" s="216"/>
      <c r="Y785" s="216"/>
      <c r="Z785" s="216"/>
    </row>
    <row r="786" spans="1:26" ht="15.75" customHeight="1">
      <c r="A786" s="134" t="s">
        <v>7613</v>
      </c>
      <c r="B786" s="133" t="s">
        <v>141</v>
      </c>
      <c r="C786" s="133" t="s">
        <v>8679</v>
      </c>
      <c r="D786" s="100" t="s">
        <v>7698</v>
      </c>
      <c r="E786" s="100" t="s">
        <v>8724</v>
      </c>
      <c r="F786" s="528">
        <v>4</v>
      </c>
      <c r="G786" s="216" t="s">
        <v>7613</v>
      </c>
      <c r="H786" s="1"/>
      <c r="I786" s="1"/>
      <c r="J786" s="216"/>
      <c r="K786" s="216"/>
      <c r="L786" s="216"/>
      <c r="M786" s="216"/>
      <c r="N786" s="216"/>
      <c r="O786" s="216"/>
      <c r="P786" s="216"/>
      <c r="Q786" s="216"/>
      <c r="R786" s="216"/>
      <c r="S786" s="216"/>
      <c r="T786" s="216"/>
      <c r="U786" s="216"/>
      <c r="V786" s="216"/>
      <c r="W786" s="216"/>
      <c r="X786" s="216"/>
      <c r="Y786" s="216"/>
      <c r="Z786" s="216"/>
    </row>
    <row r="787" spans="1:26" ht="15.75" customHeight="1">
      <c r="A787" s="134" t="s">
        <v>7407</v>
      </c>
      <c r="B787" s="133" t="s">
        <v>141</v>
      </c>
      <c r="C787" s="133" t="s">
        <v>8725</v>
      </c>
      <c r="D787" s="100" t="s">
        <v>8645</v>
      </c>
      <c r="E787" s="116">
        <v>6.666666666666667</v>
      </c>
      <c r="F787" s="528">
        <v>6.666666666666667</v>
      </c>
      <c r="G787" s="1" t="str">
        <f t="shared" ref="G787:G822" si="115">A787</f>
        <v>Prof.dr.ing. FLOREA Adrian</v>
      </c>
      <c r="H787" s="1"/>
      <c r="I787" s="1"/>
      <c r="J787" s="216"/>
      <c r="K787" s="216"/>
      <c r="L787" s="216"/>
      <c r="M787" s="216"/>
      <c r="N787" s="216"/>
      <c r="O787" s="216"/>
      <c r="P787" s="216"/>
      <c r="Q787" s="216"/>
      <c r="R787" s="216"/>
      <c r="S787" s="216"/>
      <c r="T787" s="216"/>
      <c r="U787" s="216"/>
      <c r="V787" s="216"/>
      <c r="W787" s="216"/>
      <c r="X787" s="216"/>
      <c r="Y787" s="216"/>
      <c r="Z787" s="216"/>
    </row>
    <row r="788" spans="1:26" ht="15.75" customHeight="1">
      <c r="A788" s="134" t="s">
        <v>7407</v>
      </c>
      <c r="B788" s="133" t="s">
        <v>141</v>
      </c>
      <c r="C788" s="133" t="s">
        <v>8725</v>
      </c>
      <c r="D788" s="100" t="s">
        <v>8645</v>
      </c>
      <c r="E788" s="116">
        <v>9.3333333333333339</v>
      </c>
      <c r="F788" s="528">
        <v>9.3333333333333339</v>
      </c>
      <c r="G788" s="1" t="str">
        <f t="shared" si="115"/>
        <v>Prof.dr.ing. FLOREA Adrian</v>
      </c>
      <c r="H788" s="1"/>
      <c r="I788" s="1"/>
      <c r="J788" s="216"/>
      <c r="K788" s="216"/>
      <c r="L788" s="216"/>
      <c r="M788" s="216"/>
      <c r="N788" s="216"/>
      <c r="O788" s="216"/>
      <c r="P788" s="216"/>
      <c r="Q788" s="216"/>
      <c r="R788" s="216"/>
      <c r="S788" s="216"/>
      <c r="T788" s="216"/>
      <c r="U788" s="216"/>
      <c r="V788" s="216"/>
      <c r="W788" s="216"/>
      <c r="X788" s="216"/>
      <c r="Y788" s="216"/>
      <c r="Z788" s="216"/>
    </row>
    <row r="789" spans="1:26" ht="15.75" customHeight="1">
      <c r="A789" s="302" t="s">
        <v>7407</v>
      </c>
      <c r="B789" s="301" t="s">
        <v>141</v>
      </c>
      <c r="C789" s="301" t="s">
        <v>8726</v>
      </c>
      <c r="D789" s="296" t="s">
        <v>8645</v>
      </c>
      <c r="E789" s="304">
        <v>9.6666666666666661</v>
      </c>
      <c r="F789" s="513">
        <v>9.6666666666666661</v>
      </c>
      <c r="G789" s="1" t="str">
        <f t="shared" si="115"/>
        <v>Prof.dr.ing. FLOREA Adrian</v>
      </c>
      <c r="H789" s="1"/>
      <c r="I789" s="1"/>
      <c r="J789" s="216"/>
      <c r="K789" s="216"/>
      <c r="L789" s="216"/>
      <c r="M789" s="216"/>
      <c r="N789" s="216"/>
      <c r="O789" s="216"/>
      <c r="P789" s="216"/>
      <c r="Q789" s="216"/>
      <c r="R789" s="216"/>
      <c r="S789" s="216"/>
      <c r="T789" s="216"/>
      <c r="U789" s="216"/>
      <c r="V789" s="216"/>
      <c r="W789" s="216"/>
      <c r="X789" s="216"/>
      <c r="Y789" s="216"/>
      <c r="Z789" s="216"/>
    </row>
    <row r="790" spans="1:26" ht="15.75" customHeight="1">
      <c r="A790" s="134" t="s">
        <v>7407</v>
      </c>
      <c r="B790" s="133" t="s">
        <v>141</v>
      </c>
      <c r="C790" s="133" t="s">
        <v>8726</v>
      </c>
      <c r="D790" s="100" t="s">
        <v>8645</v>
      </c>
      <c r="E790" s="304">
        <v>9.6666666666666661</v>
      </c>
      <c r="F790" s="513">
        <v>9.6666666666666661</v>
      </c>
      <c r="G790" s="1" t="str">
        <f t="shared" si="115"/>
        <v>Prof.dr.ing. FLOREA Adrian</v>
      </c>
      <c r="H790" s="1"/>
      <c r="I790" s="1"/>
      <c r="J790" s="216"/>
      <c r="K790" s="216"/>
      <c r="L790" s="216"/>
      <c r="M790" s="216"/>
      <c r="N790" s="216"/>
      <c r="O790" s="216"/>
      <c r="P790" s="216"/>
      <c r="Q790" s="216"/>
      <c r="R790" s="216"/>
      <c r="S790" s="216"/>
      <c r="T790" s="216"/>
      <c r="U790" s="216"/>
      <c r="V790" s="216"/>
      <c r="W790" s="216"/>
      <c r="X790" s="216"/>
      <c r="Y790" s="216"/>
      <c r="Z790" s="216"/>
    </row>
    <row r="791" spans="1:26" ht="15.75" customHeight="1">
      <c r="A791" s="134" t="s">
        <v>7407</v>
      </c>
      <c r="B791" s="133" t="s">
        <v>141</v>
      </c>
      <c r="C791" s="133" t="s">
        <v>8726</v>
      </c>
      <c r="D791" s="100" t="s">
        <v>8645</v>
      </c>
      <c r="E791" s="304">
        <v>9.6666666666666661</v>
      </c>
      <c r="F791" s="513">
        <v>9.6666666666666661</v>
      </c>
      <c r="G791" s="1" t="str">
        <f t="shared" si="115"/>
        <v>Prof.dr.ing. FLOREA Adrian</v>
      </c>
      <c r="H791" s="1"/>
      <c r="I791" s="1"/>
      <c r="J791" s="216"/>
      <c r="K791" s="216"/>
      <c r="L791" s="216"/>
      <c r="M791" s="216"/>
      <c r="N791" s="216"/>
      <c r="O791" s="216"/>
      <c r="P791" s="216"/>
      <c r="Q791" s="216"/>
      <c r="R791" s="216"/>
      <c r="S791" s="216"/>
      <c r="T791" s="216"/>
      <c r="U791" s="216"/>
      <c r="V791" s="216"/>
      <c r="W791" s="216"/>
      <c r="X791" s="216"/>
      <c r="Y791" s="216"/>
      <c r="Z791" s="216"/>
    </row>
    <row r="792" spans="1:26" ht="15.75" customHeight="1">
      <c r="A792" s="134" t="s">
        <v>7407</v>
      </c>
      <c r="B792" s="133" t="s">
        <v>141</v>
      </c>
      <c r="C792" s="133" t="s">
        <v>8726</v>
      </c>
      <c r="D792" s="100" t="s">
        <v>8645</v>
      </c>
      <c r="E792" s="304">
        <v>12</v>
      </c>
      <c r="F792" s="513">
        <v>12</v>
      </c>
      <c r="G792" s="1" t="str">
        <f t="shared" si="115"/>
        <v>Prof.dr.ing. FLOREA Adrian</v>
      </c>
      <c r="H792" s="1"/>
      <c r="I792" s="1"/>
      <c r="J792" s="216"/>
      <c r="K792" s="216"/>
      <c r="L792" s="216"/>
      <c r="M792" s="216"/>
      <c r="N792" s="216"/>
      <c r="O792" s="216"/>
      <c r="P792" s="216"/>
      <c r="Q792" s="216"/>
      <c r="R792" s="216"/>
      <c r="S792" s="216"/>
      <c r="T792" s="216"/>
      <c r="U792" s="216"/>
      <c r="V792" s="216"/>
      <c r="W792" s="216"/>
      <c r="X792" s="216"/>
      <c r="Y792" s="216"/>
      <c r="Z792" s="216"/>
    </row>
    <row r="793" spans="1:26" ht="15.75" customHeight="1">
      <c r="A793" s="302" t="s">
        <v>7407</v>
      </c>
      <c r="B793" s="301" t="s">
        <v>141</v>
      </c>
      <c r="C793" s="301" t="s">
        <v>8726</v>
      </c>
      <c r="D793" s="296" t="s">
        <v>8645</v>
      </c>
      <c r="E793" s="304">
        <v>9.6666666666666661</v>
      </c>
      <c r="F793" s="513">
        <v>9.6666666666666661</v>
      </c>
      <c r="G793" s="1" t="str">
        <f t="shared" si="115"/>
        <v>Prof.dr.ing. FLOREA Adrian</v>
      </c>
      <c r="H793" s="1"/>
      <c r="I793" s="1"/>
      <c r="J793" s="216"/>
      <c r="K793" s="216"/>
      <c r="L793" s="216"/>
      <c r="M793" s="216"/>
      <c r="N793" s="216"/>
      <c r="O793" s="216"/>
      <c r="P793" s="216"/>
      <c r="Q793" s="216"/>
      <c r="R793" s="216"/>
      <c r="S793" s="216"/>
      <c r="T793" s="216"/>
      <c r="U793" s="216"/>
      <c r="V793" s="216"/>
      <c r="W793" s="216"/>
      <c r="X793" s="216"/>
      <c r="Y793" s="216"/>
      <c r="Z793" s="216"/>
    </row>
    <row r="794" spans="1:26" ht="15.75" customHeight="1">
      <c r="A794" s="134" t="s">
        <v>7407</v>
      </c>
      <c r="B794" s="133" t="s">
        <v>141</v>
      </c>
      <c r="C794" s="133" t="s">
        <v>8726</v>
      </c>
      <c r="D794" s="100" t="s">
        <v>8645</v>
      </c>
      <c r="E794" s="304">
        <v>9.6666666666666661</v>
      </c>
      <c r="F794" s="513">
        <v>9.6666666666666661</v>
      </c>
      <c r="G794" s="1" t="str">
        <f t="shared" si="115"/>
        <v>Prof.dr.ing. FLOREA Adrian</v>
      </c>
      <c r="H794" s="1"/>
      <c r="I794" s="1"/>
      <c r="J794" s="216"/>
      <c r="K794" s="216"/>
      <c r="L794" s="216"/>
      <c r="M794" s="216"/>
      <c r="N794" s="216"/>
      <c r="O794" s="216"/>
      <c r="P794" s="216"/>
      <c r="Q794" s="216"/>
      <c r="R794" s="216"/>
      <c r="S794" s="216"/>
      <c r="T794" s="216"/>
      <c r="U794" s="216"/>
      <c r="V794" s="216"/>
      <c r="W794" s="216"/>
      <c r="X794" s="216"/>
      <c r="Y794" s="216"/>
      <c r="Z794" s="216"/>
    </row>
    <row r="795" spans="1:26" ht="15.75" customHeight="1">
      <c r="A795" s="134" t="s">
        <v>7407</v>
      </c>
      <c r="B795" s="133" t="s">
        <v>141</v>
      </c>
      <c r="C795" s="133" t="s">
        <v>8726</v>
      </c>
      <c r="D795" s="100" t="s">
        <v>8645</v>
      </c>
      <c r="E795" s="304">
        <v>9.6666666666666661</v>
      </c>
      <c r="F795" s="513">
        <v>9.6666666666666661</v>
      </c>
      <c r="G795" s="1" t="str">
        <f t="shared" si="115"/>
        <v>Prof.dr.ing. FLOREA Adrian</v>
      </c>
      <c r="H795" s="1"/>
      <c r="I795" s="1"/>
      <c r="J795" s="216"/>
      <c r="K795" s="216"/>
      <c r="L795" s="216"/>
      <c r="M795" s="216"/>
      <c r="N795" s="216"/>
      <c r="O795" s="216"/>
      <c r="P795" s="216"/>
      <c r="Q795" s="216"/>
      <c r="R795" s="216"/>
      <c r="S795" s="216"/>
      <c r="T795" s="216"/>
      <c r="U795" s="216"/>
      <c r="V795" s="216"/>
      <c r="W795" s="216"/>
      <c r="X795" s="216"/>
      <c r="Y795" s="216"/>
      <c r="Z795" s="216"/>
    </row>
    <row r="796" spans="1:26" ht="15.75" customHeight="1">
      <c r="A796" s="134" t="s">
        <v>7407</v>
      </c>
      <c r="B796" s="133" t="s">
        <v>141</v>
      </c>
      <c r="C796" s="133" t="s">
        <v>8726</v>
      </c>
      <c r="D796" s="100" t="s">
        <v>8645</v>
      </c>
      <c r="E796" s="304">
        <v>12</v>
      </c>
      <c r="F796" s="513">
        <v>12</v>
      </c>
      <c r="G796" s="1" t="str">
        <f t="shared" si="115"/>
        <v>Prof.dr.ing. FLOREA Adrian</v>
      </c>
      <c r="H796" s="1"/>
      <c r="I796" s="1"/>
      <c r="J796" s="216"/>
      <c r="K796" s="216"/>
      <c r="L796" s="216"/>
      <c r="M796" s="216"/>
      <c r="N796" s="216"/>
      <c r="O796" s="216"/>
      <c r="P796" s="216"/>
      <c r="Q796" s="216"/>
      <c r="R796" s="216"/>
      <c r="S796" s="216"/>
      <c r="T796" s="216"/>
      <c r="U796" s="216"/>
      <c r="V796" s="216"/>
      <c r="W796" s="216"/>
      <c r="X796" s="216"/>
      <c r="Y796" s="216"/>
      <c r="Z796" s="216"/>
    </row>
    <row r="797" spans="1:26" ht="15.75" customHeight="1">
      <c r="A797" s="134" t="s">
        <v>7407</v>
      </c>
      <c r="B797" s="133" t="s">
        <v>141</v>
      </c>
      <c r="C797" s="133" t="s">
        <v>8727</v>
      </c>
      <c r="D797" s="100" t="s">
        <v>8728</v>
      </c>
      <c r="E797" s="528">
        <v>10</v>
      </c>
      <c r="F797" s="528">
        <v>10</v>
      </c>
      <c r="G797" s="1" t="str">
        <f t="shared" si="115"/>
        <v>Prof.dr.ing. FLOREA Adrian</v>
      </c>
      <c r="H797" s="1"/>
      <c r="I797" s="1"/>
      <c r="J797" s="216"/>
      <c r="K797" s="216"/>
      <c r="L797" s="216"/>
      <c r="M797" s="216"/>
      <c r="N797" s="216"/>
      <c r="O797" s="216"/>
      <c r="P797" s="216"/>
      <c r="Q797" s="216"/>
      <c r="R797" s="216"/>
      <c r="S797" s="216"/>
      <c r="T797" s="216"/>
      <c r="U797" s="216"/>
      <c r="V797" s="216"/>
      <c r="W797" s="216"/>
      <c r="X797" s="216"/>
      <c r="Y797" s="216"/>
      <c r="Z797" s="216"/>
    </row>
    <row r="798" spans="1:26" ht="15.75" customHeight="1">
      <c r="A798" s="134" t="s">
        <v>7407</v>
      </c>
      <c r="B798" s="133" t="s">
        <v>141</v>
      </c>
      <c r="C798" s="133" t="s">
        <v>8729</v>
      </c>
      <c r="D798" s="100" t="s">
        <v>8730</v>
      </c>
      <c r="E798" s="528">
        <v>4</v>
      </c>
      <c r="F798" s="528">
        <v>4</v>
      </c>
      <c r="G798" s="1" t="str">
        <f t="shared" si="115"/>
        <v>Prof.dr.ing. FLOREA Adrian</v>
      </c>
      <c r="H798" s="1"/>
      <c r="I798" s="1"/>
      <c r="J798" s="216"/>
      <c r="K798" s="216"/>
      <c r="L798" s="216"/>
      <c r="M798" s="216"/>
      <c r="N798" s="216"/>
      <c r="O798" s="216"/>
      <c r="P798" s="216"/>
      <c r="Q798" s="216"/>
      <c r="R798" s="216"/>
      <c r="S798" s="216"/>
      <c r="T798" s="216"/>
      <c r="U798" s="216"/>
      <c r="V798" s="216"/>
      <c r="W798" s="216"/>
      <c r="X798" s="216"/>
      <c r="Y798" s="216"/>
      <c r="Z798" s="216"/>
    </row>
    <row r="799" spans="1:26" ht="15.75" customHeight="1">
      <c r="A799" s="134" t="s">
        <v>7407</v>
      </c>
      <c r="B799" s="133" t="s">
        <v>141</v>
      </c>
      <c r="C799" s="133" t="s">
        <v>8731</v>
      </c>
      <c r="D799" s="100" t="s">
        <v>8730</v>
      </c>
      <c r="E799" s="116"/>
      <c r="F799" s="528"/>
      <c r="G799" s="1" t="str">
        <f t="shared" si="115"/>
        <v>Prof.dr.ing. FLOREA Adrian</v>
      </c>
      <c r="H799" s="1"/>
      <c r="I799" s="1"/>
      <c r="J799" s="216"/>
      <c r="K799" s="216"/>
      <c r="L799" s="216"/>
      <c r="M799" s="216"/>
      <c r="N799" s="216"/>
      <c r="O799" s="216"/>
      <c r="P799" s="216"/>
      <c r="Q799" s="216"/>
      <c r="R799" s="216"/>
      <c r="S799" s="216"/>
      <c r="T799" s="216"/>
      <c r="U799" s="216"/>
      <c r="V799" s="216"/>
      <c r="W799" s="216"/>
      <c r="X799" s="216"/>
      <c r="Y799" s="216"/>
      <c r="Z799" s="216"/>
    </row>
    <row r="800" spans="1:26" ht="15.75" customHeight="1">
      <c r="A800" s="134" t="s">
        <v>7407</v>
      </c>
      <c r="B800" s="133" t="s">
        <v>141</v>
      </c>
      <c r="C800" s="133" t="s">
        <v>8732</v>
      </c>
      <c r="D800" s="100" t="s">
        <v>8730</v>
      </c>
      <c r="E800" s="100">
        <v>47.333333333333336</v>
      </c>
      <c r="F800" s="528">
        <v>47.333333333333336</v>
      </c>
      <c r="G800" s="1" t="str">
        <f t="shared" si="115"/>
        <v>Prof.dr.ing. FLOREA Adrian</v>
      </c>
      <c r="H800" s="1"/>
      <c r="I800" s="1"/>
      <c r="J800" s="216"/>
      <c r="K800" s="216"/>
      <c r="L800" s="216"/>
      <c r="M800" s="216"/>
      <c r="N800" s="216"/>
      <c r="O800" s="216"/>
      <c r="P800" s="216"/>
      <c r="Q800" s="216"/>
      <c r="R800" s="216"/>
      <c r="S800" s="216"/>
      <c r="T800" s="216"/>
      <c r="U800" s="216"/>
      <c r="V800" s="216"/>
      <c r="W800" s="216"/>
      <c r="X800" s="216"/>
      <c r="Y800" s="216"/>
      <c r="Z800" s="216"/>
    </row>
    <row r="801" spans="1:26" ht="15.75" customHeight="1">
      <c r="A801" s="134" t="s">
        <v>7407</v>
      </c>
      <c r="B801" s="133" t="s">
        <v>141</v>
      </c>
      <c r="C801" s="133" t="s">
        <v>8733</v>
      </c>
      <c r="D801" s="100" t="s">
        <v>8730</v>
      </c>
      <c r="E801" s="116"/>
      <c r="F801" s="528"/>
      <c r="G801" s="1" t="str">
        <f t="shared" si="115"/>
        <v>Prof.dr.ing. FLOREA Adrian</v>
      </c>
      <c r="H801" s="1"/>
      <c r="I801" s="1"/>
      <c r="J801" s="216"/>
      <c r="K801" s="216"/>
      <c r="L801" s="216"/>
      <c r="M801" s="216"/>
      <c r="N801" s="216"/>
      <c r="O801" s="216"/>
      <c r="P801" s="216"/>
      <c r="Q801" s="216"/>
      <c r="R801" s="216"/>
      <c r="S801" s="216"/>
      <c r="T801" s="216"/>
      <c r="U801" s="216"/>
      <c r="V801" s="216"/>
      <c r="W801" s="216"/>
      <c r="X801" s="216"/>
      <c r="Y801" s="216"/>
      <c r="Z801" s="216"/>
    </row>
    <row r="802" spans="1:26" ht="15.75" customHeight="1">
      <c r="A802" s="134" t="s">
        <v>7407</v>
      </c>
      <c r="B802" s="133" t="s">
        <v>141</v>
      </c>
      <c r="C802" s="133" t="s">
        <v>8734</v>
      </c>
      <c r="D802" s="100" t="s">
        <v>8735</v>
      </c>
      <c r="E802" s="100">
        <v>2</v>
      </c>
      <c r="F802" s="528">
        <v>2</v>
      </c>
      <c r="G802" s="1" t="str">
        <f t="shared" si="115"/>
        <v>Prof.dr.ing. FLOREA Adrian</v>
      </c>
      <c r="H802" s="1"/>
      <c r="I802" s="1"/>
      <c r="J802" s="216"/>
      <c r="K802" s="216"/>
      <c r="L802" s="216"/>
      <c r="M802" s="216"/>
      <c r="N802" s="216"/>
      <c r="O802" s="216"/>
      <c r="P802" s="216"/>
      <c r="Q802" s="216"/>
      <c r="R802" s="216"/>
      <c r="S802" s="216"/>
      <c r="T802" s="216"/>
      <c r="U802" s="216"/>
      <c r="V802" s="216"/>
      <c r="W802" s="216"/>
      <c r="X802" s="216"/>
      <c r="Y802" s="216"/>
      <c r="Z802" s="216"/>
    </row>
    <row r="803" spans="1:26" ht="15.75" customHeight="1">
      <c r="A803" s="134" t="s">
        <v>7407</v>
      </c>
      <c r="B803" s="133" t="s">
        <v>141</v>
      </c>
      <c r="C803" s="133" t="s">
        <v>8736</v>
      </c>
      <c r="D803" s="100" t="s">
        <v>8737</v>
      </c>
      <c r="E803" s="100">
        <v>23</v>
      </c>
      <c r="F803" s="528">
        <v>23</v>
      </c>
      <c r="G803" s="1" t="str">
        <f t="shared" si="115"/>
        <v>Prof.dr.ing. FLOREA Adrian</v>
      </c>
      <c r="H803" s="1"/>
      <c r="I803" s="1"/>
      <c r="J803" s="216"/>
      <c r="K803" s="216"/>
      <c r="L803" s="216"/>
      <c r="M803" s="216"/>
      <c r="N803" s="216"/>
      <c r="O803" s="216"/>
      <c r="P803" s="216"/>
      <c r="Q803" s="216"/>
      <c r="R803" s="216"/>
      <c r="S803" s="216"/>
      <c r="T803" s="216"/>
      <c r="U803" s="216"/>
      <c r="V803" s="216"/>
      <c r="W803" s="216"/>
      <c r="X803" s="216"/>
      <c r="Y803" s="216"/>
      <c r="Z803" s="216"/>
    </row>
    <row r="804" spans="1:26" ht="15.75" customHeight="1">
      <c r="A804" s="134" t="s">
        <v>7407</v>
      </c>
      <c r="B804" s="133" t="s">
        <v>141</v>
      </c>
      <c r="C804" s="133" t="s">
        <v>8738</v>
      </c>
      <c r="D804" s="100" t="s">
        <v>8739</v>
      </c>
      <c r="E804" s="100">
        <v>2</v>
      </c>
      <c r="F804" s="528">
        <v>2</v>
      </c>
      <c r="G804" s="1" t="str">
        <f t="shared" si="115"/>
        <v>Prof.dr.ing. FLOREA Adrian</v>
      </c>
      <c r="H804" s="1"/>
      <c r="I804" s="1"/>
      <c r="J804" s="216"/>
      <c r="K804" s="216"/>
      <c r="L804" s="216"/>
      <c r="M804" s="216"/>
      <c r="N804" s="216"/>
      <c r="O804" s="216"/>
      <c r="P804" s="216"/>
      <c r="Q804" s="216"/>
      <c r="R804" s="216"/>
      <c r="S804" s="216"/>
      <c r="T804" s="216"/>
      <c r="U804" s="216"/>
      <c r="V804" s="216"/>
      <c r="W804" s="216"/>
      <c r="X804" s="216"/>
      <c r="Y804" s="216"/>
      <c r="Z804" s="216"/>
    </row>
    <row r="805" spans="1:26" ht="15.75" customHeight="1">
      <c r="A805" s="134" t="s">
        <v>7407</v>
      </c>
      <c r="B805" s="133" t="s">
        <v>141</v>
      </c>
      <c r="C805" s="133" t="s">
        <v>8731</v>
      </c>
      <c r="D805" s="100" t="s">
        <v>8739</v>
      </c>
      <c r="E805" s="116"/>
      <c r="F805" s="528"/>
      <c r="G805" s="1" t="str">
        <f t="shared" si="115"/>
        <v>Prof.dr.ing. FLOREA Adrian</v>
      </c>
      <c r="H805" s="1"/>
      <c r="I805" s="1"/>
      <c r="J805" s="216"/>
      <c r="K805" s="216"/>
      <c r="L805" s="216"/>
      <c r="M805" s="216"/>
      <c r="N805" s="216"/>
      <c r="O805" s="216"/>
      <c r="P805" s="216"/>
      <c r="Q805" s="216"/>
      <c r="R805" s="216"/>
      <c r="S805" s="216"/>
      <c r="T805" s="216"/>
      <c r="U805" s="216"/>
      <c r="V805" s="216"/>
      <c r="W805" s="216"/>
      <c r="X805" s="216"/>
      <c r="Y805" s="216"/>
      <c r="Z805" s="216"/>
    </row>
    <row r="806" spans="1:26" ht="15.75" customHeight="1">
      <c r="A806" s="134" t="s">
        <v>7407</v>
      </c>
      <c r="B806" s="133" t="s">
        <v>141</v>
      </c>
      <c r="C806" s="133" t="s">
        <v>8740</v>
      </c>
      <c r="D806" s="100" t="s">
        <v>8739</v>
      </c>
      <c r="E806" s="100">
        <v>17.333333333333332</v>
      </c>
      <c r="F806" s="528">
        <v>17.333333333333332</v>
      </c>
      <c r="G806" s="1" t="str">
        <f t="shared" si="115"/>
        <v>Prof.dr.ing. FLOREA Adrian</v>
      </c>
      <c r="H806" s="1"/>
      <c r="I806" s="1"/>
      <c r="J806" s="216"/>
      <c r="K806" s="216"/>
      <c r="L806" s="216"/>
      <c r="M806" s="216"/>
      <c r="N806" s="216"/>
      <c r="O806" s="216"/>
      <c r="P806" s="216"/>
      <c r="Q806" s="216"/>
      <c r="R806" s="216"/>
      <c r="S806" s="216"/>
      <c r="T806" s="216"/>
      <c r="U806" s="216"/>
      <c r="V806" s="216"/>
      <c r="W806" s="216"/>
      <c r="X806" s="216"/>
      <c r="Y806" s="216"/>
      <c r="Z806" s="216"/>
    </row>
    <row r="807" spans="1:26" ht="15.75" customHeight="1">
      <c r="A807" s="302" t="s">
        <v>7407</v>
      </c>
      <c r="B807" s="301" t="s">
        <v>141</v>
      </c>
      <c r="C807" s="301" t="s">
        <v>8741</v>
      </c>
      <c r="D807" s="296" t="s">
        <v>8739</v>
      </c>
      <c r="E807" s="304"/>
      <c r="F807" s="513"/>
      <c r="G807" s="1" t="str">
        <f t="shared" si="115"/>
        <v>Prof.dr.ing. FLOREA Adrian</v>
      </c>
      <c r="H807" s="1"/>
      <c r="I807" s="1"/>
      <c r="J807" s="216"/>
      <c r="K807" s="216"/>
      <c r="L807" s="216"/>
      <c r="M807" s="216"/>
      <c r="N807" s="216"/>
      <c r="O807" s="216"/>
      <c r="P807" s="216"/>
      <c r="Q807" s="216"/>
      <c r="R807" s="216"/>
      <c r="S807" s="216"/>
      <c r="T807" s="216"/>
      <c r="U807" s="216"/>
      <c r="V807" s="216"/>
      <c r="W807" s="216"/>
      <c r="X807" s="216"/>
      <c r="Y807" s="216"/>
      <c r="Z807" s="216"/>
    </row>
    <row r="808" spans="1:26" ht="15.75" customHeight="1">
      <c r="A808" s="134" t="s">
        <v>7407</v>
      </c>
      <c r="B808" s="133" t="s">
        <v>141</v>
      </c>
      <c r="C808" s="133" t="s">
        <v>8742</v>
      </c>
      <c r="D808" s="100" t="s">
        <v>8645</v>
      </c>
      <c r="E808" s="100">
        <v>3.8333333333333335</v>
      </c>
      <c r="F808" s="528">
        <v>3.8333333333333335</v>
      </c>
      <c r="G808" s="1" t="str">
        <f t="shared" si="115"/>
        <v>Prof.dr.ing. FLOREA Adrian</v>
      </c>
      <c r="H808" s="1"/>
      <c r="I808" s="1"/>
      <c r="J808" s="216"/>
      <c r="K808" s="216"/>
      <c r="L808" s="216"/>
      <c r="M808" s="216"/>
      <c r="N808" s="216"/>
      <c r="O808" s="216"/>
      <c r="P808" s="216"/>
      <c r="Q808" s="216"/>
      <c r="R808" s="216"/>
      <c r="S808" s="216"/>
      <c r="T808" s="216"/>
      <c r="U808" s="216"/>
      <c r="V808" s="216"/>
      <c r="W808" s="216"/>
      <c r="X808" s="216"/>
      <c r="Y808" s="216"/>
      <c r="Z808" s="216"/>
    </row>
    <row r="809" spans="1:26" ht="15.75" customHeight="1">
      <c r="A809" s="134" t="s">
        <v>7407</v>
      </c>
      <c r="B809" s="133" t="s">
        <v>141</v>
      </c>
      <c r="C809" s="133" t="s">
        <v>8742</v>
      </c>
      <c r="D809" s="100" t="s">
        <v>8645</v>
      </c>
      <c r="E809" s="100">
        <v>3.8333333333333335</v>
      </c>
      <c r="F809" s="528">
        <v>3.8333333333333335</v>
      </c>
      <c r="G809" s="1" t="str">
        <f t="shared" si="115"/>
        <v>Prof.dr.ing. FLOREA Adrian</v>
      </c>
      <c r="H809" s="1"/>
      <c r="I809" s="1"/>
      <c r="J809" s="216"/>
      <c r="K809" s="216"/>
      <c r="L809" s="216"/>
      <c r="M809" s="216"/>
      <c r="N809" s="216"/>
      <c r="O809" s="216"/>
      <c r="P809" s="216"/>
      <c r="Q809" s="216"/>
      <c r="R809" s="216"/>
      <c r="S809" s="216"/>
      <c r="T809" s="216"/>
      <c r="U809" s="216"/>
      <c r="V809" s="216"/>
      <c r="W809" s="216"/>
      <c r="X809" s="216"/>
      <c r="Y809" s="216"/>
      <c r="Z809" s="216"/>
    </row>
    <row r="810" spans="1:26" ht="15.75" customHeight="1">
      <c r="A810" s="134" t="s">
        <v>7407</v>
      </c>
      <c r="B810" s="133" t="s">
        <v>141</v>
      </c>
      <c r="C810" s="133" t="s">
        <v>8743</v>
      </c>
      <c r="D810" s="100" t="s">
        <v>8645</v>
      </c>
      <c r="E810" s="100">
        <v>7.25</v>
      </c>
      <c r="F810" s="528">
        <v>7.25</v>
      </c>
      <c r="G810" s="1" t="str">
        <f t="shared" si="115"/>
        <v>Prof.dr.ing. FLOREA Adrian</v>
      </c>
      <c r="H810" s="1"/>
      <c r="I810" s="1"/>
      <c r="J810" s="216"/>
      <c r="K810" s="216"/>
      <c r="L810" s="216"/>
      <c r="M810" s="216"/>
      <c r="N810" s="216"/>
      <c r="O810" s="216"/>
      <c r="P810" s="216"/>
      <c r="Q810" s="216"/>
      <c r="R810" s="216"/>
      <c r="S810" s="216"/>
      <c r="T810" s="216"/>
      <c r="U810" s="216"/>
      <c r="V810" s="216"/>
      <c r="W810" s="216"/>
      <c r="X810" s="216"/>
      <c r="Y810" s="216"/>
      <c r="Z810" s="216"/>
    </row>
    <row r="811" spans="1:26" ht="15.75" customHeight="1">
      <c r="A811" s="134" t="s">
        <v>7407</v>
      </c>
      <c r="B811" s="133" t="s">
        <v>141</v>
      </c>
      <c r="C811" s="133" t="s">
        <v>8743</v>
      </c>
      <c r="D811" s="100" t="s">
        <v>8645</v>
      </c>
      <c r="E811" s="100">
        <v>3</v>
      </c>
      <c r="F811" s="528">
        <v>3</v>
      </c>
      <c r="G811" s="1" t="str">
        <f t="shared" si="115"/>
        <v>Prof.dr.ing. FLOREA Adrian</v>
      </c>
      <c r="H811" s="1"/>
      <c r="I811" s="1"/>
      <c r="J811" s="216"/>
      <c r="K811" s="216"/>
      <c r="L811" s="216"/>
      <c r="M811" s="216"/>
      <c r="N811" s="216"/>
      <c r="O811" s="216"/>
      <c r="P811" s="216"/>
      <c r="Q811" s="216"/>
      <c r="R811" s="216"/>
      <c r="S811" s="216"/>
      <c r="T811" s="216"/>
      <c r="U811" s="216"/>
      <c r="V811" s="216"/>
      <c r="W811" s="216"/>
      <c r="X811" s="216"/>
      <c r="Y811" s="216"/>
      <c r="Z811" s="216"/>
    </row>
    <row r="812" spans="1:26" ht="15.75" customHeight="1">
      <c r="A812" s="134" t="s">
        <v>7407</v>
      </c>
      <c r="B812" s="133" t="s">
        <v>141</v>
      </c>
      <c r="C812" s="133" t="s">
        <v>8744</v>
      </c>
      <c r="D812" s="100" t="s">
        <v>8645</v>
      </c>
      <c r="E812" s="100">
        <v>2.9</v>
      </c>
      <c r="F812" s="528">
        <v>2.9</v>
      </c>
      <c r="G812" s="1" t="str">
        <f t="shared" si="115"/>
        <v>Prof.dr.ing. FLOREA Adrian</v>
      </c>
      <c r="H812" s="1"/>
      <c r="I812" s="1"/>
      <c r="J812" s="216"/>
      <c r="K812" s="216"/>
      <c r="L812" s="216"/>
      <c r="M812" s="216"/>
      <c r="N812" s="216"/>
      <c r="O812" s="216"/>
      <c r="P812" s="216"/>
      <c r="Q812" s="216"/>
      <c r="R812" s="216"/>
      <c r="S812" s="216"/>
      <c r="T812" s="216"/>
      <c r="U812" s="216"/>
      <c r="V812" s="216"/>
      <c r="W812" s="216"/>
      <c r="X812" s="216"/>
      <c r="Y812" s="216"/>
      <c r="Z812" s="216"/>
    </row>
    <row r="813" spans="1:26" ht="15.75" customHeight="1">
      <c r="A813" s="134" t="s">
        <v>7407</v>
      </c>
      <c r="B813" s="133" t="s">
        <v>141</v>
      </c>
      <c r="C813" s="133" t="s">
        <v>8744</v>
      </c>
      <c r="D813" s="100" t="s">
        <v>8645</v>
      </c>
      <c r="E813" s="100">
        <v>1.2</v>
      </c>
      <c r="F813" s="528">
        <v>1.2</v>
      </c>
      <c r="G813" s="1" t="str">
        <f t="shared" si="115"/>
        <v>Prof.dr.ing. FLOREA Adrian</v>
      </c>
      <c r="H813" s="1"/>
      <c r="I813" s="1"/>
      <c r="J813" s="216"/>
      <c r="K813" s="216"/>
      <c r="L813" s="216"/>
      <c r="M813" s="216"/>
      <c r="N813" s="216"/>
      <c r="O813" s="216"/>
      <c r="P813" s="216"/>
      <c r="Q813" s="216"/>
      <c r="R813" s="216"/>
      <c r="S813" s="216"/>
      <c r="T813" s="216"/>
      <c r="U813" s="216"/>
      <c r="V813" s="216"/>
      <c r="W813" s="216"/>
      <c r="X813" s="216"/>
      <c r="Y813" s="216"/>
      <c r="Z813" s="216"/>
    </row>
    <row r="814" spans="1:26" ht="15.75" customHeight="1">
      <c r="A814" s="134" t="s">
        <v>7407</v>
      </c>
      <c r="B814" s="133" t="s">
        <v>141</v>
      </c>
      <c r="C814" s="133" t="s">
        <v>8745</v>
      </c>
      <c r="D814" s="100" t="s">
        <v>8645</v>
      </c>
      <c r="E814" s="100">
        <v>15.333333333333334</v>
      </c>
      <c r="F814" s="528">
        <v>15.333333333333334</v>
      </c>
      <c r="G814" s="1" t="str">
        <f t="shared" si="115"/>
        <v>Prof.dr.ing. FLOREA Adrian</v>
      </c>
      <c r="H814" s="1"/>
      <c r="I814" s="1"/>
      <c r="J814" s="216"/>
      <c r="K814" s="216"/>
      <c r="L814" s="216"/>
      <c r="M814" s="216"/>
      <c r="N814" s="216"/>
      <c r="O814" s="216"/>
      <c r="P814" s="216"/>
      <c r="Q814" s="216"/>
      <c r="R814" s="216"/>
      <c r="S814" s="216"/>
      <c r="T814" s="216"/>
      <c r="U814" s="216"/>
      <c r="V814" s="216"/>
      <c r="W814" s="216"/>
      <c r="X814" s="216"/>
      <c r="Y814" s="216"/>
      <c r="Z814" s="216"/>
    </row>
    <row r="815" spans="1:26" ht="15.75" customHeight="1">
      <c r="A815" s="134" t="s">
        <v>7407</v>
      </c>
      <c r="B815" s="133" t="s">
        <v>141</v>
      </c>
      <c r="C815" s="133" t="s">
        <v>8745</v>
      </c>
      <c r="D815" s="100" t="s">
        <v>8645</v>
      </c>
      <c r="E815" s="100">
        <v>15.333333333333334</v>
      </c>
      <c r="F815" s="528">
        <v>15.333333333333334</v>
      </c>
      <c r="G815" s="1" t="str">
        <f t="shared" si="115"/>
        <v>Prof.dr.ing. FLOREA Adrian</v>
      </c>
      <c r="H815" s="1"/>
      <c r="I815" s="1"/>
      <c r="J815" s="216"/>
      <c r="K815" s="216"/>
      <c r="L815" s="216"/>
      <c r="M815" s="216"/>
      <c r="N815" s="216"/>
      <c r="O815" s="216"/>
      <c r="P815" s="216"/>
      <c r="Q815" s="216"/>
      <c r="R815" s="216"/>
      <c r="S815" s="216"/>
      <c r="T815" s="216"/>
      <c r="U815" s="216"/>
      <c r="V815" s="216"/>
      <c r="W815" s="216"/>
      <c r="X815" s="216"/>
      <c r="Y815" s="216"/>
      <c r="Z815" s="216"/>
    </row>
    <row r="816" spans="1:26" ht="15.75" customHeight="1">
      <c r="A816" s="134" t="s">
        <v>7407</v>
      </c>
      <c r="B816" s="133" t="s">
        <v>141</v>
      </c>
      <c r="C816" s="133" t="s">
        <v>8746</v>
      </c>
      <c r="D816" s="100" t="s">
        <v>8645</v>
      </c>
      <c r="E816" s="100">
        <v>2.3333333333333335</v>
      </c>
      <c r="F816" s="528">
        <v>9.3333333333333339</v>
      </c>
      <c r="G816" s="1" t="str">
        <f t="shared" si="115"/>
        <v>Prof.dr.ing. FLOREA Adrian</v>
      </c>
      <c r="H816" s="1"/>
      <c r="I816" s="1"/>
      <c r="J816" s="216"/>
      <c r="K816" s="216"/>
      <c r="L816" s="216"/>
      <c r="M816" s="216"/>
      <c r="N816" s="216"/>
      <c r="O816" s="216"/>
      <c r="P816" s="216"/>
      <c r="Q816" s="216"/>
      <c r="R816" s="216"/>
      <c r="S816" s="216"/>
      <c r="T816" s="216"/>
      <c r="U816" s="216"/>
      <c r="V816" s="216"/>
      <c r="W816" s="216"/>
      <c r="X816" s="216"/>
      <c r="Y816" s="216"/>
      <c r="Z816" s="216"/>
    </row>
    <row r="817" spans="1:26" ht="15.75" customHeight="1">
      <c r="A817" s="134" t="s">
        <v>7407</v>
      </c>
      <c r="B817" s="133" t="s">
        <v>141</v>
      </c>
      <c r="C817" s="133" t="s">
        <v>8746</v>
      </c>
      <c r="D817" s="100" t="s">
        <v>8645</v>
      </c>
      <c r="E817" s="100">
        <v>1.6666666666666667</v>
      </c>
      <c r="F817" s="528">
        <v>1.6666666666666667</v>
      </c>
      <c r="G817" s="1" t="str">
        <f t="shared" si="115"/>
        <v>Prof.dr.ing. FLOREA Adrian</v>
      </c>
      <c r="H817" s="1"/>
      <c r="I817" s="1"/>
      <c r="J817" s="216"/>
      <c r="K817" s="216"/>
      <c r="L817" s="216"/>
      <c r="M817" s="216"/>
      <c r="N817" s="216"/>
      <c r="O817" s="216"/>
      <c r="P817" s="216"/>
      <c r="Q817" s="216"/>
      <c r="R817" s="216"/>
      <c r="S817" s="216"/>
      <c r="T817" s="216"/>
      <c r="U817" s="216"/>
      <c r="V817" s="216"/>
      <c r="W817" s="216"/>
      <c r="X817" s="216"/>
      <c r="Y817" s="216"/>
      <c r="Z817" s="216"/>
    </row>
    <row r="818" spans="1:26" ht="15.75" customHeight="1">
      <c r="A818" s="134" t="s">
        <v>7407</v>
      </c>
      <c r="B818" s="133" t="s">
        <v>141</v>
      </c>
      <c r="C818" s="133" t="s">
        <v>8747</v>
      </c>
      <c r="D818" s="100" t="s">
        <v>7772</v>
      </c>
      <c r="E818" s="100">
        <v>43.333333333333336</v>
      </c>
      <c r="F818" s="528">
        <v>43.333333333333336</v>
      </c>
      <c r="G818" s="1" t="str">
        <f t="shared" si="115"/>
        <v>Prof.dr.ing. FLOREA Adrian</v>
      </c>
      <c r="H818" s="1"/>
      <c r="I818" s="1"/>
      <c r="J818" s="216"/>
      <c r="K818" s="216"/>
      <c r="L818" s="216"/>
      <c r="M818" s="216"/>
      <c r="N818" s="216"/>
      <c r="O818" s="216"/>
      <c r="P818" s="216"/>
      <c r="Q818" s="216"/>
      <c r="R818" s="216"/>
      <c r="S818" s="216"/>
      <c r="T818" s="216"/>
      <c r="U818" s="216"/>
      <c r="V818" s="216"/>
      <c r="W818" s="216"/>
      <c r="X818" s="216"/>
      <c r="Y818" s="216"/>
      <c r="Z818" s="216"/>
    </row>
    <row r="819" spans="1:26" ht="15.75" customHeight="1">
      <c r="A819" s="134" t="s">
        <v>7407</v>
      </c>
      <c r="B819" s="133" t="s">
        <v>141</v>
      </c>
      <c r="C819" s="133" t="s">
        <v>8748</v>
      </c>
      <c r="D819" s="100" t="s">
        <v>7772</v>
      </c>
      <c r="E819" s="100">
        <v>26</v>
      </c>
      <c r="F819" s="528">
        <v>26</v>
      </c>
      <c r="G819" s="1" t="str">
        <f t="shared" si="115"/>
        <v>Prof.dr.ing. FLOREA Adrian</v>
      </c>
      <c r="H819" s="1"/>
      <c r="I819" s="1"/>
      <c r="J819" s="216"/>
      <c r="K819" s="216"/>
      <c r="L819" s="216"/>
      <c r="M819" s="216"/>
      <c r="N819" s="216"/>
      <c r="O819" s="216"/>
      <c r="P819" s="216"/>
      <c r="Q819" s="216"/>
      <c r="R819" s="216"/>
      <c r="S819" s="216"/>
      <c r="T819" s="216"/>
      <c r="U819" s="216"/>
      <c r="V819" s="216"/>
      <c r="W819" s="216"/>
      <c r="X819" s="216"/>
      <c r="Y819" s="216"/>
      <c r="Z819" s="216"/>
    </row>
    <row r="820" spans="1:26" ht="15.75" customHeight="1">
      <c r="A820" s="134" t="s">
        <v>7407</v>
      </c>
      <c r="B820" s="133" t="s">
        <v>141</v>
      </c>
      <c r="C820" s="133" t="s">
        <v>8749</v>
      </c>
      <c r="D820" s="100" t="s">
        <v>7772</v>
      </c>
      <c r="E820" s="100">
        <v>5.333333333333333</v>
      </c>
      <c r="F820" s="528">
        <v>5.333333333333333</v>
      </c>
      <c r="G820" s="1" t="str">
        <f t="shared" si="115"/>
        <v>Prof.dr.ing. FLOREA Adrian</v>
      </c>
      <c r="H820" s="1"/>
      <c r="I820" s="1"/>
      <c r="J820" s="216"/>
      <c r="K820" s="216"/>
      <c r="L820" s="216"/>
      <c r="M820" s="216"/>
      <c r="N820" s="216"/>
      <c r="O820" s="216"/>
      <c r="P820" s="216"/>
      <c r="Q820" s="216"/>
      <c r="R820" s="216"/>
      <c r="S820" s="216"/>
      <c r="T820" s="216"/>
      <c r="U820" s="216"/>
      <c r="V820" s="216"/>
      <c r="W820" s="216"/>
      <c r="X820" s="216"/>
      <c r="Y820" s="216"/>
      <c r="Z820" s="216"/>
    </row>
    <row r="821" spans="1:26" ht="15.75" customHeight="1">
      <c r="A821" s="134" t="s">
        <v>7407</v>
      </c>
      <c r="B821" s="133" t="s">
        <v>141</v>
      </c>
      <c r="C821" s="133" t="s">
        <v>8731</v>
      </c>
      <c r="D821" s="100" t="s">
        <v>7772</v>
      </c>
      <c r="E821" s="100"/>
      <c r="F821" s="528"/>
      <c r="G821" s="1" t="str">
        <f t="shared" si="115"/>
        <v>Prof.dr.ing. FLOREA Adrian</v>
      </c>
      <c r="H821" s="1"/>
      <c r="I821" s="1"/>
      <c r="J821" s="216"/>
      <c r="K821" s="216"/>
      <c r="L821" s="216"/>
      <c r="M821" s="216"/>
      <c r="N821" s="216"/>
      <c r="O821" s="216"/>
      <c r="P821" s="216"/>
      <c r="Q821" s="216"/>
      <c r="R821" s="216"/>
      <c r="S821" s="216"/>
      <c r="T821" s="216"/>
      <c r="U821" s="216"/>
      <c r="V821" s="216"/>
      <c r="W821" s="216"/>
      <c r="X821" s="216"/>
      <c r="Y821" s="216"/>
      <c r="Z821" s="216"/>
    </row>
    <row r="822" spans="1:26" ht="15.75" customHeight="1">
      <c r="A822" s="134" t="s">
        <v>7407</v>
      </c>
      <c r="B822" s="133" t="s">
        <v>141</v>
      </c>
      <c r="C822" s="216" t="s">
        <v>8750</v>
      </c>
      <c r="D822" s="100" t="s">
        <v>7772</v>
      </c>
      <c r="E822" s="100">
        <v>2</v>
      </c>
      <c r="F822" s="100">
        <v>2</v>
      </c>
      <c r="G822" s="1" t="str">
        <f t="shared" si="115"/>
        <v>Prof.dr.ing. FLOREA Adrian</v>
      </c>
      <c r="H822" s="1"/>
      <c r="I822" s="1"/>
      <c r="J822" s="216"/>
      <c r="K822" s="216"/>
      <c r="L822" s="216"/>
      <c r="M822" s="216"/>
      <c r="N822" s="216"/>
      <c r="O822" s="216"/>
      <c r="P822" s="216"/>
      <c r="Q822" s="216"/>
      <c r="R822" s="216"/>
      <c r="S822" s="216"/>
      <c r="T822" s="216"/>
      <c r="U822" s="216"/>
      <c r="V822" s="216"/>
      <c r="W822" s="216"/>
      <c r="X822" s="216"/>
      <c r="Y822" s="216"/>
      <c r="Z822" s="216"/>
    </row>
    <row r="823" spans="1:26" ht="15.75" customHeight="1">
      <c r="A823" s="134" t="s">
        <v>7407</v>
      </c>
      <c r="B823" s="133" t="s">
        <v>141</v>
      </c>
      <c r="C823" s="216" t="s">
        <v>8751</v>
      </c>
      <c r="D823" s="100" t="s">
        <v>7772</v>
      </c>
      <c r="E823" s="100">
        <v>1</v>
      </c>
      <c r="F823" s="100">
        <v>1</v>
      </c>
      <c r="G823" s="1" t="s">
        <v>7407</v>
      </c>
      <c r="H823" s="1"/>
      <c r="I823" s="1"/>
      <c r="J823" s="216"/>
      <c r="K823" s="216"/>
      <c r="L823" s="216"/>
      <c r="M823" s="216"/>
      <c r="N823" s="216"/>
      <c r="O823" s="216"/>
      <c r="P823" s="216"/>
      <c r="Q823" s="216"/>
      <c r="R823" s="216"/>
      <c r="S823" s="216"/>
      <c r="T823" s="216"/>
      <c r="U823" s="216"/>
      <c r="V823" s="216"/>
      <c r="W823" s="216"/>
      <c r="X823" s="216"/>
      <c r="Y823" s="216"/>
      <c r="Z823" s="216"/>
    </row>
    <row r="824" spans="1:26" ht="15.75" customHeight="1">
      <c r="A824" s="134" t="s">
        <v>829</v>
      </c>
      <c r="B824" s="133" t="s">
        <v>141</v>
      </c>
      <c r="C824" s="133" t="s">
        <v>8752</v>
      </c>
      <c r="D824" s="116" t="s">
        <v>7778</v>
      </c>
      <c r="E824" s="528">
        <v>12.33</v>
      </c>
      <c r="F824" s="528">
        <v>12.33</v>
      </c>
      <c r="G824" s="1" t="str">
        <f t="shared" ref="G824:G896" si="116">A824</f>
        <v>Gellert Arpad</v>
      </c>
      <c r="H824" s="1"/>
      <c r="I824" s="1"/>
      <c r="J824" s="216"/>
      <c r="K824" s="216"/>
      <c r="L824" s="216"/>
      <c r="M824" s="216"/>
      <c r="N824" s="216"/>
      <c r="O824" s="216"/>
      <c r="P824" s="216"/>
      <c r="Q824" s="216"/>
      <c r="R824" s="216"/>
      <c r="S824" s="216"/>
      <c r="T824" s="216"/>
      <c r="U824" s="216"/>
      <c r="V824" s="216"/>
      <c r="W824" s="216"/>
      <c r="X824" s="216"/>
      <c r="Y824" s="216"/>
      <c r="Z824" s="216"/>
    </row>
    <row r="825" spans="1:26" ht="15.75" customHeight="1">
      <c r="A825" s="134" t="s">
        <v>829</v>
      </c>
      <c r="B825" s="133" t="s">
        <v>141</v>
      </c>
      <c r="C825" s="133" t="s">
        <v>8753</v>
      </c>
      <c r="D825" s="116" t="s">
        <v>7778</v>
      </c>
      <c r="E825" s="528">
        <v>12.33</v>
      </c>
      <c r="F825" s="528">
        <v>12.33</v>
      </c>
      <c r="G825" s="1" t="str">
        <f t="shared" si="116"/>
        <v>Gellert Arpad</v>
      </c>
      <c r="H825" s="1"/>
      <c r="I825" s="1"/>
      <c r="J825" s="216"/>
      <c r="K825" s="216"/>
      <c r="L825" s="216"/>
      <c r="M825" s="216"/>
      <c r="N825" s="216"/>
      <c r="O825" s="216"/>
      <c r="P825" s="216"/>
      <c r="Q825" s="216"/>
      <c r="R825" s="216"/>
      <c r="S825" s="216"/>
      <c r="T825" s="216"/>
      <c r="U825" s="216"/>
      <c r="V825" s="216"/>
      <c r="W825" s="216"/>
      <c r="X825" s="216"/>
      <c r="Y825" s="216"/>
      <c r="Z825" s="216"/>
    </row>
    <row r="826" spans="1:26" ht="15.75" customHeight="1">
      <c r="A826" s="134" t="s">
        <v>829</v>
      </c>
      <c r="B826" s="133" t="s">
        <v>141</v>
      </c>
      <c r="C826" s="133" t="s">
        <v>8754</v>
      </c>
      <c r="D826" s="116" t="s">
        <v>7778</v>
      </c>
      <c r="E826" s="528">
        <v>12</v>
      </c>
      <c r="F826" s="528">
        <v>12</v>
      </c>
      <c r="G826" s="1" t="str">
        <f t="shared" si="116"/>
        <v>Gellert Arpad</v>
      </c>
      <c r="H826" s="1"/>
      <c r="I826" s="1"/>
      <c r="J826" s="216"/>
      <c r="K826" s="216"/>
      <c r="L826" s="216"/>
      <c r="M826" s="216"/>
      <c r="N826" s="216"/>
      <c r="O826" s="216"/>
      <c r="P826" s="216"/>
      <c r="Q826" s="216"/>
      <c r="R826" s="216"/>
      <c r="S826" s="216"/>
      <c r="T826" s="216"/>
      <c r="U826" s="216"/>
      <c r="V826" s="216"/>
      <c r="W826" s="216"/>
      <c r="X826" s="216"/>
      <c r="Y826" s="216"/>
      <c r="Z826" s="216"/>
    </row>
    <row r="827" spans="1:26" ht="15.75" customHeight="1">
      <c r="A827" s="134" t="s">
        <v>829</v>
      </c>
      <c r="B827" s="133" t="s">
        <v>141</v>
      </c>
      <c r="C827" s="133" t="s">
        <v>8755</v>
      </c>
      <c r="D827" s="116" t="s">
        <v>7778</v>
      </c>
      <c r="E827" s="528">
        <v>10</v>
      </c>
      <c r="F827" s="528">
        <v>10</v>
      </c>
      <c r="G827" s="1" t="str">
        <f t="shared" si="116"/>
        <v>Gellert Arpad</v>
      </c>
      <c r="H827" s="1"/>
      <c r="I827" s="1"/>
      <c r="J827" s="216"/>
      <c r="K827" s="216"/>
      <c r="L827" s="216"/>
      <c r="M827" s="216"/>
      <c r="N827" s="216"/>
      <c r="O827" s="216"/>
      <c r="P827" s="216"/>
      <c r="Q827" s="216"/>
      <c r="R827" s="216"/>
      <c r="S827" s="216"/>
      <c r="T827" s="216"/>
      <c r="U827" s="216"/>
      <c r="V827" s="216"/>
      <c r="W827" s="216"/>
      <c r="X827" s="216"/>
      <c r="Y827" s="216"/>
      <c r="Z827" s="216"/>
    </row>
    <row r="828" spans="1:26" ht="15.75" customHeight="1">
      <c r="A828" s="134" t="s">
        <v>829</v>
      </c>
      <c r="B828" s="133" t="s">
        <v>141</v>
      </c>
      <c r="C828" s="133" t="s">
        <v>8756</v>
      </c>
      <c r="D828" s="116" t="s">
        <v>7790</v>
      </c>
      <c r="E828" s="528">
        <v>15.33</v>
      </c>
      <c r="F828" s="528">
        <v>7.66</v>
      </c>
      <c r="G828" s="1" t="str">
        <f t="shared" si="116"/>
        <v>Gellert Arpad</v>
      </c>
      <c r="H828" s="1"/>
      <c r="I828" s="1"/>
      <c r="J828" s="216"/>
      <c r="K828" s="216"/>
      <c r="L828" s="216"/>
      <c r="M828" s="216"/>
      <c r="N828" s="216"/>
      <c r="O828" s="216"/>
      <c r="P828" s="216"/>
      <c r="Q828" s="216"/>
      <c r="R828" s="216"/>
      <c r="S828" s="216"/>
      <c r="T828" s="216"/>
      <c r="U828" s="216"/>
      <c r="V828" s="216"/>
      <c r="W828" s="216"/>
      <c r="X828" s="216"/>
      <c r="Y828" s="216"/>
      <c r="Z828" s="216"/>
    </row>
    <row r="829" spans="1:26" ht="15.75" customHeight="1">
      <c r="A829" s="134" t="s">
        <v>829</v>
      </c>
      <c r="B829" s="133" t="s">
        <v>141</v>
      </c>
      <c r="C829" s="133" t="s">
        <v>8757</v>
      </c>
      <c r="D829" s="116" t="s">
        <v>7790</v>
      </c>
      <c r="E829" s="528">
        <v>15.33</v>
      </c>
      <c r="F829" s="528">
        <v>7.66</v>
      </c>
      <c r="G829" s="1" t="str">
        <f t="shared" si="116"/>
        <v>Gellert Arpad</v>
      </c>
      <c r="H829" s="1"/>
      <c r="I829" s="1"/>
      <c r="J829" s="216"/>
      <c r="K829" s="216"/>
      <c r="L829" s="216"/>
      <c r="M829" s="216"/>
      <c r="N829" s="216"/>
      <c r="O829" s="216"/>
      <c r="P829" s="216"/>
      <c r="Q829" s="216"/>
      <c r="R829" s="216"/>
      <c r="S829" s="216"/>
      <c r="T829" s="216"/>
      <c r="U829" s="216"/>
      <c r="V829" s="216"/>
      <c r="W829" s="216"/>
      <c r="X829" s="216"/>
      <c r="Y829" s="216"/>
      <c r="Z829" s="216"/>
    </row>
    <row r="830" spans="1:26" ht="15.75" customHeight="1">
      <c r="A830" s="134" t="s">
        <v>829</v>
      </c>
      <c r="B830" s="133" t="s">
        <v>141</v>
      </c>
      <c r="C830" s="133" t="s">
        <v>8758</v>
      </c>
      <c r="D830" s="116" t="s">
        <v>7778</v>
      </c>
      <c r="E830" s="528">
        <v>12.33</v>
      </c>
      <c r="F830" s="528">
        <v>12.33</v>
      </c>
      <c r="G830" s="1" t="str">
        <f t="shared" si="116"/>
        <v>Gellert Arpad</v>
      </c>
      <c r="H830" s="1"/>
      <c r="I830" s="1"/>
      <c r="J830" s="216"/>
      <c r="K830" s="216"/>
      <c r="L830" s="216"/>
      <c r="M830" s="216"/>
      <c r="N830" s="216"/>
      <c r="O830" s="216"/>
      <c r="P830" s="216"/>
      <c r="Q830" s="216"/>
      <c r="R830" s="216"/>
      <c r="S830" s="216"/>
      <c r="T830" s="216"/>
      <c r="U830" s="216"/>
      <c r="V830" s="216"/>
      <c r="W830" s="216"/>
      <c r="X830" s="216"/>
      <c r="Y830" s="216"/>
      <c r="Z830" s="216"/>
    </row>
    <row r="831" spans="1:26" ht="15.75" customHeight="1">
      <c r="A831" s="134" t="s">
        <v>829</v>
      </c>
      <c r="B831" s="133" t="s">
        <v>141</v>
      </c>
      <c r="C831" s="133" t="s">
        <v>8759</v>
      </c>
      <c r="D831" s="116" t="s">
        <v>7778</v>
      </c>
      <c r="E831" s="528">
        <v>12.33</v>
      </c>
      <c r="F831" s="528">
        <v>12.33</v>
      </c>
      <c r="G831" s="1" t="str">
        <f t="shared" si="116"/>
        <v>Gellert Arpad</v>
      </c>
      <c r="H831" s="1"/>
      <c r="I831" s="1"/>
      <c r="J831" s="216"/>
      <c r="K831" s="216"/>
      <c r="L831" s="216"/>
      <c r="M831" s="216"/>
      <c r="N831" s="216"/>
      <c r="O831" s="216"/>
      <c r="P831" s="216"/>
      <c r="Q831" s="216"/>
      <c r="R831" s="216"/>
      <c r="S831" s="216"/>
      <c r="T831" s="216"/>
      <c r="U831" s="216"/>
      <c r="V831" s="216"/>
      <c r="W831" s="216"/>
      <c r="X831" s="216"/>
      <c r="Y831" s="216"/>
      <c r="Z831" s="216"/>
    </row>
    <row r="832" spans="1:26" ht="15.75" customHeight="1">
      <c r="A832" s="134" t="s">
        <v>829</v>
      </c>
      <c r="B832" s="133" t="s">
        <v>141</v>
      </c>
      <c r="C832" s="133" t="s">
        <v>8760</v>
      </c>
      <c r="D832" s="116" t="s">
        <v>7778</v>
      </c>
      <c r="E832" s="528">
        <v>12</v>
      </c>
      <c r="F832" s="528">
        <v>12</v>
      </c>
      <c r="G832" s="1" t="str">
        <f t="shared" si="116"/>
        <v>Gellert Arpad</v>
      </c>
      <c r="H832" s="1"/>
      <c r="I832" s="1"/>
      <c r="J832" s="216"/>
      <c r="K832" s="216"/>
      <c r="L832" s="216"/>
      <c r="M832" s="216"/>
      <c r="N832" s="216"/>
      <c r="O832" s="216"/>
      <c r="P832" s="216"/>
      <c r="Q832" s="216"/>
      <c r="R832" s="216"/>
      <c r="S832" s="216"/>
      <c r="T832" s="216"/>
      <c r="U832" s="216"/>
      <c r="V832" s="216"/>
      <c r="W832" s="216"/>
      <c r="X832" s="216"/>
      <c r="Y832" s="216"/>
      <c r="Z832" s="216"/>
    </row>
    <row r="833" spans="1:26" ht="15.75" customHeight="1">
      <c r="A833" s="134" t="s">
        <v>829</v>
      </c>
      <c r="B833" s="133" t="s">
        <v>141</v>
      </c>
      <c r="C833" s="133" t="s">
        <v>8761</v>
      </c>
      <c r="D833" s="116" t="s">
        <v>7778</v>
      </c>
      <c r="E833" s="528">
        <v>10</v>
      </c>
      <c r="F833" s="528">
        <v>10</v>
      </c>
      <c r="G833" s="1" t="str">
        <f t="shared" si="116"/>
        <v>Gellert Arpad</v>
      </c>
      <c r="H833" s="1"/>
      <c r="I833" s="1"/>
      <c r="J833" s="216"/>
      <c r="K833" s="216"/>
      <c r="L833" s="216"/>
      <c r="M833" s="216"/>
      <c r="N833" s="216"/>
      <c r="O833" s="216"/>
      <c r="P833" s="216"/>
      <c r="Q833" s="216"/>
      <c r="R833" s="216"/>
      <c r="S833" s="216"/>
      <c r="T833" s="216"/>
      <c r="U833" s="216"/>
      <c r="V833" s="216"/>
      <c r="W833" s="216"/>
      <c r="X833" s="216"/>
      <c r="Y833" s="216"/>
      <c r="Z833" s="216"/>
    </row>
    <row r="834" spans="1:26" ht="15.75" customHeight="1">
      <c r="A834" s="134" t="s">
        <v>829</v>
      </c>
      <c r="B834" s="133" t="s">
        <v>141</v>
      </c>
      <c r="C834" s="133" t="s">
        <v>8762</v>
      </c>
      <c r="D834" s="116" t="s">
        <v>7778</v>
      </c>
      <c r="E834" s="528">
        <v>5</v>
      </c>
      <c r="F834" s="528">
        <v>5</v>
      </c>
      <c r="G834" s="1" t="str">
        <f t="shared" si="116"/>
        <v>Gellert Arpad</v>
      </c>
      <c r="H834" s="1"/>
      <c r="I834" s="1"/>
      <c r="J834" s="216"/>
      <c r="K834" s="216"/>
      <c r="L834" s="216"/>
      <c r="M834" s="216"/>
      <c r="N834" s="216"/>
      <c r="O834" s="216"/>
      <c r="P834" s="216"/>
      <c r="Q834" s="216"/>
      <c r="R834" s="216"/>
      <c r="S834" s="216"/>
      <c r="T834" s="216"/>
      <c r="U834" s="216"/>
      <c r="V834" s="216"/>
      <c r="W834" s="216"/>
      <c r="X834" s="216"/>
      <c r="Y834" s="216"/>
      <c r="Z834" s="216"/>
    </row>
    <row r="835" spans="1:26" ht="15.75" customHeight="1">
      <c r="A835" s="134" t="s">
        <v>829</v>
      </c>
      <c r="B835" s="133" t="s">
        <v>141</v>
      </c>
      <c r="C835" s="133" t="s">
        <v>8763</v>
      </c>
      <c r="D835" s="116" t="s">
        <v>7778</v>
      </c>
      <c r="E835" s="528">
        <v>5</v>
      </c>
      <c r="F835" s="528">
        <v>5</v>
      </c>
      <c r="G835" s="1" t="str">
        <f t="shared" si="116"/>
        <v>Gellert Arpad</v>
      </c>
      <c r="H835" s="1"/>
      <c r="I835" s="1"/>
      <c r="J835" s="216"/>
      <c r="K835" s="216"/>
      <c r="L835" s="216"/>
      <c r="M835" s="216"/>
      <c r="N835" s="216"/>
      <c r="O835" s="216"/>
      <c r="P835" s="216"/>
      <c r="Q835" s="216"/>
      <c r="R835" s="216"/>
      <c r="S835" s="216"/>
      <c r="T835" s="216"/>
      <c r="U835" s="216"/>
      <c r="V835" s="216"/>
      <c r="W835" s="216"/>
      <c r="X835" s="216"/>
      <c r="Y835" s="216"/>
      <c r="Z835" s="216"/>
    </row>
    <row r="836" spans="1:26" ht="15.75" customHeight="1">
      <c r="A836" s="134" t="s">
        <v>829</v>
      </c>
      <c r="B836" s="133" t="s">
        <v>141</v>
      </c>
      <c r="C836" s="133" t="s">
        <v>8764</v>
      </c>
      <c r="D836" s="116" t="s">
        <v>7778</v>
      </c>
      <c r="E836" s="528">
        <v>5</v>
      </c>
      <c r="F836" s="528">
        <v>5</v>
      </c>
      <c r="G836" s="1" t="str">
        <f t="shared" si="116"/>
        <v>Gellert Arpad</v>
      </c>
      <c r="H836" s="1"/>
      <c r="I836" s="1"/>
      <c r="J836" s="216"/>
      <c r="K836" s="216"/>
      <c r="L836" s="216"/>
      <c r="M836" s="216"/>
      <c r="N836" s="216"/>
      <c r="O836" s="216"/>
      <c r="P836" s="216"/>
      <c r="Q836" s="216"/>
      <c r="R836" s="216"/>
      <c r="S836" s="216"/>
      <c r="T836" s="216"/>
      <c r="U836" s="216"/>
      <c r="V836" s="216"/>
      <c r="W836" s="216"/>
      <c r="X836" s="216"/>
      <c r="Y836" s="216"/>
      <c r="Z836" s="216"/>
    </row>
    <row r="837" spans="1:26" ht="15.75" customHeight="1">
      <c r="A837" s="134" t="s">
        <v>829</v>
      </c>
      <c r="B837" s="133" t="s">
        <v>141</v>
      </c>
      <c r="C837" s="133" t="s">
        <v>8765</v>
      </c>
      <c r="D837" s="116" t="s">
        <v>7778</v>
      </c>
      <c r="E837" s="528">
        <v>5.33</v>
      </c>
      <c r="F837" s="528">
        <v>5.33</v>
      </c>
      <c r="G837" s="1" t="str">
        <f t="shared" si="116"/>
        <v>Gellert Arpad</v>
      </c>
      <c r="H837" s="1"/>
      <c r="I837" s="1"/>
      <c r="J837" s="216"/>
      <c r="K837" s="216"/>
      <c r="L837" s="216"/>
      <c r="M837" s="216"/>
      <c r="N837" s="216"/>
      <c r="O837" s="216"/>
      <c r="P837" s="216"/>
      <c r="Q837" s="216"/>
      <c r="R837" s="216"/>
      <c r="S837" s="216"/>
      <c r="T837" s="216"/>
      <c r="U837" s="216"/>
      <c r="V837" s="216"/>
      <c r="W837" s="216"/>
      <c r="X837" s="216"/>
      <c r="Y837" s="216"/>
      <c r="Z837" s="216"/>
    </row>
    <row r="838" spans="1:26" ht="15.75" customHeight="1">
      <c r="A838" s="134" t="s">
        <v>829</v>
      </c>
      <c r="B838" s="133" t="s">
        <v>141</v>
      </c>
      <c r="C838" s="133" t="s">
        <v>8766</v>
      </c>
      <c r="D838" s="116" t="s">
        <v>7778</v>
      </c>
      <c r="E838" s="528">
        <v>3</v>
      </c>
      <c r="F838" s="528">
        <v>3</v>
      </c>
      <c r="G838" s="1" t="str">
        <f t="shared" si="116"/>
        <v>Gellert Arpad</v>
      </c>
      <c r="H838" s="1"/>
      <c r="I838" s="1"/>
      <c r="J838" s="216"/>
      <c r="K838" s="216"/>
      <c r="L838" s="216"/>
      <c r="M838" s="216"/>
      <c r="N838" s="216"/>
      <c r="O838" s="216"/>
      <c r="P838" s="216"/>
      <c r="Q838" s="216"/>
      <c r="R838" s="216"/>
      <c r="S838" s="216"/>
      <c r="T838" s="216"/>
      <c r="U838" s="216"/>
      <c r="V838" s="216"/>
      <c r="W838" s="216"/>
      <c r="X838" s="216"/>
      <c r="Y838" s="216"/>
      <c r="Z838" s="216"/>
    </row>
    <row r="839" spans="1:26" ht="15.75" customHeight="1">
      <c r="A839" s="134" t="s">
        <v>829</v>
      </c>
      <c r="B839" s="133" t="s">
        <v>141</v>
      </c>
      <c r="C839" s="133" t="s">
        <v>8767</v>
      </c>
      <c r="D839" s="116" t="s">
        <v>7778</v>
      </c>
      <c r="E839" s="528">
        <v>3</v>
      </c>
      <c r="F839" s="528">
        <v>3</v>
      </c>
      <c r="G839" s="1" t="str">
        <f t="shared" si="116"/>
        <v>Gellert Arpad</v>
      </c>
      <c r="H839" s="1"/>
      <c r="I839" s="1"/>
      <c r="J839" s="216"/>
      <c r="K839" s="216"/>
      <c r="L839" s="216"/>
      <c r="M839" s="216"/>
      <c r="N839" s="216"/>
      <c r="O839" s="216"/>
      <c r="P839" s="216"/>
      <c r="Q839" s="216"/>
      <c r="R839" s="216"/>
      <c r="S839" s="216"/>
      <c r="T839" s="216"/>
      <c r="U839" s="216"/>
      <c r="V839" s="216"/>
      <c r="W839" s="216"/>
      <c r="X839" s="216"/>
      <c r="Y839" s="216"/>
      <c r="Z839" s="216"/>
    </row>
    <row r="840" spans="1:26" ht="15.75" customHeight="1">
      <c r="A840" s="134" t="s">
        <v>829</v>
      </c>
      <c r="B840" s="133" t="s">
        <v>141</v>
      </c>
      <c r="C840" s="133" t="s">
        <v>8768</v>
      </c>
      <c r="D840" s="116" t="s">
        <v>7778</v>
      </c>
      <c r="E840" s="528">
        <v>3</v>
      </c>
      <c r="F840" s="528">
        <v>3</v>
      </c>
      <c r="G840" s="1" t="str">
        <f t="shared" si="116"/>
        <v>Gellert Arpad</v>
      </c>
      <c r="H840" s="1"/>
      <c r="I840" s="1"/>
      <c r="J840" s="216"/>
      <c r="K840" s="216"/>
      <c r="L840" s="216"/>
      <c r="M840" s="216"/>
      <c r="N840" s="216"/>
      <c r="O840" s="216"/>
      <c r="P840" s="216"/>
      <c r="Q840" s="216"/>
      <c r="R840" s="216"/>
      <c r="S840" s="216"/>
      <c r="T840" s="216"/>
      <c r="U840" s="216"/>
      <c r="V840" s="216"/>
      <c r="W840" s="216"/>
      <c r="X840" s="216"/>
      <c r="Y840" s="216"/>
      <c r="Z840" s="216"/>
    </row>
    <row r="841" spans="1:26" ht="15.75" customHeight="1">
      <c r="A841" s="134" t="s">
        <v>829</v>
      </c>
      <c r="B841" s="133" t="s">
        <v>141</v>
      </c>
      <c r="C841" s="133" t="s">
        <v>8769</v>
      </c>
      <c r="D841" s="116" t="s">
        <v>7778</v>
      </c>
      <c r="E841" s="528">
        <v>2.33</v>
      </c>
      <c r="F841" s="528">
        <v>2.33</v>
      </c>
      <c r="G841" s="1" t="str">
        <f t="shared" si="116"/>
        <v>Gellert Arpad</v>
      </c>
      <c r="H841" s="1"/>
      <c r="I841" s="1"/>
      <c r="J841" s="216"/>
      <c r="K841" s="216"/>
      <c r="L841" s="216"/>
      <c r="M841" s="216"/>
      <c r="N841" s="216"/>
      <c r="O841" s="216"/>
      <c r="P841" s="216"/>
      <c r="Q841" s="216"/>
      <c r="R841" s="216"/>
      <c r="S841" s="216"/>
      <c r="T841" s="216"/>
      <c r="U841" s="216"/>
      <c r="V841" s="216"/>
      <c r="W841" s="216"/>
      <c r="X841" s="216"/>
      <c r="Y841" s="216"/>
      <c r="Z841" s="216"/>
    </row>
    <row r="842" spans="1:26" ht="15.75" customHeight="1">
      <c r="A842" s="134" t="s">
        <v>829</v>
      </c>
      <c r="B842" s="133" t="s">
        <v>141</v>
      </c>
      <c r="C842" s="133" t="s">
        <v>8770</v>
      </c>
      <c r="D842" s="116" t="s">
        <v>7790</v>
      </c>
      <c r="E842" s="528">
        <v>3.66</v>
      </c>
      <c r="F842" s="528">
        <v>1.83</v>
      </c>
      <c r="G842" s="1" t="str">
        <f t="shared" si="116"/>
        <v>Gellert Arpad</v>
      </c>
      <c r="H842" s="1"/>
      <c r="I842" s="1"/>
      <c r="J842" s="216"/>
      <c r="K842" s="216"/>
      <c r="L842" s="216"/>
      <c r="M842" s="216"/>
      <c r="N842" s="216"/>
      <c r="O842" s="216"/>
      <c r="P842" s="216"/>
      <c r="Q842" s="216"/>
      <c r="R842" s="216"/>
      <c r="S842" s="216"/>
      <c r="T842" s="216"/>
      <c r="U842" s="216"/>
      <c r="V842" s="216"/>
      <c r="W842" s="216"/>
      <c r="X842" s="216"/>
      <c r="Y842" s="216"/>
      <c r="Z842" s="216"/>
    </row>
    <row r="843" spans="1:26" ht="15.75" customHeight="1">
      <c r="A843" s="134" t="s">
        <v>829</v>
      </c>
      <c r="B843" s="133" t="s">
        <v>141</v>
      </c>
      <c r="C843" s="133" t="s">
        <v>8771</v>
      </c>
      <c r="D843" s="116" t="s">
        <v>7790</v>
      </c>
      <c r="E843" s="528">
        <v>3.66</v>
      </c>
      <c r="F843" s="528">
        <v>1.83</v>
      </c>
      <c r="G843" s="1" t="str">
        <f t="shared" si="116"/>
        <v>Gellert Arpad</v>
      </c>
      <c r="H843" s="1"/>
      <c r="I843" s="1"/>
      <c r="J843" s="216"/>
      <c r="K843" s="216"/>
      <c r="L843" s="216"/>
      <c r="M843" s="216"/>
      <c r="N843" s="216"/>
      <c r="O843" s="216"/>
      <c r="P843" s="216"/>
      <c r="Q843" s="216"/>
      <c r="R843" s="216"/>
      <c r="S843" s="216"/>
      <c r="T843" s="216"/>
      <c r="U843" s="216"/>
      <c r="V843" s="216"/>
      <c r="W843" s="216"/>
      <c r="X843" s="216"/>
      <c r="Y843" s="216"/>
      <c r="Z843" s="216"/>
    </row>
    <row r="844" spans="1:26" ht="15.75" customHeight="1">
      <c r="A844" s="134" t="s">
        <v>829</v>
      </c>
      <c r="B844" s="133" t="s">
        <v>141</v>
      </c>
      <c r="C844" s="133" t="s">
        <v>8772</v>
      </c>
      <c r="D844" s="116" t="s">
        <v>7778</v>
      </c>
      <c r="E844" s="528">
        <v>1</v>
      </c>
      <c r="F844" s="528">
        <v>1</v>
      </c>
      <c r="G844" s="1" t="str">
        <f t="shared" si="116"/>
        <v>Gellert Arpad</v>
      </c>
      <c r="H844" s="1"/>
      <c r="I844" s="1"/>
      <c r="J844" s="216"/>
      <c r="K844" s="216"/>
      <c r="L844" s="216"/>
      <c r="M844" s="216"/>
      <c r="N844" s="216"/>
      <c r="O844" s="216"/>
      <c r="P844" s="216"/>
      <c r="Q844" s="216"/>
      <c r="R844" s="216"/>
      <c r="S844" s="216"/>
      <c r="T844" s="216"/>
      <c r="U844" s="216"/>
      <c r="V844" s="216"/>
      <c r="W844" s="216"/>
      <c r="X844" s="216"/>
      <c r="Y844" s="216"/>
      <c r="Z844" s="216"/>
    </row>
    <row r="845" spans="1:26" ht="15.75" customHeight="1">
      <c r="A845" s="134" t="s">
        <v>829</v>
      </c>
      <c r="B845" s="133" t="s">
        <v>141</v>
      </c>
      <c r="C845" s="133" t="s">
        <v>8773</v>
      </c>
      <c r="D845" s="116" t="s">
        <v>7778</v>
      </c>
      <c r="E845" s="528">
        <v>1</v>
      </c>
      <c r="F845" s="528">
        <v>1</v>
      </c>
      <c r="G845" s="1" t="str">
        <f t="shared" si="116"/>
        <v>Gellert Arpad</v>
      </c>
      <c r="H845" s="1"/>
      <c r="I845" s="1"/>
      <c r="J845" s="216"/>
      <c r="K845" s="216"/>
      <c r="L845" s="216"/>
      <c r="M845" s="216"/>
      <c r="N845" s="216"/>
      <c r="O845" s="216"/>
      <c r="P845" s="216"/>
      <c r="Q845" s="216"/>
      <c r="R845" s="216"/>
      <c r="S845" s="216"/>
      <c r="T845" s="216"/>
      <c r="U845" s="216"/>
      <c r="V845" s="216"/>
      <c r="W845" s="216"/>
      <c r="X845" s="216"/>
      <c r="Y845" s="216"/>
      <c r="Z845" s="216"/>
    </row>
    <row r="846" spans="1:26" ht="15.75" customHeight="1">
      <c r="A846" s="134" t="s">
        <v>829</v>
      </c>
      <c r="B846" s="133" t="s">
        <v>141</v>
      </c>
      <c r="C846" s="133" t="s">
        <v>8774</v>
      </c>
      <c r="D846" s="116" t="s">
        <v>7778</v>
      </c>
      <c r="E846" s="528">
        <v>1</v>
      </c>
      <c r="F846" s="528">
        <v>1</v>
      </c>
      <c r="G846" s="1" t="str">
        <f t="shared" si="116"/>
        <v>Gellert Arpad</v>
      </c>
      <c r="H846" s="1"/>
      <c r="I846" s="1"/>
      <c r="J846" s="216"/>
      <c r="K846" s="216"/>
      <c r="L846" s="216"/>
      <c r="M846" s="216"/>
      <c r="N846" s="216"/>
      <c r="O846" s="216"/>
      <c r="P846" s="216"/>
      <c r="Q846" s="216"/>
      <c r="R846" s="216"/>
      <c r="S846" s="216"/>
      <c r="T846" s="216"/>
      <c r="U846" s="216"/>
      <c r="V846" s="216"/>
      <c r="W846" s="216"/>
      <c r="X846" s="216"/>
      <c r="Y846" s="216"/>
      <c r="Z846" s="216"/>
    </row>
    <row r="847" spans="1:26" ht="15.75" customHeight="1">
      <c r="A847" s="134" t="s">
        <v>829</v>
      </c>
      <c r="B847" s="133" t="s">
        <v>141</v>
      </c>
      <c r="C847" s="133" t="s">
        <v>8775</v>
      </c>
      <c r="D847" s="116" t="s">
        <v>7778</v>
      </c>
      <c r="E847" s="528">
        <v>1</v>
      </c>
      <c r="F847" s="528">
        <v>1</v>
      </c>
      <c r="G847" s="1" t="str">
        <f t="shared" si="116"/>
        <v>Gellert Arpad</v>
      </c>
      <c r="H847" s="1"/>
      <c r="I847" s="1"/>
      <c r="J847" s="216"/>
      <c r="K847" s="216"/>
      <c r="L847" s="216"/>
      <c r="M847" s="216"/>
      <c r="N847" s="216"/>
      <c r="O847" s="216"/>
      <c r="P847" s="216"/>
      <c r="Q847" s="216"/>
      <c r="R847" s="216"/>
      <c r="S847" s="216"/>
      <c r="T847" s="216"/>
      <c r="U847" s="216"/>
      <c r="V847" s="216"/>
      <c r="W847" s="216"/>
      <c r="X847" s="216"/>
      <c r="Y847" s="216"/>
      <c r="Z847" s="216"/>
    </row>
    <row r="848" spans="1:26" ht="15.75" customHeight="1">
      <c r="A848" s="134" t="s">
        <v>829</v>
      </c>
      <c r="B848" s="133" t="s">
        <v>141</v>
      </c>
      <c r="C848" s="133" t="s">
        <v>8776</v>
      </c>
      <c r="D848" s="116" t="s">
        <v>7790</v>
      </c>
      <c r="E848" s="528">
        <v>1.33</v>
      </c>
      <c r="F848" s="528">
        <v>0.66</v>
      </c>
      <c r="G848" s="1" t="str">
        <f t="shared" si="116"/>
        <v>Gellert Arpad</v>
      </c>
      <c r="H848" s="1"/>
      <c r="I848" s="1"/>
      <c r="J848" s="216"/>
      <c r="K848" s="216"/>
      <c r="L848" s="216"/>
      <c r="M848" s="216"/>
      <c r="N848" s="216"/>
      <c r="O848" s="216"/>
      <c r="P848" s="216"/>
      <c r="Q848" s="216"/>
      <c r="R848" s="216"/>
      <c r="S848" s="216"/>
      <c r="T848" s="216"/>
      <c r="U848" s="216"/>
      <c r="V848" s="216"/>
      <c r="W848" s="216"/>
      <c r="X848" s="216"/>
      <c r="Y848" s="216"/>
      <c r="Z848" s="216"/>
    </row>
    <row r="849" spans="1:26" ht="15.75" customHeight="1">
      <c r="A849" s="134" t="s">
        <v>829</v>
      </c>
      <c r="B849" s="133" t="s">
        <v>141</v>
      </c>
      <c r="C849" s="133" t="s">
        <v>8777</v>
      </c>
      <c r="D849" s="116" t="s">
        <v>7790</v>
      </c>
      <c r="E849" s="528">
        <v>1.33</v>
      </c>
      <c r="F849" s="528">
        <v>0.66</v>
      </c>
      <c r="G849" s="1" t="str">
        <f t="shared" si="116"/>
        <v>Gellert Arpad</v>
      </c>
      <c r="H849" s="1"/>
      <c r="I849" s="1"/>
      <c r="J849" s="216"/>
      <c r="K849" s="216"/>
      <c r="L849" s="216"/>
      <c r="M849" s="216"/>
      <c r="N849" s="216"/>
      <c r="O849" s="216"/>
      <c r="P849" s="216"/>
      <c r="Q849" s="216"/>
      <c r="R849" s="216"/>
      <c r="S849" s="216"/>
      <c r="T849" s="216"/>
      <c r="U849" s="216"/>
      <c r="V849" s="216"/>
      <c r="W849" s="216"/>
      <c r="X849" s="216"/>
      <c r="Y849" s="216"/>
      <c r="Z849" s="216"/>
    </row>
    <row r="850" spans="1:26" ht="15.75" customHeight="1">
      <c r="A850" s="134" t="s">
        <v>829</v>
      </c>
      <c r="B850" s="133" t="s">
        <v>141</v>
      </c>
      <c r="C850" s="133" t="s">
        <v>8778</v>
      </c>
      <c r="D850" s="116" t="s">
        <v>7881</v>
      </c>
      <c r="E850" s="528">
        <v>20.66</v>
      </c>
      <c r="F850" s="528">
        <v>41.33</v>
      </c>
      <c r="G850" s="1" t="str">
        <f t="shared" si="116"/>
        <v>Gellert Arpad</v>
      </c>
      <c r="H850" s="1"/>
      <c r="I850" s="1"/>
      <c r="J850" s="216"/>
      <c r="K850" s="216"/>
      <c r="L850" s="216"/>
      <c r="M850" s="216"/>
      <c r="N850" s="216"/>
      <c r="O850" s="216"/>
      <c r="P850" s="216"/>
      <c r="Q850" s="216"/>
      <c r="R850" s="216"/>
      <c r="S850" s="216"/>
      <c r="T850" s="216"/>
      <c r="U850" s="216"/>
      <c r="V850" s="216"/>
      <c r="W850" s="216"/>
      <c r="X850" s="216"/>
      <c r="Y850" s="216"/>
      <c r="Z850" s="216"/>
    </row>
    <row r="851" spans="1:26" ht="15.75" customHeight="1">
      <c r="A851" s="134" t="s">
        <v>829</v>
      </c>
      <c r="B851" s="133" t="s">
        <v>141</v>
      </c>
      <c r="C851" s="133" t="s">
        <v>8779</v>
      </c>
      <c r="D851" s="116" t="s">
        <v>7881</v>
      </c>
      <c r="E851" s="528">
        <v>13</v>
      </c>
      <c r="F851" s="528">
        <v>26</v>
      </c>
      <c r="G851" s="1" t="str">
        <f t="shared" si="116"/>
        <v>Gellert Arpad</v>
      </c>
      <c r="H851" s="1"/>
      <c r="I851" s="1"/>
      <c r="J851" s="216"/>
      <c r="K851" s="216"/>
      <c r="L851" s="216"/>
      <c r="M851" s="216"/>
      <c r="N851" s="216"/>
      <c r="O851" s="216"/>
      <c r="P851" s="216"/>
      <c r="Q851" s="216"/>
      <c r="R851" s="216"/>
      <c r="S851" s="216"/>
      <c r="T851" s="216"/>
      <c r="U851" s="216"/>
      <c r="V851" s="216"/>
      <c r="W851" s="216"/>
      <c r="X851" s="216"/>
      <c r="Y851" s="216"/>
      <c r="Z851" s="216"/>
    </row>
    <row r="852" spans="1:26" ht="15.75" customHeight="1">
      <c r="A852" s="134" t="s">
        <v>829</v>
      </c>
      <c r="B852" s="133" t="s">
        <v>141</v>
      </c>
      <c r="C852" s="133" t="s">
        <v>8780</v>
      </c>
      <c r="D852" s="116" t="s">
        <v>8781</v>
      </c>
      <c r="E852" s="528">
        <v>7.33</v>
      </c>
      <c r="F852" s="528">
        <v>14.66</v>
      </c>
      <c r="G852" s="1" t="str">
        <f t="shared" si="116"/>
        <v>Gellert Arpad</v>
      </c>
      <c r="H852" s="1"/>
      <c r="I852" s="1"/>
      <c r="J852" s="216"/>
      <c r="K852" s="216"/>
      <c r="L852" s="216"/>
      <c r="M852" s="216"/>
      <c r="N852" s="216"/>
      <c r="O852" s="216"/>
      <c r="P852" s="216"/>
      <c r="Q852" s="216"/>
      <c r="R852" s="216"/>
      <c r="S852" s="216"/>
      <c r="T852" s="216"/>
      <c r="U852" s="216"/>
      <c r="V852" s="216"/>
      <c r="W852" s="216"/>
      <c r="X852" s="216"/>
      <c r="Y852" s="216"/>
      <c r="Z852" s="216"/>
    </row>
    <row r="853" spans="1:26" ht="15.75" customHeight="1">
      <c r="A853" s="134" t="s">
        <v>829</v>
      </c>
      <c r="B853" s="133" t="s">
        <v>141</v>
      </c>
      <c r="C853" s="133" t="s">
        <v>8782</v>
      </c>
      <c r="D853" s="116" t="s">
        <v>8781</v>
      </c>
      <c r="E853" s="528">
        <v>1</v>
      </c>
      <c r="F853" s="528">
        <v>2</v>
      </c>
      <c r="G853" s="1" t="str">
        <f t="shared" si="116"/>
        <v>Gellert Arpad</v>
      </c>
      <c r="H853" s="1"/>
      <c r="I853" s="1"/>
      <c r="J853" s="216"/>
      <c r="K853" s="216"/>
      <c r="L853" s="216"/>
      <c r="M853" s="216"/>
      <c r="N853" s="216"/>
      <c r="O853" s="216"/>
      <c r="P853" s="216"/>
      <c r="Q853" s="216"/>
      <c r="R853" s="216"/>
      <c r="S853" s="216"/>
      <c r="T853" s="216"/>
      <c r="U853" s="216"/>
      <c r="V853" s="216"/>
      <c r="W853" s="216"/>
      <c r="X853" s="216"/>
      <c r="Y853" s="216"/>
      <c r="Z853" s="216"/>
    </row>
    <row r="854" spans="1:26" ht="15.75" customHeight="1">
      <c r="A854" s="134" t="s">
        <v>829</v>
      </c>
      <c r="B854" s="133" t="s">
        <v>141</v>
      </c>
      <c r="C854" s="133" t="s">
        <v>8783</v>
      </c>
      <c r="D854" s="116" t="s">
        <v>8781</v>
      </c>
      <c r="E854" s="528">
        <v>8.66</v>
      </c>
      <c r="F854" s="528">
        <v>17.329999999999998</v>
      </c>
      <c r="G854" s="1" t="str">
        <f t="shared" si="116"/>
        <v>Gellert Arpad</v>
      </c>
      <c r="H854" s="1"/>
      <c r="I854" s="1"/>
      <c r="J854" s="216"/>
      <c r="K854" s="216"/>
      <c r="L854" s="216"/>
      <c r="M854" s="216"/>
      <c r="N854" s="216"/>
      <c r="O854" s="216"/>
      <c r="P854" s="216"/>
      <c r="Q854" s="216"/>
      <c r="R854" s="216"/>
      <c r="S854" s="216"/>
      <c r="T854" s="216"/>
      <c r="U854" s="216"/>
      <c r="V854" s="216"/>
      <c r="W854" s="216"/>
      <c r="X854" s="216"/>
      <c r="Y854" s="216"/>
      <c r="Z854" s="216"/>
    </row>
    <row r="855" spans="1:26" ht="15.75" customHeight="1">
      <c r="A855" s="134" t="s">
        <v>829</v>
      </c>
      <c r="B855" s="133" t="s">
        <v>141</v>
      </c>
      <c r="C855" s="133" t="s">
        <v>8784</v>
      </c>
      <c r="D855" s="116" t="s">
        <v>8781</v>
      </c>
      <c r="E855" s="528">
        <v>23.66</v>
      </c>
      <c r="F855" s="528">
        <v>47.33</v>
      </c>
      <c r="G855" s="1" t="str">
        <f t="shared" si="116"/>
        <v>Gellert Arpad</v>
      </c>
      <c r="H855" s="1"/>
      <c r="I855" s="1"/>
      <c r="J855" s="216"/>
      <c r="K855" s="216"/>
      <c r="L855" s="216"/>
      <c r="M855" s="216"/>
      <c r="N855" s="216"/>
      <c r="O855" s="216"/>
      <c r="P855" s="216"/>
      <c r="Q855" s="216"/>
      <c r="R855" s="216"/>
      <c r="S855" s="216"/>
      <c r="T855" s="216"/>
      <c r="U855" s="216"/>
      <c r="V855" s="216"/>
      <c r="W855" s="216"/>
      <c r="X855" s="216"/>
      <c r="Y855" s="216"/>
      <c r="Z855" s="216"/>
    </row>
    <row r="856" spans="1:26" ht="15.75" customHeight="1">
      <c r="A856" s="134" t="s">
        <v>7615</v>
      </c>
      <c r="B856" s="133" t="s">
        <v>141</v>
      </c>
      <c r="C856" s="133" t="s">
        <v>8785</v>
      </c>
      <c r="D856" s="100" t="s">
        <v>7778</v>
      </c>
      <c r="E856" s="100">
        <v>12.333333333333334</v>
      </c>
      <c r="F856" s="528">
        <v>12.333333333333334</v>
      </c>
      <c r="G856" s="1" t="str">
        <f t="shared" si="116"/>
        <v>ILIE Constantin Beriliu</v>
      </c>
      <c r="H856" s="1"/>
      <c r="I856" s="1"/>
      <c r="J856" s="216"/>
      <c r="K856" s="216"/>
      <c r="L856" s="216"/>
      <c r="M856" s="216"/>
      <c r="N856" s="216"/>
      <c r="O856" s="216"/>
      <c r="P856" s="216"/>
      <c r="Q856" s="216"/>
      <c r="R856" s="216"/>
      <c r="S856" s="216"/>
      <c r="T856" s="216"/>
      <c r="U856" s="216"/>
      <c r="V856" s="216"/>
      <c r="W856" s="216"/>
      <c r="X856" s="216"/>
      <c r="Y856" s="216"/>
      <c r="Z856" s="216"/>
    </row>
    <row r="857" spans="1:26" ht="15.75" customHeight="1">
      <c r="A857" s="134" t="s">
        <v>7615</v>
      </c>
      <c r="B857" s="133" t="s">
        <v>141</v>
      </c>
      <c r="C857" s="133" t="s">
        <v>8786</v>
      </c>
      <c r="D857" s="100" t="s">
        <v>7778</v>
      </c>
      <c r="E857" s="100">
        <v>12.333333333333334</v>
      </c>
      <c r="F857" s="528">
        <v>12.333333333333334</v>
      </c>
      <c r="G857" s="1" t="str">
        <f t="shared" si="116"/>
        <v>ILIE Constantin Beriliu</v>
      </c>
      <c r="H857" s="1"/>
      <c r="I857" s="1"/>
      <c r="J857" s="216"/>
      <c r="K857" s="216"/>
      <c r="L857" s="216"/>
      <c r="M857" s="216"/>
      <c r="N857" s="216"/>
      <c r="O857" s="216"/>
      <c r="P857" s="216"/>
      <c r="Q857" s="216"/>
      <c r="R857" s="216"/>
      <c r="S857" s="216"/>
      <c r="T857" s="216"/>
      <c r="U857" s="216"/>
      <c r="V857" s="216"/>
      <c r="W857" s="216"/>
      <c r="X857" s="216"/>
      <c r="Y857" s="216"/>
      <c r="Z857" s="216"/>
    </row>
    <row r="858" spans="1:26" ht="15.75" customHeight="1">
      <c r="A858" s="134" t="s">
        <v>7615</v>
      </c>
      <c r="B858" s="133" t="s">
        <v>141</v>
      </c>
      <c r="C858" s="133" t="s">
        <v>8787</v>
      </c>
      <c r="D858" s="100" t="s">
        <v>7778</v>
      </c>
      <c r="E858" s="100">
        <v>12.333333333333334</v>
      </c>
      <c r="F858" s="528">
        <v>12.333333333333334</v>
      </c>
      <c r="G858" s="1" t="str">
        <f t="shared" si="116"/>
        <v>ILIE Constantin Beriliu</v>
      </c>
      <c r="H858" s="1"/>
      <c r="I858" s="1"/>
      <c r="J858" s="216"/>
      <c r="K858" s="216"/>
      <c r="L858" s="216"/>
      <c r="M858" s="216"/>
      <c r="N858" s="216"/>
      <c r="O858" s="216"/>
      <c r="P858" s="216"/>
      <c r="Q858" s="216"/>
      <c r="R858" s="216"/>
      <c r="S858" s="216"/>
      <c r="T858" s="216"/>
      <c r="U858" s="216"/>
      <c r="V858" s="216"/>
      <c r="W858" s="216"/>
      <c r="X858" s="216"/>
      <c r="Y858" s="216"/>
      <c r="Z858" s="216"/>
    </row>
    <row r="859" spans="1:26" ht="15.75" customHeight="1">
      <c r="A859" s="134" t="s">
        <v>7615</v>
      </c>
      <c r="B859" s="133" t="s">
        <v>141</v>
      </c>
      <c r="C859" s="133" t="s">
        <v>8788</v>
      </c>
      <c r="D859" s="100" t="s">
        <v>7778</v>
      </c>
      <c r="E859" s="100">
        <v>3.0833333333333335</v>
      </c>
      <c r="F859" s="528">
        <v>3.0833333333333335</v>
      </c>
      <c r="G859" s="1" t="str">
        <f t="shared" si="116"/>
        <v>ILIE Constantin Beriliu</v>
      </c>
      <c r="H859" s="1"/>
      <c r="I859" s="1"/>
      <c r="J859" s="216"/>
      <c r="K859" s="216"/>
      <c r="L859" s="216"/>
      <c r="M859" s="216"/>
      <c r="N859" s="216"/>
      <c r="O859" s="216"/>
      <c r="P859" s="216"/>
      <c r="Q859" s="216"/>
      <c r="R859" s="216"/>
      <c r="S859" s="216"/>
      <c r="T859" s="216"/>
      <c r="U859" s="216"/>
      <c r="V859" s="216"/>
      <c r="W859" s="216"/>
      <c r="X859" s="216"/>
      <c r="Y859" s="216"/>
      <c r="Z859" s="216"/>
    </row>
    <row r="860" spans="1:26" ht="15.75" customHeight="1">
      <c r="A860" s="134" t="s">
        <v>7615</v>
      </c>
      <c r="B860" s="133" t="s">
        <v>141</v>
      </c>
      <c r="C860" s="133" t="s">
        <v>8789</v>
      </c>
      <c r="D860" s="100" t="s">
        <v>7778</v>
      </c>
      <c r="E860" s="100">
        <v>1.2333333333333334</v>
      </c>
      <c r="F860" s="528">
        <v>1.2333333333333334</v>
      </c>
      <c r="G860" s="1" t="str">
        <f t="shared" si="116"/>
        <v>ILIE Constantin Beriliu</v>
      </c>
      <c r="H860" s="1"/>
      <c r="I860" s="1"/>
      <c r="J860" s="216"/>
      <c r="K860" s="216"/>
      <c r="L860" s="216"/>
      <c r="M860" s="216"/>
      <c r="N860" s="216"/>
      <c r="O860" s="216"/>
      <c r="P860" s="216"/>
      <c r="Q860" s="216"/>
      <c r="R860" s="216"/>
      <c r="S860" s="216"/>
      <c r="T860" s="216"/>
      <c r="U860" s="216"/>
      <c r="V860" s="216"/>
      <c r="W860" s="216"/>
      <c r="X860" s="216"/>
      <c r="Y860" s="216"/>
      <c r="Z860" s="216"/>
    </row>
    <row r="861" spans="1:26" ht="15.75" customHeight="1">
      <c r="A861" s="134" t="s">
        <v>7615</v>
      </c>
      <c r="B861" s="133" t="s">
        <v>141</v>
      </c>
      <c r="C861" s="133" t="s">
        <v>8790</v>
      </c>
      <c r="D861" s="100" t="s">
        <v>7778</v>
      </c>
      <c r="E861" s="100">
        <v>8</v>
      </c>
      <c r="F861" s="528">
        <v>8</v>
      </c>
      <c r="G861" s="1" t="str">
        <f t="shared" si="116"/>
        <v>ILIE Constantin Beriliu</v>
      </c>
      <c r="H861" s="1"/>
      <c r="I861" s="1"/>
      <c r="J861" s="216"/>
      <c r="K861" s="216"/>
      <c r="L861" s="216"/>
      <c r="M861" s="216"/>
      <c r="N861" s="216"/>
      <c r="O861" s="216"/>
      <c r="P861" s="216"/>
      <c r="Q861" s="216"/>
      <c r="R861" s="216"/>
      <c r="S861" s="216"/>
      <c r="T861" s="216"/>
      <c r="U861" s="216"/>
      <c r="V861" s="216"/>
      <c r="W861" s="216"/>
      <c r="X861" s="216"/>
      <c r="Y861" s="216"/>
      <c r="Z861" s="216"/>
    </row>
    <row r="862" spans="1:26" ht="15.75" customHeight="1">
      <c r="A862" s="134" t="s">
        <v>7615</v>
      </c>
      <c r="B862" s="133" t="s">
        <v>141</v>
      </c>
      <c r="C862" s="133" t="s">
        <v>8791</v>
      </c>
      <c r="D862" s="100" t="s">
        <v>7778</v>
      </c>
      <c r="E862" s="100">
        <v>8</v>
      </c>
      <c r="F862" s="528">
        <v>8</v>
      </c>
      <c r="G862" s="1" t="str">
        <f t="shared" si="116"/>
        <v>ILIE Constantin Beriliu</v>
      </c>
      <c r="H862" s="1"/>
      <c r="I862" s="1"/>
      <c r="J862" s="216"/>
      <c r="K862" s="216"/>
      <c r="L862" s="216"/>
      <c r="M862" s="216"/>
      <c r="N862" s="216"/>
      <c r="O862" s="216"/>
      <c r="P862" s="216"/>
      <c r="Q862" s="216"/>
      <c r="R862" s="216"/>
      <c r="S862" s="216"/>
      <c r="T862" s="216"/>
      <c r="U862" s="216"/>
      <c r="V862" s="216"/>
      <c r="W862" s="216"/>
      <c r="X862" s="216"/>
      <c r="Y862" s="216"/>
      <c r="Z862" s="216"/>
    </row>
    <row r="863" spans="1:26" ht="15.75" customHeight="1">
      <c r="A863" s="134" t="s">
        <v>7615</v>
      </c>
      <c r="B863" s="133" t="s">
        <v>141</v>
      </c>
      <c r="C863" s="133" t="s">
        <v>8792</v>
      </c>
      <c r="D863" s="100" t="s">
        <v>7778</v>
      </c>
      <c r="E863" s="100">
        <v>2</v>
      </c>
      <c r="F863" s="528">
        <v>2</v>
      </c>
      <c r="G863" s="1" t="str">
        <f t="shared" si="116"/>
        <v>ILIE Constantin Beriliu</v>
      </c>
      <c r="H863" s="1"/>
      <c r="I863" s="1"/>
      <c r="J863" s="216"/>
      <c r="K863" s="216"/>
      <c r="L863" s="216"/>
      <c r="M863" s="216"/>
      <c r="N863" s="216"/>
      <c r="O863" s="216"/>
      <c r="P863" s="216"/>
      <c r="Q863" s="216"/>
      <c r="R863" s="216"/>
      <c r="S863" s="216"/>
      <c r="T863" s="216"/>
      <c r="U863" s="216"/>
      <c r="V863" s="216"/>
      <c r="W863" s="216"/>
      <c r="X863" s="216"/>
      <c r="Y863" s="216"/>
      <c r="Z863" s="216"/>
    </row>
    <row r="864" spans="1:26" ht="15.75" customHeight="1">
      <c r="A864" s="134" t="s">
        <v>7615</v>
      </c>
      <c r="B864" s="133" t="s">
        <v>141</v>
      </c>
      <c r="C864" s="133" t="s">
        <v>8793</v>
      </c>
      <c r="D864" s="100" t="s">
        <v>7778</v>
      </c>
      <c r="E864" s="100">
        <v>0.8</v>
      </c>
      <c r="F864" s="528">
        <v>0.8</v>
      </c>
      <c r="G864" s="1" t="str">
        <f t="shared" si="116"/>
        <v>ILIE Constantin Beriliu</v>
      </c>
      <c r="H864" s="1"/>
      <c r="I864" s="1"/>
      <c r="J864" s="216"/>
      <c r="K864" s="216"/>
      <c r="L864" s="216"/>
      <c r="M864" s="216"/>
      <c r="N864" s="216"/>
      <c r="O864" s="216"/>
      <c r="P864" s="216"/>
      <c r="Q864" s="216"/>
      <c r="R864" s="216"/>
      <c r="S864" s="216"/>
      <c r="T864" s="216"/>
      <c r="U864" s="216"/>
      <c r="V864" s="216"/>
      <c r="W864" s="216"/>
      <c r="X864" s="216"/>
      <c r="Y864" s="216"/>
      <c r="Z864" s="216"/>
    </row>
    <row r="865" spans="1:26" ht="15.75" customHeight="1">
      <c r="A865" s="134" t="s">
        <v>7615</v>
      </c>
      <c r="B865" s="133" t="s">
        <v>141</v>
      </c>
      <c r="C865" s="133" t="s">
        <v>8794</v>
      </c>
      <c r="D865" s="100" t="s">
        <v>7778</v>
      </c>
      <c r="E865" s="100">
        <v>6</v>
      </c>
      <c r="F865" s="528">
        <v>6</v>
      </c>
      <c r="G865" s="1" t="str">
        <f t="shared" si="116"/>
        <v>ILIE Constantin Beriliu</v>
      </c>
      <c r="H865" s="1"/>
      <c r="I865" s="1"/>
      <c r="J865" s="216"/>
      <c r="K865" s="216"/>
      <c r="L865" s="216"/>
      <c r="M865" s="216"/>
      <c r="N865" s="216"/>
      <c r="O865" s="216"/>
      <c r="P865" s="216"/>
      <c r="Q865" s="216"/>
      <c r="R865" s="216"/>
      <c r="S865" s="216"/>
      <c r="T865" s="216"/>
      <c r="U865" s="216"/>
      <c r="V865" s="216"/>
      <c r="W865" s="216"/>
      <c r="X865" s="216"/>
      <c r="Y865" s="216"/>
      <c r="Z865" s="216"/>
    </row>
    <row r="866" spans="1:26" ht="15.75" customHeight="1">
      <c r="A866" s="134" t="s">
        <v>7615</v>
      </c>
      <c r="B866" s="133" t="s">
        <v>141</v>
      </c>
      <c r="C866" s="133" t="s">
        <v>8795</v>
      </c>
      <c r="D866" s="100" t="s">
        <v>7778</v>
      </c>
      <c r="E866" s="100">
        <v>6</v>
      </c>
      <c r="F866" s="528">
        <v>6</v>
      </c>
      <c r="G866" s="1" t="str">
        <f t="shared" si="116"/>
        <v>ILIE Constantin Beriliu</v>
      </c>
      <c r="H866" s="1"/>
      <c r="I866" s="1"/>
      <c r="J866" s="216"/>
      <c r="K866" s="216"/>
      <c r="L866" s="216"/>
      <c r="M866" s="216"/>
      <c r="N866" s="216"/>
      <c r="O866" s="216"/>
      <c r="P866" s="216"/>
      <c r="Q866" s="216"/>
      <c r="R866" s="216"/>
      <c r="S866" s="216"/>
      <c r="T866" s="216"/>
      <c r="U866" s="216"/>
      <c r="V866" s="216"/>
      <c r="W866" s="216"/>
      <c r="X866" s="216"/>
      <c r="Y866" s="216"/>
      <c r="Z866" s="216"/>
    </row>
    <row r="867" spans="1:26" ht="15.75" customHeight="1">
      <c r="A867" s="134" t="s">
        <v>7615</v>
      </c>
      <c r="B867" s="133" t="s">
        <v>141</v>
      </c>
      <c r="C867" s="133" t="s">
        <v>8796</v>
      </c>
      <c r="D867" s="100" t="s">
        <v>7778</v>
      </c>
      <c r="E867" s="100">
        <v>6</v>
      </c>
      <c r="F867" s="528">
        <v>6</v>
      </c>
      <c r="G867" s="1" t="str">
        <f t="shared" si="116"/>
        <v>ILIE Constantin Beriliu</v>
      </c>
      <c r="H867" s="1"/>
      <c r="I867" s="1"/>
      <c r="J867" s="216"/>
      <c r="K867" s="216"/>
      <c r="L867" s="216"/>
      <c r="M867" s="216"/>
      <c r="N867" s="216"/>
      <c r="O867" s="216"/>
      <c r="P867" s="216"/>
      <c r="Q867" s="216"/>
      <c r="R867" s="216"/>
      <c r="S867" s="216"/>
      <c r="T867" s="216"/>
      <c r="U867" s="216"/>
      <c r="V867" s="216"/>
      <c r="W867" s="216"/>
      <c r="X867" s="216"/>
      <c r="Y867" s="216"/>
      <c r="Z867" s="216"/>
    </row>
    <row r="868" spans="1:26" ht="15.75" customHeight="1">
      <c r="A868" s="134" t="s">
        <v>7615</v>
      </c>
      <c r="B868" s="133" t="s">
        <v>141</v>
      </c>
      <c r="C868" s="133" t="s">
        <v>8797</v>
      </c>
      <c r="D868" s="100" t="s">
        <v>7778</v>
      </c>
      <c r="E868" s="100">
        <v>1.5</v>
      </c>
      <c r="F868" s="528">
        <v>1.5</v>
      </c>
      <c r="G868" s="1" t="str">
        <f t="shared" si="116"/>
        <v>ILIE Constantin Beriliu</v>
      </c>
      <c r="H868" s="1"/>
      <c r="I868" s="1"/>
      <c r="J868" s="216"/>
      <c r="K868" s="216"/>
      <c r="L868" s="216"/>
      <c r="M868" s="216"/>
      <c r="N868" s="216"/>
      <c r="O868" s="216"/>
      <c r="P868" s="216"/>
      <c r="Q868" s="216"/>
      <c r="R868" s="216"/>
      <c r="S868" s="216"/>
      <c r="T868" s="216"/>
      <c r="U868" s="216"/>
      <c r="V868" s="216"/>
      <c r="W868" s="216"/>
      <c r="X868" s="216"/>
      <c r="Y868" s="216"/>
      <c r="Z868" s="216"/>
    </row>
    <row r="869" spans="1:26" ht="15.75" customHeight="1">
      <c r="A869" s="134" t="s">
        <v>7615</v>
      </c>
      <c r="B869" s="133" t="s">
        <v>141</v>
      </c>
      <c r="C869" s="133" t="s">
        <v>8798</v>
      </c>
      <c r="D869" s="100" t="s">
        <v>7778</v>
      </c>
      <c r="E869" s="100">
        <v>0.60000000000000009</v>
      </c>
      <c r="F869" s="528">
        <v>0.60000000000000009</v>
      </c>
      <c r="G869" s="1" t="str">
        <f t="shared" si="116"/>
        <v>ILIE Constantin Beriliu</v>
      </c>
      <c r="H869" s="1"/>
      <c r="I869" s="1"/>
      <c r="J869" s="216"/>
      <c r="K869" s="216"/>
      <c r="L869" s="216"/>
      <c r="M869" s="216"/>
      <c r="N869" s="216"/>
      <c r="O869" s="216"/>
      <c r="P869" s="216"/>
      <c r="Q869" s="216"/>
      <c r="R869" s="216"/>
      <c r="S869" s="216"/>
      <c r="T869" s="216"/>
      <c r="U869" s="216"/>
      <c r="V869" s="216"/>
      <c r="W869" s="216"/>
      <c r="X869" s="216"/>
      <c r="Y869" s="216"/>
      <c r="Z869" s="216"/>
    </row>
    <row r="870" spans="1:26" ht="15.75" customHeight="1">
      <c r="A870" s="134" t="s">
        <v>7615</v>
      </c>
      <c r="B870" s="133" t="s">
        <v>141</v>
      </c>
      <c r="C870" s="133" t="s">
        <v>8799</v>
      </c>
      <c r="D870" s="100" t="s">
        <v>7778</v>
      </c>
      <c r="E870" s="100">
        <v>10.333333333333334</v>
      </c>
      <c r="F870" s="528">
        <v>10.333333333333334</v>
      </c>
      <c r="G870" s="1" t="str">
        <f t="shared" si="116"/>
        <v>ILIE Constantin Beriliu</v>
      </c>
      <c r="H870" s="1"/>
      <c r="I870" s="1"/>
      <c r="J870" s="216"/>
      <c r="K870" s="216"/>
      <c r="L870" s="216"/>
      <c r="M870" s="216"/>
      <c r="N870" s="216"/>
      <c r="O870" s="216"/>
      <c r="P870" s="216"/>
      <c r="Q870" s="216"/>
      <c r="R870" s="216"/>
      <c r="S870" s="216"/>
      <c r="T870" s="216"/>
      <c r="U870" s="216"/>
      <c r="V870" s="216"/>
      <c r="W870" s="216"/>
      <c r="X870" s="216"/>
      <c r="Y870" s="216"/>
      <c r="Z870" s="216"/>
    </row>
    <row r="871" spans="1:26" ht="15.75" customHeight="1">
      <c r="A871" s="134" t="s">
        <v>7615</v>
      </c>
      <c r="B871" s="133" t="s">
        <v>141</v>
      </c>
      <c r="C871" s="133" t="s">
        <v>8800</v>
      </c>
      <c r="D871" s="100" t="s">
        <v>7778</v>
      </c>
      <c r="E871" s="100">
        <v>10.333333333333334</v>
      </c>
      <c r="F871" s="528">
        <v>10.333333333333334</v>
      </c>
      <c r="G871" s="1" t="str">
        <f t="shared" si="116"/>
        <v>ILIE Constantin Beriliu</v>
      </c>
      <c r="H871" s="1"/>
      <c r="I871" s="1"/>
      <c r="J871" s="216"/>
      <c r="K871" s="216"/>
      <c r="L871" s="216"/>
      <c r="M871" s="216"/>
      <c r="N871" s="216"/>
      <c r="O871" s="216"/>
      <c r="P871" s="216"/>
      <c r="Q871" s="216"/>
      <c r="R871" s="216"/>
      <c r="S871" s="216"/>
      <c r="T871" s="216"/>
      <c r="U871" s="216"/>
      <c r="V871" s="216"/>
      <c r="W871" s="216"/>
      <c r="X871" s="216"/>
      <c r="Y871" s="216"/>
      <c r="Z871" s="216"/>
    </row>
    <row r="872" spans="1:26" ht="15.75" customHeight="1">
      <c r="A872" s="134" t="s">
        <v>7615</v>
      </c>
      <c r="B872" s="133" t="s">
        <v>141</v>
      </c>
      <c r="C872" s="133" t="s">
        <v>8801</v>
      </c>
      <c r="D872" s="100" t="s">
        <v>7778</v>
      </c>
      <c r="E872" s="100">
        <v>2.5833333333333335</v>
      </c>
      <c r="F872" s="528">
        <v>2.5833333333333335</v>
      </c>
      <c r="G872" s="1" t="str">
        <f t="shared" si="116"/>
        <v>ILIE Constantin Beriliu</v>
      </c>
      <c r="H872" s="1"/>
      <c r="I872" s="1"/>
      <c r="J872" s="216"/>
      <c r="K872" s="216"/>
      <c r="L872" s="216"/>
      <c r="M872" s="216"/>
      <c r="N872" s="216"/>
      <c r="O872" s="216"/>
      <c r="P872" s="216"/>
      <c r="Q872" s="216"/>
      <c r="R872" s="216"/>
      <c r="S872" s="216"/>
      <c r="T872" s="216"/>
      <c r="U872" s="216"/>
      <c r="V872" s="216"/>
      <c r="W872" s="216"/>
      <c r="X872" s="216"/>
      <c r="Y872" s="216"/>
      <c r="Z872" s="216"/>
    </row>
    <row r="873" spans="1:26" ht="15.75" customHeight="1">
      <c r="A873" s="134" t="s">
        <v>7615</v>
      </c>
      <c r="B873" s="133" t="s">
        <v>141</v>
      </c>
      <c r="C873" s="133" t="s">
        <v>8802</v>
      </c>
      <c r="D873" s="100" t="s">
        <v>7778</v>
      </c>
      <c r="E873" s="100">
        <v>1.0333333333333334</v>
      </c>
      <c r="F873" s="528">
        <v>1.0333333333333334</v>
      </c>
      <c r="G873" s="1" t="str">
        <f t="shared" si="116"/>
        <v>ILIE Constantin Beriliu</v>
      </c>
      <c r="H873" s="1"/>
      <c r="I873" s="1"/>
      <c r="J873" s="216"/>
      <c r="K873" s="216"/>
      <c r="L873" s="216"/>
      <c r="M873" s="216"/>
      <c r="N873" s="216"/>
      <c r="O873" s="216"/>
      <c r="P873" s="216"/>
      <c r="Q873" s="216"/>
      <c r="R873" s="216"/>
      <c r="S873" s="216"/>
      <c r="T873" s="216"/>
      <c r="U873" s="216"/>
      <c r="V873" s="216"/>
      <c r="W873" s="216"/>
      <c r="X873" s="216"/>
      <c r="Y873" s="216"/>
      <c r="Z873" s="216"/>
    </row>
    <row r="874" spans="1:26" ht="15.75" customHeight="1">
      <c r="A874" s="134" t="s">
        <v>7615</v>
      </c>
      <c r="B874" s="133" t="s">
        <v>141</v>
      </c>
      <c r="C874" s="133" t="s">
        <v>8803</v>
      </c>
      <c r="D874" s="100" t="s">
        <v>7778</v>
      </c>
      <c r="E874" s="100">
        <v>8.6666666666666661</v>
      </c>
      <c r="F874" s="528">
        <v>8.6666666666666661</v>
      </c>
      <c r="G874" s="1" t="str">
        <f t="shared" si="116"/>
        <v>ILIE Constantin Beriliu</v>
      </c>
      <c r="H874" s="1"/>
      <c r="I874" s="1"/>
      <c r="J874" s="216"/>
      <c r="K874" s="216"/>
      <c r="L874" s="216"/>
      <c r="M874" s="216"/>
      <c r="N874" s="216"/>
      <c r="O874" s="216"/>
      <c r="P874" s="216"/>
      <c r="Q874" s="216"/>
      <c r="R874" s="216"/>
      <c r="S874" s="216"/>
      <c r="T874" s="216"/>
      <c r="U874" s="216"/>
      <c r="V874" s="216"/>
      <c r="W874" s="216"/>
      <c r="X874" s="216"/>
      <c r="Y874" s="216"/>
      <c r="Z874" s="216"/>
    </row>
    <row r="875" spans="1:26" ht="15.75" customHeight="1">
      <c r="A875" s="134" t="s">
        <v>7615</v>
      </c>
      <c r="B875" s="133" t="s">
        <v>141</v>
      </c>
      <c r="C875" s="133" t="s">
        <v>8804</v>
      </c>
      <c r="D875" s="100" t="s">
        <v>7778</v>
      </c>
      <c r="E875" s="100">
        <v>2</v>
      </c>
      <c r="F875" s="528">
        <v>1.66</v>
      </c>
      <c r="G875" s="1" t="str">
        <f t="shared" si="116"/>
        <v>ILIE Constantin Beriliu</v>
      </c>
      <c r="H875" s="1"/>
      <c r="I875" s="1"/>
      <c r="J875" s="216"/>
      <c r="K875" s="216"/>
      <c r="L875" s="216"/>
      <c r="M875" s="216"/>
      <c r="N875" s="216"/>
      <c r="O875" s="216"/>
      <c r="P875" s="216"/>
      <c r="Q875" s="216"/>
      <c r="R875" s="216"/>
      <c r="S875" s="216"/>
      <c r="T875" s="216"/>
      <c r="U875" s="216"/>
      <c r="V875" s="216"/>
      <c r="W875" s="216"/>
      <c r="X875" s="216"/>
      <c r="Y875" s="216"/>
      <c r="Z875" s="216"/>
    </row>
    <row r="876" spans="1:26" ht="15.75" customHeight="1">
      <c r="A876" s="134" t="s">
        <v>3249</v>
      </c>
      <c r="B876" s="133" t="s">
        <v>141</v>
      </c>
      <c r="C876" s="133" t="s">
        <v>8805</v>
      </c>
      <c r="D876" s="100" t="s">
        <v>7698</v>
      </c>
      <c r="E876" s="186">
        <f>(178*(1+0.25+0.1))/3</f>
        <v>80.100000000000009</v>
      </c>
      <c r="F876" s="528">
        <v>80.099999999999994</v>
      </c>
      <c r="G876" s="1" t="str">
        <f t="shared" si="116"/>
        <v>Morariu Daniel</v>
      </c>
      <c r="H876" s="1"/>
      <c r="I876" s="1"/>
      <c r="J876" s="216"/>
      <c r="K876" s="216"/>
      <c r="L876" s="216"/>
      <c r="M876" s="216"/>
      <c r="N876" s="216"/>
      <c r="O876" s="216"/>
      <c r="P876" s="216"/>
      <c r="Q876" s="216"/>
      <c r="R876" s="216"/>
      <c r="S876" s="216"/>
      <c r="T876" s="216"/>
      <c r="U876" s="216"/>
      <c r="V876" s="216"/>
      <c r="W876" s="216"/>
      <c r="X876" s="216"/>
      <c r="Y876" s="216"/>
      <c r="Z876" s="216"/>
    </row>
    <row r="877" spans="1:26" ht="15.75" customHeight="1">
      <c r="A877" s="134" t="s">
        <v>3249</v>
      </c>
      <c r="B877" s="133" t="s">
        <v>141</v>
      </c>
      <c r="C877" s="133" t="s">
        <v>8806</v>
      </c>
      <c r="D877" s="100" t="s">
        <v>7698</v>
      </c>
      <c r="E877" s="186">
        <f>77/3</f>
        <v>25.666666666666668</v>
      </c>
      <c r="F877" s="528">
        <v>25.67</v>
      </c>
      <c r="G877" s="1" t="str">
        <f t="shared" si="116"/>
        <v>Morariu Daniel</v>
      </c>
      <c r="H877" s="1"/>
      <c r="I877" s="1"/>
      <c r="J877" s="216"/>
      <c r="K877" s="216"/>
      <c r="L877" s="216"/>
      <c r="M877" s="216"/>
      <c r="N877" s="216"/>
      <c r="O877" s="216"/>
      <c r="P877" s="216"/>
      <c r="Q877" s="216"/>
      <c r="R877" s="216"/>
      <c r="S877" s="216"/>
      <c r="T877" s="216"/>
      <c r="U877" s="216"/>
      <c r="V877" s="216"/>
      <c r="W877" s="216"/>
      <c r="X877" s="216"/>
      <c r="Y877" s="216"/>
      <c r="Z877" s="216"/>
    </row>
    <row r="878" spans="1:26" ht="15.75" customHeight="1">
      <c r="A878" s="134" t="s">
        <v>3249</v>
      </c>
      <c r="B878" s="133" t="s">
        <v>141</v>
      </c>
      <c r="C878" s="133" t="s">
        <v>8679</v>
      </c>
      <c r="D878" s="100" t="s">
        <v>7698</v>
      </c>
      <c r="E878" s="186">
        <f>4/3*3</f>
        <v>4</v>
      </c>
      <c r="F878" s="528">
        <v>4</v>
      </c>
      <c r="G878" s="1" t="str">
        <f t="shared" si="116"/>
        <v>Morariu Daniel</v>
      </c>
      <c r="H878" s="1"/>
      <c r="I878" s="1"/>
      <c r="J878" s="216"/>
      <c r="K878" s="216"/>
      <c r="L878" s="216"/>
      <c r="M878" s="216"/>
      <c r="N878" s="216"/>
      <c r="O878" s="216"/>
      <c r="P878" s="216"/>
      <c r="Q878" s="216"/>
      <c r="R878" s="216"/>
      <c r="S878" s="216"/>
      <c r="T878" s="216"/>
      <c r="U878" s="216"/>
      <c r="V878" s="216"/>
      <c r="W878" s="216"/>
      <c r="X878" s="216"/>
      <c r="Y878" s="216"/>
      <c r="Z878" s="216"/>
    </row>
    <row r="879" spans="1:26" ht="15.75" customHeight="1">
      <c r="A879" s="134" t="s">
        <v>3258</v>
      </c>
      <c r="B879" s="133" t="s">
        <v>141</v>
      </c>
      <c r="C879" s="133" t="s">
        <v>8807</v>
      </c>
      <c r="D879" s="100" t="s">
        <v>7778</v>
      </c>
      <c r="E879" s="100">
        <f>31*(1+0.25+0.1)/3 + 37*(1+0.25+0.1)/3+46/3+31/3+28/3</f>
        <v>65.600000000000009</v>
      </c>
      <c r="F879" s="528">
        <v>66</v>
      </c>
      <c r="G879" s="1" t="str">
        <f t="shared" si="116"/>
        <v>Neghina Catalina</v>
      </c>
      <c r="H879" s="1"/>
      <c r="I879" s="1"/>
      <c r="J879" s="216"/>
      <c r="K879" s="216"/>
      <c r="L879" s="216"/>
      <c r="M879" s="216"/>
      <c r="N879" s="216"/>
      <c r="O879" s="216"/>
      <c r="P879" s="216"/>
      <c r="Q879" s="216"/>
      <c r="R879" s="216"/>
      <c r="S879" s="216"/>
      <c r="T879" s="216"/>
      <c r="U879" s="216"/>
      <c r="V879" s="216"/>
      <c r="W879" s="216"/>
      <c r="X879" s="216"/>
      <c r="Y879" s="216"/>
      <c r="Z879" s="216"/>
    </row>
    <row r="880" spans="1:26" ht="15.75" customHeight="1">
      <c r="A880" s="134" t="s">
        <v>1272</v>
      </c>
      <c r="B880" s="133" t="s">
        <v>141</v>
      </c>
      <c r="C880" s="133" t="s">
        <v>8778</v>
      </c>
      <c r="D880" s="116" t="s">
        <v>7778</v>
      </c>
      <c r="E880" s="528">
        <v>20.66</v>
      </c>
      <c r="F880" s="528">
        <v>41.33</v>
      </c>
      <c r="G880" s="1" t="str">
        <f t="shared" si="116"/>
        <v>Zamfirescu Bălă-Constantin</v>
      </c>
      <c r="H880" s="1"/>
      <c r="I880" s="1"/>
      <c r="J880" s="216"/>
      <c r="K880" s="216"/>
      <c r="L880" s="216"/>
      <c r="M880" s="216"/>
      <c r="N880" s="216"/>
      <c r="O880" s="216"/>
      <c r="P880" s="216"/>
      <c r="Q880" s="216"/>
      <c r="R880" s="216"/>
      <c r="S880" s="216"/>
      <c r="T880" s="216"/>
      <c r="U880" s="216"/>
      <c r="V880" s="216"/>
      <c r="W880" s="216"/>
      <c r="X880" s="216"/>
      <c r="Y880" s="216"/>
      <c r="Z880" s="216"/>
    </row>
    <row r="881" spans="1:26" ht="15.75" customHeight="1">
      <c r="A881" s="134" t="s">
        <v>1272</v>
      </c>
      <c r="B881" s="133" t="s">
        <v>141</v>
      </c>
      <c r="C881" s="133" t="s">
        <v>8779</v>
      </c>
      <c r="D881" s="116" t="s">
        <v>7778</v>
      </c>
      <c r="E881" s="528">
        <v>13</v>
      </c>
      <c r="F881" s="528">
        <v>26</v>
      </c>
      <c r="G881" s="1" t="str">
        <f t="shared" si="116"/>
        <v>Zamfirescu Bălă-Constantin</v>
      </c>
      <c r="H881" s="1"/>
      <c r="I881" s="1"/>
      <c r="J881" s="216"/>
      <c r="K881" s="216"/>
      <c r="L881" s="216"/>
      <c r="M881" s="216"/>
      <c r="N881" s="216"/>
      <c r="O881" s="216"/>
      <c r="P881" s="216"/>
      <c r="Q881" s="216"/>
      <c r="R881" s="216"/>
      <c r="S881" s="216"/>
      <c r="T881" s="216"/>
      <c r="U881" s="216"/>
      <c r="V881" s="216"/>
      <c r="W881" s="216"/>
      <c r="X881" s="216"/>
      <c r="Y881" s="216"/>
      <c r="Z881" s="216"/>
    </row>
    <row r="882" spans="1:26" ht="15.75" customHeight="1">
      <c r="A882" s="134" t="s">
        <v>1272</v>
      </c>
      <c r="B882" s="133" t="s">
        <v>141</v>
      </c>
      <c r="C882" s="133" t="s">
        <v>8808</v>
      </c>
      <c r="D882" s="116" t="s">
        <v>7778</v>
      </c>
      <c r="E882" s="528">
        <v>1</v>
      </c>
      <c r="F882" s="528">
        <v>3</v>
      </c>
      <c r="G882" s="1" t="str">
        <f t="shared" si="116"/>
        <v>Zamfirescu Bălă-Constantin</v>
      </c>
      <c r="H882" s="1"/>
      <c r="I882" s="1"/>
      <c r="J882" s="216"/>
      <c r="K882" s="216"/>
      <c r="L882" s="216"/>
      <c r="M882" s="216"/>
      <c r="N882" s="216"/>
      <c r="O882" s="216"/>
      <c r="P882" s="216"/>
      <c r="Q882" s="216"/>
      <c r="R882" s="216"/>
      <c r="S882" s="216"/>
      <c r="T882" s="216"/>
      <c r="U882" s="216"/>
      <c r="V882" s="216"/>
      <c r="W882" s="216"/>
      <c r="X882" s="216"/>
      <c r="Y882" s="216"/>
      <c r="Z882" s="216"/>
    </row>
    <row r="883" spans="1:26" ht="15.75" customHeight="1">
      <c r="A883" s="134" t="s">
        <v>1272</v>
      </c>
      <c r="B883" s="133" t="s">
        <v>141</v>
      </c>
      <c r="C883" s="133" t="s">
        <v>8809</v>
      </c>
      <c r="D883" s="116" t="s">
        <v>7778</v>
      </c>
      <c r="E883" s="116" t="s">
        <v>8810</v>
      </c>
      <c r="F883" s="528">
        <v>19.3</v>
      </c>
      <c r="G883" s="1" t="str">
        <f t="shared" si="116"/>
        <v>Zamfirescu Bălă-Constantin</v>
      </c>
      <c r="H883" s="1"/>
      <c r="I883" s="1"/>
      <c r="J883" s="216"/>
      <c r="K883" s="216"/>
      <c r="L883" s="216"/>
      <c r="M883" s="216"/>
      <c r="N883" s="216"/>
      <c r="O883" s="216"/>
      <c r="P883" s="216"/>
      <c r="Q883" s="216"/>
      <c r="R883" s="216"/>
      <c r="S883" s="216"/>
      <c r="T883" s="216"/>
      <c r="U883" s="216"/>
      <c r="V883" s="216"/>
      <c r="W883" s="216"/>
      <c r="X883" s="216"/>
      <c r="Y883" s="216"/>
      <c r="Z883" s="216"/>
    </row>
    <row r="884" spans="1:26" ht="15.75" customHeight="1">
      <c r="A884" s="134" t="s">
        <v>1272</v>
      </c>
      <c r="B884" s="133" t="s">
        <v>141</v>
      </c>
      <c r="C884" s="133" t="s">
        <v>8811</v>
      </c>
      <c r="D884" s="116" t="s">
        <v>7778</v>
      </c>
      <c r="E884" s="116" t="s">
        <v>8712</v>
      </c>
      <c r="F884" s="528">
        <v>15</v>
      </c>
      <c r="G884" s="1" t="str">
        <f t="shared" si="116"/>
        <v>Zamfirescu Bălă-Constantin</v>
      </c>
      <c r="H884" s="1"/>
      <c r="I884" s="1"/>
      <c r="J884" s="216"/>
      <c r="K884" s="216"/>
      <c r="L884" s="216"/>
      <c r="M884" s="216"/>
      <c r="N884" s="216"/>
      <c r="O884" s="216"/>
      <c r="P884" s="216"/>
      <c r="Q884" s="216"/>
      <c r="R884" s="216"/>
      <c r="S884" s="216"/>
      <c r="T884" s="216"/>
      <c r="U884" s="216"/>
      <c r="V884" s="216"/>
      <c r="W884" s="216"/>
      <c r="X884" s="216"/>
      <c r="Y884" s="216"/>
      <c r="Z884" s="216"/>
    </row>
    <row r="885" spans="1:26" ht="15.75" customHeight="1">
      <c r="A885" s="134" t="s">
        <v>1272</v>
      </c>
      <c r="B885" s="133" t="s">
        <v>141</v>
      </c>
      <c r="C885" s="133" t="s">
        <v>8812</v>
      </c>
      <c r="D885" s="116" t="s">
        <v>7778</v>
      </c>
      <c r="E885" s="116" t="s">
        <v>8813</v>
      </c>
      <c r="F885" s="528">
        <v>15.3</v>
      </c>
      <c r="G885" s="1" t="str">
        <f t="shared" si="116"/>
        <v>Zamfirescu Bălă-Constantin</v>
      </c>
      <c r="H885" s="1"/>
      <c r="I885" s="1"/>
      <c r="J885" s="216"/>
      <c r="K885" s="216"/>
      <c r="L885" s="216"/>
      <c r="M885" s="216"/>
      <c r="N885" s="216"/>
      <c r="O885" s="216"/>
      <c r="P885" s="216"/>
      <c r="Q885" s="216"/>
      <c r="R885" s="216"/>
      <c r="S885" s="216"/>
      <c r="T885" s="216"/>
      <c r="U885" s="216"/>
      <c r="V885" s="216"/>
      <c r="W885" s="216"/>
      <c r="X885" s="216"/>
      <c r="Y885" s="216"/>
      <c r="Z885" s="216"/>
    </row>
    <row r="886" spans="1:26" ht="15.75" customHeight="1">
      <c r="A886" s="134" t="s">
        <v>1272</v>
      </c>
      <c r="B886" s="133" t="s">
        <v>141</v>
      </c>
      <c r="C886" s="133" t="s">
        <v>8814</v>
      </c>
      <c r="D886" s="116" t="s">
        <v>7778</v>
      </c>
      <c r="E886" s="116" t="s">
        <v>8815</v>
      </c>
      <c r="F886" s="528">
        <v>27</v>
      </c>
      <c r="G886" s="1" t="str">
        <f t="shared" si="116"/>
        <v>Zamfirescu Bălă-Constantin</v>
      </c>
      <c r="H886" s="1"/>
      <c r="I886" s="1"/>
      <c r="J886" s="216"/>
      <c r="K886" s="216"/>
      <c r="L886" s="216"/>
      <c r="M886" s="216"/>
      <c r="N886" s="216"/>
      <c r="O886" s="216"/>
      <c r="P886" s="216"/>
      <c r="Q886" s="216"/>
      <c r="R886" s="216"/>
      <c r="S886" s="216"/>
      <c r="T886" s="216"/>
      <c r="U886" s="216"/>
      <c r="V886" s="216"/>
      <c r="W886" s="216"/>
      <c r="X886" s="216"/>
      <c r="Y886" s="216"/>
      <c r="Z886" s="216"/>
    </row>
    <row r="887" spans="1:26" ht="15.75" customHeight="1">
      <c r="A887" s="134" t="s">
        <v>1272</v>
      </c>
      <c r="B887" s="133" t="s">
        <v>141</v>
      </c>
      <c r="C887" s="133" t="s">
        <v>8816</v>
      </c>
      <c r="D887" s="116" t="s">
        <v>7778</v>
      </c>
      <c r="E887" s="116" t="s">
        <v>8817</v>
      </c>
      <c r="F887" s="528">
        <v>13.5</v>
      </c>
      <c r="G887" s="1" t="str">
        <f t="shared" si="116"/>
        <v>Zamfirescu Bălă-Constantin</v>
      </c>
      <c r="H887" s="1"/>
      <c r="I887" s="1"/>
      <c r="J887" s="216"/>
      <c r="K887" s="216"/>
      <c r="L887" s="216"/>
      <c r="M887" s="216"/>
      <c r="N887" s="216"/>
      <c r="O887" s="216"/>
      <c r="P887" s="216"/>
      <c r="Q887" s="216"/>
      <c r="R887" s="216"/>
      <c r="S887" s="216"/>
      <c r="T887" s="216"/>
      <c r="U887" s="216"/>
      <c r="V887" s="216"/>
      <c r="W887" s="216"/>
      <c r="X887" s="216"/>
      <c r="Y887" s="216"/>
      <c r="Z887" s="216"/>
    </row>
    <row r="888" spans="1:26" ht="15.75" customHeight="1">
      <c r="A888" s="134" t="s">
        <v>1273</v>
      </c>
      <c r="B888" s="133" t="s">
        <v>141</v>
      </c>
      <c r="C888" s="133" t="s">
        <v>8818</v>
      </c>
      <c r="D888" s="100" t="s">
        <v>8819</v>
      </c>
      <c r="E888" s="116">
        <v>9</v>
      </c>
      <c r="F888" s="528">
        <v>18</v>
      </c>
      <c r="G888" s="1" t="str">
        <f t="shared" si="116"/>
        <v>Mihai Neghina</v>
      </c>
      <c r="H888" s="1"/>
      <c r="I888" s="1"/>
      <c r="J888" s="216"/>
      <c r="K888" s="216"/>
      <c r="L888" s="216"/>
      <c r="M888" s="216"/>
      <c r="N888" s="216"/>
      <c r="O888" s="216"/>
      <c r="P888" s="216"/>
      <c r="Q888" s="216"/>
      <c r="R888" s="216"/>
      <c r="S888" s="216"/>
      <c r="T888" s="216"/>
      <c r="U888" s="216"/>
      <c r="V888" s="216"/>
      <c r="W888" s="216"/>
      <c r="X888" s="216"/>
      <c r="Y888" s="216"/>
      <c r="Z888" s="216"/>
    </row>
    <row r="889" spans="1:26" ht="15.75" customHeight="1">
      <c r="A889" s="134" t="s">
        <v>1273</v>
      </c>
      <c r="B889" s="133" t="s">
        <v>141</v>
      </c>
      <c r="C889" s="133" t="s">
        <v>8820</v>
      </c>
      <c r="D889" s="100" t="s">
        <v>7778</v>
      </c>
      <c r="E889" s="116">
        <v>101</v>
      </c>
      <c r="F889" s="528">
        <v>101</v>
      </c>
      <c r="G889" s="1" t="str">
        <f t="shared" si="116"/>
        <v>Mihai Neghina</v>
      </c>
      <c r="H889" s="1"/>
      <c r="I889" s="1"/>
      <c r="J889" s="216"/>
      <c r="K889" s="216"/>
      <c r="L889" s="216"/>
      <c r="M889" s="216"/>
      <c r="N889" s="216"/>
      <c r="O889" s="216"/>
      <c r="P889" s="216"/>
      <c r="Q889" s="216"/>
      <c r="R889" s="216"/>
      <c r="S889" s="216"/>
      <c r="T889" s="216"/>
      <c r="U889" s="216"/>
      <c r="V889" s="216"/>
      <c r="W889" s="216"/>
      <c r="X889" s="216"/>
      <c r="Y889" s="216"/>
      <c r="Z889" s="216"/>
    </row>
    <row r="890" spans="1:26" ht="15.75" customHeight="1">
      <c r="A890" s="107" t="s">
        <v>3415</v>
      </c>
      <c r="B890" s="108" t="s">
        <v>141</v>
      </c>
      <c r="C890" s="133" t="s">
        <v>8821</v>
      </c>
      <c r="D890" s="100" t="s">
        <v>7778</v>
      </c>
      <c r="E890" s="100" t="s">
        <v>8822</v>
      </c>
      <c r="F890" s="528">
        <v>38</v>
      </c>
      <c r="G890" s="1" t="str">
        <f t="shared" si="116"/>
        <v>Panu Mihai</v>
      </c>
      <c r="H890" s="1"/>
      <c r="I890" s="1"/>
      <c r="J890" s="216"/>
      <c r="K890" s="216"/>
      <c r="L890" s="216"/>
      <c r="M890" s="216"/>
      <c r="N890" s="216"/>
      <c r="O890" s="216"/>
      <c r="P890" s="216"/>
      <c r="Q890" s="216"/>
      <c r="R890" s="216"/>
      <c r="S890" s="216"/>
      <c r="T890" s="216"/>
      <c r="U890" s="216"/>
      <c r="V890" s="216"/>
      <c r="W890" s="216"/>
      <c r="X890" s="216"/>
      <c r="Y890" s="216"/>
      <c r="Z890" s="216"/>
    </row>
    <row r="891" spans="1:26" ht="15.75" customHeight="1">
      <c r="A891" s="107" t="s">
        <v>3415</v>
      </c>
      <c r="B891" s="108" t="s">
        <v>141</v>
      </c>
      <c r="C891" s="133" t="s">
        <v>8823</v>
      </c>
      <c r="D891" s="100" t="s">
        <v>7778</v>
      </c>
      <c r="E891" s="100" t="s">
        <v>8824</v>
      </c>
      <c r="F891" s="528">
        <v>17</v>
      </c>
      <c r="G891" s="1" t="str">
        <f t="shared" si="116"/>
        <v>Panu Mihai</v>
      </c>
      <c r="H891" s="1"/>
      <c r="I891" s="1"/>
      <c r="J891" s="216"/>
      <c r="K891" s="216"/>
      <c r="L891" s="216"/>
      <c r="M891" s="216"/>
      <c r="N891" s="216"/>
      <c r="O891" s="216"/>
      <c r="P891" s="216"/>
      <c r="Q891" s="216"/>
      <c r="R891" s="216"/>
      <c r="S891" s="216"/>
      <c r="T891" s="216"/>
      <c r="U891" s="216"/>
      <c r="V891" s="216"/>
      <c r="W891" s="216"/>
      <c r="X891" s="216"/>
      <c r="Y891" s="216"/>
      <c r="Z891" s="216"/>
    </row>
    <row r="892" spans="1:26" ht="15.75" customHeight="1">
      <c r="A892" s="107" t="s">
        <v>3415</v>
      </c>
      <c r="B892" s="108" t="s">
        <v>141</v>
      </c>
      <c r="C892" s="133" t="s">
        <v>8825</v>
      </c>
      <c r="D892" s="100" t="s">
        <v>7778</v>
      </c>
      <c r="E892" s="100" t="s">
        <v>8826</v>
      </c>
      <c r="F892" s="528">
        <v>9</v>
      </c>
      <c r="G892" s="1" t="str">
        <f t="shared" si="116"/>
        <v>Panu Mihai</v>
      </c>
      <c r="H892" s="1"/>
      <c r="I892" s="1"/>
      <c r="J892" s="216"/>
      <c r="K892" s="216"/>
      <c r="L892" s="216"/>
      <c r="M892" s="216"/>
      <c r="N892" s="216"/>
      <c r="O892" s="216"/>
      <c r="P892" s="216"/>
      <c r="Q892" s="216"/>
      <c r="R892" s="216"/>
      <c r="S892" s="216"/>
      <c r="T892" s="216"/>
      <c r="U892" s="216"/>
      <c r="V892" s="216"/>
      <c r="W892" s="216"/>
      <c r="X892" s="216"/>
      <c r="Y892" s="216"/>
      <c r="Z892" s="216"/>
    </row>
    <row r="893" spans="1:26" ht="15.75" customHeight="1">
      <c r="A893" s="107" t="s">
        <v>3415</v>
      </c>
      <c r="B893" s="108" t="s">
        <v>141</v>
      </c>
      <c r="C893" s="133" t="s">
        <v>8827</v>
      </c>
      <c r="D893" s="333" t="s">
        <v>7778</v>
      </c>
      <c r="E893" s="89" t="s">
        <v>8828</v>
      </c>
      <c r="F893" s="89">
        <v>7.65</v>
      </c>
      <c r="G893" s="1" t="str">
        <f t="shared" si="116"/>
        <v>Panu Mihai</v>
      </c>
      <c r="H893" s="1"/>
      <c r="I893" s="1"/>
      <c r="J893" s="216"/>
      <c r="K893" s="216"/>
      <c r="L893" s="216"/>
      <c r="M893" s="216"/>
      <c r="N893" s="216"/>
      <c r="O893" s="216"/>
      <c r="P893" s="216"/>
      <c r="Q893" s="216"/>
      <c r="R893" s="216"/>
      <c r="S893" s="216"/>
      <c r="T893" s="216"/>
      <c r="U893" s="216"/>
      <c r="V893" s="216"/>
      <c r="W893" s="216"/>
      <c r="X893" s="216"/>
      <c r="Y893" s="216"/>
      <c r="Z893" s="216"/>
    </row>
    <row r="894" spans="1:26" ht="15.75" customHeight="1">
      <c r="A894" s="107" t="s">
        <v>3415</v>
      </c>
      <c r="B894" s="108" t="s">
        <v>141</v>
      </c>
      <c r="C894" s="133" t="s">
        <v>8829</v>
      </c>
      <c r="D894" s="333" t="s">
        <v>7778</v>
      </c>
      <c r="E894" s="100" t="s">
        <v>8830</v>
      </c>
      <c r="F894" s="528">
        <v>13.95</v>
      </c>
      <c r="G894" s="1" t="str">
        <f t="shared" si="116"/>
        <v>Panu Mihai</v>
      </c>
      <c r="H894" s="1"/>
      <c r="I894" s="1"/>
      <c r="J894" s="216"/>
      <c r="K894" s="216"/>
      <c r="L894" s="216"/>
      <c r="M894" s="216"/>
      <c r="N894" s="216"/>
      <c r="O894" s="216"/>
      <c r="P894" s="216"/>
      <c r="Q894" s="216"/>
      <c r="R894" s="216"/>
      <c r="S894" s="216"/>
      <c r="T894" s="216"/>
      <c r="U894" s="216"/>
      <c r="V894" s="216"/>
      <c r="W894" s="216"/>
      <c r="X894" s="216"/>
      <c r="Y894" s="216"/>
      <c r="Z894" s="216"/>
    </row>
    <row r="895" spans="1:26" ht="15.75" customHeight="1">
      <c r="A895" s="107" t="s">
        <v>3415</v>
      </c>
      <c r="B895" s="108" t="s">
        <v>141</v>
      </c>
      <c r="C895" s="133" t="s">
        <v>8831</v>
      </c>
      <c r="D895" s="100" t="s">
        <v>8832</v>
      </c>
      <c r="E895" s="100" t="s">
        <v>8833</v>
      </c>
      <c r="F895" s="528">
        <v>31.34</v>
      </c>
      <c r="G895" s="1" t="str">
        <f t="shared" si="116"/>
        <v>Panu Mihai</v>
      </c>
      <c r="H895" s="1"/>
      <c r="I895" s="1"/>
      <c r="J895" s="216"/>
      <c r="K895" s="216"/>
      <c r="L895" s="216"/>
      <c r="M895" s="216"/>
      <c r="N895" s="216"/>
      <c r="O895" s="216"/>
      <c r="P895" s="216"/>
      <c r="Q895" s="216"/>
      <c r="R895" s="216"/>
      <c r="S895" s="216"/>
      <c r="T895" s="216"/>
      <c r="U895" s="216"/>
      <c r="V895" s="216"/>
      <c r="W895" s="216"/>
      <c r="X895" s="216"/>
      <c r="Y895" s="216"/>
      <c r="Z895" s="216"/>
    </row>
    <row r="896" spans="1:26" ht="15.75" customHeight="1">
      <c r="A896" s="107" t="s">
        <v>3415</v>
      </c>
      <c r="B896" s="99" t="s">
        <v>141</v>
      </c>
      <c r="C896" s="133" t="s">
        <v>8834</v>
      </c>
      <c r="D896" s="100" t="s">
        <v>7778</v>
      </c>
      <c r="E896" s="100" t="s">
        <v>8835</v>
      </c>
      <c r="F896" s="528">
        <v>22.67</v>
      </c>
      <c r="G896" s="1" t="str">
        <f t="shared" si="116"/>
        <v>Panu Mihai</v>
      </c>
      <c r="H896" s="1"/>
      <c r="I896" s="1"/>
      <c r="J896" s="216"/>
      <c r="K896" s="216"/>
      <c r="L896" s="216"/>
      <c r="M896" s="216"/>
      <c r="N896" s="216"/>
      <c r="O896" s="216"/>
      <c r="P896" s="216"/>
      <c r="Q896" s="216"/>
      <c r="R896" s="216"/>
      <c r="S896" s="216"/>
      <c r="T896" s="216"/>
      <c r="U896" s="216"/>
      <c r="V896" s="216"/>
      <c r="W896" s="216"/>
      <c r="X896" s="216"/>
      <c r="Y896" s="216"/>
      <c r="Z896" s="216"/>
    </row>
    <row r="897" spans="1:26" ht="15.75" customHeight="1">
      <c r="A897" s="134" t="s">
        <v>3417</v>
      </c>
      <c r="B897" s="133" t="s">
        <v>141</v>
      </c>
      <c r="C897" s="133" t="s">
        <v>8836</v>
      </c>
      <c r="D897" s="100" t="s">
        <v>7698</v>
      </c>
      <c r="E897" s="100" t="s">
        <v>8837</v>
      </c>
      <c r="F897" s="528">
        <v>95.5</v>
      </c>
      <c r="G897" s="134" t="s">
        <v>3417</v>
      </c>
      <c r="H897" s="1"/>
      <c r="I897" s="1"/>
      <c r="J897" s="216"/>
      <c r="K897" s="216"/>
      <c r="L897" s="216"/>
      <c r="M897" s="216"/>
      <c r="N897" s="216"/>
      <c r="O897" s="216"/>
      <c r="P897" s="216"/>
      <c r="Q897" s="216"/>
      <c r="R897" s="216"/>
      <c r="S897" s="216"/>
      <c r="T897" s="216"/>
      <c r="U897" s="216"/>
      <c r="V897" s="216"/>
      <c r="W897" s="216"/>
      <c r="X897" s="216"/>
      <c r="Y897" s="216"/>
      <c r="Z897" s="216"/>
    </row>
    <row r="898" spans="1:26" ht="15.75" customHeight="1">
      <c r="A898" s="134" t="s">
        <v>3417</v>
      </c>
      <c r="B898" s="133" t="s">
        <v>141</v>
      </c>
      <c r="C898" s="133" t="s">
        <v>8838</v>
      </c>
      <c r="D898" s="100" t="s">
        <v>7698</v>
      </c>
      <c r="E898" s="100" t="s">
        <v>8839</v>
      </c>
      <c r="F898" s="528">
        <v>51.33</v>
      </c>
      <c r="G898" s="134" t="s">
        <v>3417</v>
      </c>
      <c r="H898" s="1"/>
      <c r="I898" s="1"/>
      <c r="J898" s="216"/>
      <c r="K898" s="216"/>
      <c r="L898" s="216"/>
      <c r="M898" s="216"/>
      <c r="N898" s="216"/>
      <c r="O898" s="216"/>
      <c r="P898" s="216"/>
      <c r="Q898" s="216"/>
      <c r="R898" s="216"/>
      <c r="S898" s="216"/>
      <c r="T898" s="216"/>
      <c r="U898" s="216"/>
      <c r="V898" s="216"/>
      <c r="W898" s="216"/>
      <c r="X898" s="216"/>
      <c r="Y898" s="216"/>
      <c r="Z898" s="216"/>
    </row>
    <row r="899" spans="1:26" ht="15.75" customHeight="1">
      <c r="A899" s="438" t="s">
        <v>3417</v>
      </c>
      <c r="B899" s="138" t="s">
        <v>141</v>
      </c>
      <c r="C899" s="138" t="s">
        <v>8840</v>
      </c>
      <c r="D899" s="229" t="s">
        <v>7698</v>
      </c>
      <c r="E899" s="229" t="s">
        <v>8841</v>
      </c>
      <c r="F899" s="1117">
        <v>25</v>
      </c>
      <c r="G899" s="134" t="s">
        <v>3417</v>
      </c>
      <c r="H899" s="1"/>
      <c r="I899" s="1"/>
      <c r="J899" s="216"/>
      <c r="K899" s="216"/>
      <c r="L899" s="216"/>
      <c r="M899" s="216"/>
      <c r="N899" s="216"/>
      <c r="O899" s="216"/>
      <c r="P899" s="216"/>
      <c r="Q899" s="216"/>
      <c r="R899" s="216"/>
      <c r="S899" s="216"/>
      <c r="T899" s="216"/>
      <c r="U899" s="216"/>
      <c r="V899" s="216"/>
      <c r="W899" s="216"/>
      <c r="X899" s="216"/>
      <c r="Y899" s="216"/>
      <c r="Z899" s="216"/>
    </row>
    <row r="900" spans="1:26" ht="15.75" customHeight="1">
      <c r="A900" s="134" t="s">
        <v>906</v>
      </c>
      <c r="B900" s="133" t="s">
        <v>141</v>
      </c>
      <c r="C900" s="133" t="s">
        <v>8842</v>
      </c>
      <c r="D900" s="100" t="s">
        <v>8645</v>
      </c>
      <c r="E900" s="100" t="s">
        <v>8843</v>
      </c>
      <c r="F900" s="528">
        <f>40/3*1.35</f>
        <v>18.000000000000004</v>
      </c>
      <c r="G900" s="1" t="str">
        <f t="shared" ref="G900:G910" si="117">A900</f>
        <v>Vintan Maria</v>
      </c>
      <c r="H900" s="1"/>
      <c r="I900" s="1"/>
      <c r="J900" s="216"/>
      <c r="K900" s="216"/>
      <c r="L900" s="216"/>
      <c r="M900" s="216"/>
      <c r="N900" s="216"/>
      <c r="O900" s="216"/>
      <c r="P900" s="216"/>
      <c r="Q900" s="216"/>
      <c r="R900" s="216"/>
      <c r="S900" s="216"/>
      <c r="T900" s="216"/>
      <c r="U900" s="216"/>
      <c r="V900" s="216"/>
      <c r="W900" s="216"/>
      <c r="X900" s="216"/>
      <c r="Y900" s="216"/>
      <c r="Z900" s="216"/>
    </row>
    <row r="901" spans="1:26" ht="15.75" customHeight="1">
      <c r="A901" s="134" t="s">
        <v>906</v>
      </c>
      <c r="B901" s="133" t="s">
        <v>141</v>
      </c>
      <c r="C901" s="133" t="s">
        <v>8844</v>
      </c>
      <c r="D901" s="100" t="s">
        <v>8645</v>
      </c>
      <c r="E901" s="100" t="s">
        <v>8845</v>
      </c>
      <c r="F901" s="528">
        <f>40/3*2</f>
        <v>26.666666666666668</v>
      </c>
      <c r="G901" s="1" t="str">
        <f t="shared" si="117"/>
        <v>Vintan Maria</v>
      </c>
      <c r="H901" s="1"/>
      <c r="I901" s="1"/>
      <c r="J901" s="216"/>
      <c r="K901" s="216"/>
      <c r="L901" s="216"/>
      <c r="M901" s="216"/>
      <c r="N901" s="216"/>
      <c r="O901" s="216"/>
      <c r="P901" s="216"/>
      <c r="Q901" s="216"/>
      <c r="R901" s="216"/>
      <c r="S901" s="216"/>
      <c r="T901" s="216"/>
      <c r="U901" s="216"/>
      <c r="V901" s="216"/>
      <c r="W901" s="216"/>
      <c r="X901" s="216"/>
      <c r="Y901" s="216"/>
      <c r="Z901" s="216"/>
    </row>
    <row r="902" spans="1:26" ht="15.75" customHeight="1">
      <c r="A902" s="134" t="s">
        <v>906</v>
      </c>
      <c r="B902" s="133" t="s">
        <v>141</v>
      </c>
      <c r="C902" s="133" t="s">
        <v>8846</v>
      </c>
      <c r="D902" s="100" t="s">
        <v>8645</v>
      </c>
      <c r="E902" s="100" t="s">
        <v>8843</v>
      </c>
      <c r="F902" s="528">
        <f>40/3*1.35</f>
        <v>18.000000000000004</v>
      </c>
      <c r="G902" s="1" t="str">
        <f t="shared" si="117"/>
        <v>Vintan Maria</v>
      </c>
      <c r="H902" s="1"/>
      <c r="I902" s="1"/>
      <c r="J902" s="216"/>
      <c r="K902" s="216"/>
      <c r="L902" s="216"/>
      <c r="M902" s="216"/>
      <c r="N902" s="216"/>
      <c r="O902" s="216"/>
      <c r="P902" s="216"/>
      <c r="Q902" s="216"/>
      <c r="R902" s="216"/>
      <c r="S902" s="216"/>
      <c r="T902" s="216"/>
      <c r="U902" s="216"/>
      <c r="V902" s="216"/>
      <c r="W902" s="216"/>
      <c r="X902" s="216"/>
      <c r="Y902" s="216"/>
      <c r="Z902" s="216"/>
    </row>
    <row r="903" spans="1:26" ht="15.75" customHeight="1">
      <c r="A903" s="134" t="s">
        <v>906</v>
      </c>
      <c r="B903" s="133" t="s">
        <v>141</v>
      </c>
      <c r="C903" s="133" t="s">
        <v>8847</v>
      </c>
      <c r="D903" s="100" t="s">
        <v>8645</v>
      </c>
      <c r="E903" s="185" t="s">
        <v>8848</v>
      </c>
      <c r="F903" s="528" t="str">
        <f>E903</f>
        <v>40 /3</v>
      </c>
      <c r="G903" s="1" t="str">
        <f t="shared" si="117"/>
        <v>Vintan Maria</v>
      </c>
      <c r="H903" s="1"/>
      <c r="I903" s="1"/>
      <c r="J903" s="216"/>
      <c r="K903" s="216"/>
      <c r="L903" s="216"/>
      <c r="M903" s="216"/>
      <c r="N903" s="216"/>
      <c r="O903" s="216"/>
      <c r="P903" s="216"/>
      <c r="Q903" s="216"/>
      <c r="R903" s="216"/>
      <c r="S903" s="216"/>
      <c r="T903" s="216"/>
      <c r="U903" s="216"/>
      <c r="V903" s="216"/>
      <c r="W903" s="216"/>
      <c r="X903" s="216"/>
      <c r="Y903" s="216"/>
      <c r="Z903" s="216"/>
    </row>
    <row r="904" spans="1:26" ht="15.75" customHeight="1">
      <c r="A904" s="134" t="s">
        <v>906</v>
      </c>
      <c r="B904" s="133" t="s">
        <v>141</v>
      </c>
      <c r="C904" s="133" t="s">
        <v>8849</v>
      </c>
      <c r="D904" s="100" t="s">
        <v>8645</v>
      </c>
      <c r="E904" s="100" t="s">
        <v>8850</v>
      </c>
      <c r="F904" s="528">
        <f>73/3*1.35</f>
        <v>32.85</v>
      </c>
      <c r="G904" s="1" t="str">
        <f t="shared" si="117"/>
        <v>Vintan Maria</v>
      </c>
      <c r="H904" s="1"/>
      <c r="I904" s="1"/>
      <c r="J904" s="216"/>
      <c r="K904" s="216"/>
      <c r="L904" s="216"/>
      <c r="M904" s="216"/>
      <c r="N904" s="216"/>
      <c r="O904" s="216"/>
      <c r="P904" s="216"/>
      <c r="Q904" s="216"/>
      <c r="R904" s="216"/>
      <c r="S904" s="216"/>
      <c r="T904" s="216"/>
      <c r="U904" s="216"/>
      <c r="V904" s="216"/>
      <c r="W904" s="216"/>
      <c r="X904" s="216"/>
      <c r="Y904" s="216"/>
      <c r="Z904" s="216"/>
    </row>
    <row r="905" spans="1:26" ht="15.75" customHeight="1">
      <c r="A905" s="134" t="s">
        <v>906</v>
      </c>
      <c r="B905" s="133" t="s">
        <v>141</v>
      </c>
      <c r="C905" s="133" t="s">
        <v>8851</v>
      </c>
      <c r="D905" s="100" t="s">
        <v>8645</v>
      </c>
      <c r="E905" s="185" t="s">
        <v>8852</v>
      </c>
      <c r="F905" s="528">
        <f>73/3</f>
        <v>24.333333333333332</v>
      </c>
      <c r="G905" s="1" t="str">
        <f t="shared" si="117"/>
        <v>Vintan Maria</v>
      </c>
      <c r="H905" s="1"/>
      <c r="I905" s="1"/>
      <c r="J905" s="216"/>
      <c r="K905" s="216"/>
      <c r="L905" s="216"/>
      <c r="M905" s="216"/>
      <c r="N905" s="216"/>
      <c r="O905" s="216"/>
      <c r="P905" s="216"/>
      <c r="Q905" s="216"/>
      <c r="R905" s="216"/>
      <c r="S905" s="216"/>
      <c r="T905" s="216"/>
      <c r="U905" s="216"/>
      <c r="V905" s="216"/>
      <c r="W905" s="216"/>
      <c r="X905" s="216"/>
      <c r="Y905" s="216"/>
      <c r="Z905" s="216"/>
    </row>
    <row r="906" spans="1:26" ht="15.75" customHeight="1">
      <c r="A906" s="134" t="s">
        <v>906</v>
      </c>
      <c r="B906" s="133" t="s">
        <v>141</v>
      </c>
      <c r="C906" s="133" t="s">
        <v>8853</v>
      </c>
      <c r="D906" s="100" t="s">
        <v>8645</v>
      </c>
      <c r="E906" s="100" t="s">
        <v>8854</v>
      </c>
      <c r="F906" s="528">
        <f>20/3*1.35</f>
        <v>9.0000000000000018</v>
      </c>
      <c r="G906" s="1" t="str">
        <f t="shared" si="117"/>
        <v>Vintan Maria</v>
      </c>
      <c r="H906" s="1"/>
      <c r="I906" s="1"/>
      <c r="J906" s="216"/>
      <c r="K906" s="216"/>
      <c r="L906" s="216"/>
      <c r="M906" s="216"/>
      <c r="N906" s="216"/>
      <c r="O906" s="216"/>
      <c r="P906" s="216"/>
      <c r="Q906" s="216"/>
      <c r="R906" s="216"/>
      <c r="S906" s="216"/>
      <c r="T906" s="216"/>
      <c r="U906" s="216"/>
      <c r="V906" s="216"/>
      <c r="W906" s="216"/>
      <c r="X906" s="216"/>
      <c r="Y906" s="216"/>
      <c r="Z906" s="216"/>
    </row>
    <row r="907" spans="1:26" ht="15.75" customHeight="1">
      <c r="A907" s="134" t="s">
        <v>906</v>
      </c>
      <c r="B907" s="133" t="s">
        <v>141</v>
      </c>
      <c r="C907" s="133" t="s">
        <v>8855</v>
      </c>
      <c r="D907" s="100" t="s">
        <v>8645</v>
      </c>
      <c r="E907" s="185" t="s">
        <v>8856</v>
      </c>
      <c r="F907" s="528">
        <f>20/3</f>
        <v>6.666666666666667</v>
      </c>
      <c r="G907" s="1" t="str">
        <f t="shared" si="117"/>
        <v>Vintan Maria</v>
      </c>
      <c r="H907" s="1"/>
      <c r="I907" s="1"/>
      <c r="J907" s="216"/>
      <c r="K907" s="216"/>
      <c r="L907" s="216"/>
      <c r="M907" s="216"/>
      <c r="N907" s="216"/>
      <c r="O907" s="216"/>
      <c r="P907" s="216"/>
      <c r="Q907" s="216"/>
      <c r="R907" s="216"/>
      <c r="S907" s="216"/>
      <c r="T907" s="216"/>
      <c r="U907" s="216"/>
      <c r="V907" s="216"/>
      <c r="W907" s="216"/>
      <c r="X907" s="216"/>
      <c r="Y907" s="216"/>
      <c r="Z907" s="216"/>
    </row>
    <row r="908" spans="1:26" ht="15.75" customHeight="1">
      <c r="A908" s="134" t="s">
        <v>906</v>
      </c>
      <c r="B908" s="133" t="s">
        <v>141</v>
      </c>
      <c r="C908" s="133" t="s">
        <v>8857</v>
      </c>
      <c r="D908" s="100" t="s">
        <v>8645</v>
      </c>
      <c r="E908" s="100" t="s">
        <v>8858</v>
      </c>
      <c r="F908" s="528">
        <f>25/3*2</f>
        <v>16.666666666666668</v>
      </c>
      <c r="G908" s="1" t="str">
        <f t="shared" si="117"/>
        <v>Vintan Maria</v>
      </c>
      <c r="H908" s="1"/>
      <c r="I908" s="1"/>
      <c r="J908" s="216"/>
      <c r="K908" s="216"/>
      <c r="L908" s="216"/>
      <c r="M908" s="216"/>
      <c r="N908" s="216"/>
      <c r="O908" s="216"/>
      <c r="P908" s="216"/>
      <c r="Q908" s="216"/>
      <c r="R908" s="216"/>
      <c r="S908" s="216"/>
      <c r="T908" s="216"/>
      <c r="U908" s="216"/>
      <c r="V908" s="216"/>
      <c r="W908" s="216"/>
      <c r="X908" s="216"/>
      <c r="Y908" s="216"/>
      <c r="Z908" s="216"/>
    </row>
    <row r="909" spans="1:26" ht="15.75" customHeight="1">
      <c r="A909" s="134" t="s">
        <v>906</v>
      </c>
      <c r="B909" s="133" t="s">
        <v>141</v>
      </c>
      <c r="C909" s="133" t="s">
        <v>8859</v>
      </c>
      <c r="D909" s="100" t="s">
        <v>8645</v>
      </c>
      <c r="E909" s="100" t="s">
        <v>8860</v>
      </c>
      <c r="F909" s="528">
        <f>17*3/3</f>
        <v>17</v>
      </c>
      <c r="G909" s="1" t="str">
        <f t="shared" si="117"/>
        <v>Vintan Maria</v>
      </c>
      <c r="H909" s="1"/>
      <c r="I909" s="1"/>
      <c r="J909" s="216"/>
      <c r="K909" s="216"/>
      <c r="L909" s="216"/>
      <c r="M909" s="216"/>
      <c r="N909" s="216"/>
      <c r="O909" s="216"/>
      <c r="P909" s="216"/>
      <c r="Q909" s="216"/>
      <c r="R909" s="216"/>
      <c r="S909" s="216"/>
      <c r="T909" s="216"/>
      <c r="U909" s="216"/>
      <c r="V909" s="216"/>
      <c r="W909" s="216"/>
      <c r="X909" s="216"/>
      <c r="Y909" s="216"/>
      <c r="Z909" s="216"/>
    </row>
    <row r="910" spans="1:26" ht="15.75" customHeight="1">
      <c r="A910" s="134" t="s">
        <v>906</v>
      </c>
      <c r="B910" s="133" t="s">
        <v>141</v>
      </c>
      <c r="C910" s="133" t="s">
        <v>8644</v>
      </c>
      <c r="D910" s="100" t="s">
        <v>8645</v>
      </c>
      <c r="E910" s="100" t="s">
        <v>8646</v>
      </c>
      <c r="F910" s="528">
        <f>(30/3)*2</f>
        <v>20</v>
      </c>
      <c r="G910" s="1" t="str">
        <f t="shared" si="117"/>
        <v>Vintan Maria</v>
      </c>
      <c r="H910" s="1"/>
      <c r="I910" s="1"/>
      <c r="J910" s="216"/>
      <c r="K910" s="216"/>
      <c r="L910" s="216"/>
      <c r="M910" s="216"/>
      <c r="N910" s="216"/>
      <c r="O910" s="216"/>
      <c r="P910" s="216"/>
      <c r="Q910" s="216"/>
      <c r="R910" s="216"/>
      <c r="S910" s="216"/>
      <c r="T910" s="216"/>
      <c r="U910" s="216"/>
      <c r="V910" s="216"/>
      <c r="W910" s="216"/>
      <c r="X910" s="216"/>
      <c r="Y910" s="216"/>
      <c r="Z910" s="216"/>
    </row>
    <row r="911" spans="1:26" ht="15.75" customHeight="1">
      <c r="A911" s="134" t="s">
        <v>3450</v>
      </c>
      <c r="B911" s="133" t="s">
        <v>141</v>
      </c>
      <c r="C911" s="133" t="s">
        <v>8861</v>
      </c>
      <c r="D911" s="100" t="s">
        <v>7698</v>
      </c>
      <c r="E911" s="100" t="s">
        <v>8862</v>
      </c>
      <c r="F911" s="528">
        <v>42.75</v>
      </c>
      <c r="G911" s="1" t="s">
        <v>3450</v>
      </c>
      <c r="H911" s="1"/>
      <c r="I911" s="1"/>
      <c r="J911" s="216"/>
      <c r="K911" s="216"/>
      <c r="L911" s="216"/>
      <c r="M911" s="216"/>
      <c r="N911" s="216"/>
      <c r="O911" s="216"/>
      <c r="P911" s="216"/>
      <c r="Q911" s="216"/>
      <c r="R911" s="216"/>
      <c r="S911" s="216"/>
      <c r="T911" s="216"/>
      <c r="U911" s="216"/>
      <c r="V911" s="216"/>
      <c r="W911" s="216"/>
      <c r="X911" s="216"/>
      <c r="Y911" s="216"/>
      <c r="Z911" s="216"/>
    </row>
    <row r="912" spans="1:26" ht="15.75" customHeight="1">
      <c r="A912" s="134" t="s">
        <v>3450</v>
      </c>
      <c r="B912" s="133" t="s">
        <v>141</v>
      </c>
      <c r="C912" s="133" t="s">
        <v>8863</v>
      </c>
      <c r="D912" s="100" t="s">
        <v>7698</v>
      </c>
      <c r="E912" s="1150" t="s">
        <v>8864</v>
      </c>
      <c r="F912" s="99">
        <v>49</v>
      </c>
      <c r="G912" s="1" t="s">
        <v>3450</v>
      </c>
      <c r="H912" s="1"/>
      <c r="I912" s="1"/>
      <c r="J912" s="216"/>
      <c r="K912" s="216"/>
      <c r="L912" s="216"/>
      <c r="M912" s="216"/>
      <c r="N912" s="216"/>
      <c r="O912" s="216"/>
      <c r="P912" s="216"/>
      <c r="Q912" s="216"/>
      <c r="R912" s="216"/>
      <c r="S912" s="216"/>
      <c r="T912" s="216"/>
      <c r="U912" s="216"/>
      <c r="V912" s="216"/>
      <c r="W912" s="216"/>
      <c r="X912" s="216"/>
      <c r="Y912" s="216"/>
      <c r="Z912" s="216"/>
    </row>
    <row r="913" spans="1:26" ht="15.75" customHeight="1">
      <c r="A913" s="134" t="s">
        <v>1204</v>
      </c>
      <c r="B913" s="133" t="s">
        <v>141</v>
      </c>
      <c r="C913" s="133" t="s">
        <v>8865</v>
      </c>
      <c r="D913" s="100" t="s">
        <v>7698</v>
      </c>
      <c r="E913" s="100" t="s">
        <v>8866</v>
      </c>
      <c r="F913" s="528">
        <v>188.55</v>
      </c>
      <c r="G913" s="1" t="str">
        <f t="shared" ref="G913:G915" si="118">A913</f>
        <v>Volovici Daniel</v>
      </c>
      <c r="H913" s="1"/>
      <c r="I913" s="1"/>
      <c r="J913" s="216"/>
      <c r="K913" s="216"/>
      <c r="L913" s="216"/>
      <c r="M913" s="216"/>
      <c r="N913" s="216"/>
      <c r="O913" s="216"/>
      <c r="P913" s="216"/>
      <c r="Q913" s="216"/>
      <c r="R913" s="216"/>
      <c r="S913" s="216"/>
      <c r="T913" s="216"/>
      <c r="U913" s="216"/>
      <c r="V913" s="216"/>
      <c r="W913" s="216"/>
      <c r="X913" s="216"/>
      <c r="Y913" s="216"/>
      <c r="Z913" s="216"/>
    </row>
    <row r="914" spans="1:26" ht="15.75" customHeight="1">
      <c r="A914" s="134" t="s">
        <v>1204</v>
      </c>
      <c r="B914" s="133" t="s">
        <v>141</v>
      </c>
      <c r="C914" s="133" t="s">
        <v>8867</v>
      </c>
      <c r="D914" s="100" t="s">
        <v>7698</v>
      </c>
      <c r="E914" s="100" t="s">
        <v>8868</v>
      </c>
      <c r="F914" s="528">
        <v>71.33</v>
      </c>
      <c r="G914" s="1" t="str">
        <f t="shared" si="118"/>
        <v>Volovici Daniel</v>
      </c>
      <c r="H914" s="1"/>
      <c r="I914" s="1"/>
      <c r="J914" s="216"/>
      <c r="K914" s="216"/>
      <c r="L914" s="216"/>
      <c r="M914" s="216"/>
      <c r="N914" s="216"/>
      <c r="O914" s="216"/>
      <c r="P914" s="216"/>
      <c r="Q914" s="216"/>
      <c r="R914" s="216"/>
      <c r="S914" s="216"/>
      <c r="T914" s="216"/>
      <c r="U914" s="216"/>
      <c r="V914" s="216"/>
      <c r="W914" s="216"/>
      <c r="X914" s="216"/>
      <c r="Y914" s="216"/>
      <c r="Z914" s="216"/>
    </row>
    <row r="915" spans="1:26" ht="15.75" customHeight="1">
      <c r="A915" s="256" t="s">
        <v>1204</v>
      </c>
      <c r="B915" s="469" t="s">
        <v>141</v>
      </c>
      <c r="C915" s="469" t="s">
        <v>8869</v>
      </c>
      <c r="D915" s="178" t="s">
        <v>7698</v>
      </c>
      <c r="E915" s="178" t="s">
        <v>8870</v>
      </c>
      <c r="F915" s="1120">
        <v>40</v>
      </c>
      <c r="G915" s="1" t="str">
        <f t="shared" si="118"/>
        <v>Volovici Daniel</v>
      </c>
      <c r="H915" s="1"/>
      <c r="I915" s="1"/>
      <c r="J915" s="216"/>
      <c r="K915" s="216"/>
      <c r="L915" s="216"/>
      <c r="M915" s="216"/>
      <c r="N915" s="216"/>
      <c r="O915" s="216"/>
      <c r="P915" s="216"/>
      <c r="Q915" s="216"/>
      <c r="R915" s="216"/>
      <c r="S915" s="216"/>
      <c r="T915" s="216"/>
      <c r="U915" s="216"/>
      <c r="V915" s="216"/>
      <c r="W915" s="216"/>
      <c r="X915" s="216"/>
      <c r="Y915" s="216"/>
      <c r="Z915" s="216"/>
    </row>
    <row r="916" spans="1:26" ht="15.75" customHeight="1">
      <c r="A916" s="134" t="s">
        <v>6654</v>
      </c>
      <c r="B916" s="133" t="s">
        <v>141</v>
      </c>
      <c r="C916" s="133" t="s">
        <v>8871</v>
      </c>
      <c r="D916" s="116" t="s">
        <v>7778</v>
      </c>
      <c r="E916" s="116" t="s">
        <v>8872</v>
      </c>
      <c r="F916" s="528">
        <v>17.329999999999998</v>
      </c>
      <c r="G916" s="1" t="s">
        <v>6654</v>
      </c>
      <c r="H916" s="1"/>
      <c r="I916" s="1"/>
      <c r="J916" s="216"/>
      <c r="K916" s="216"/>
      <c r="L916" s="216"/>
      <c r="M916" s="216"/>
      <c r="N916" s="216"/>
      <c r="O916" s="216"/>
      <c r="P916" s="216"/>
      <c r="Q916" s="216"/>
      <c r="R916" s="216"/>
      <c r="S916" s="216"/>
      <c r="T916" s="216"/>
      <c r="U916" s="216"/>
      <c r="V916" s="216"/>
      <c r="W916" s="216"/>
      <c r="X916" s="216"/>
      <c r="Y916" s="216"/>
      <c r="Z916" s="216"/>
    </row>
    <row r="917" spans="1:26" ht="15.75" customHeight="1">
      <c r="A917" s="134" t="s">
        <v>6654</v>
      </c>
      <c r="B917" s="133" t="s">
        <v>141</v>
      </c>
      <c r="C917" s="133" t="s">
        <v>8873</v>
      </c>
      <c r="D917" s="116" t="s">
        <v>7778</v>
      </c>
      <c r="E917" s="116" t="s">
        <v>8874</v>
      </c>
      <c r="F917" s="528">
        <v>2</v>
      </c>
      <c r="G917" s="1" t="s">
        <v>6654</v>
      </c>
      <c r="H917" s="1"/>
      <c r="I917" s="1"/>
      <c r="J917" s="216"/>
      <c r="K917" s="216"/>
      <c r="L917" s="216"/>
      <c r="M917" s="216"/>
      <c r="N917" s="216"/>
      <c r="O917" s="216"/>
      <c r="P917" s="216"/>
      <c r="Q917" s="216"/>
      <c r="R917" s="216"/>
      <c r="S917" s="216"/>
      <c r="T917" s="216"/>
      <c r="U917" s="216"/>
      <c r="V917" s="216"/>
      <c r="W917" s="216"/>
      <c r="X917" s="216"/>
      <c r="Y917" s="216"/>
      <c r="Z917" s="216"/>
    </row>
    <row r="918" spans="1:26" ht="15.75" customHeight="1">
      <c r="A918" s="134" t="s">
        <v>6654</v>
      </c>
      <c r="B918" s="133" t="s">
        <v>141</v>
      </c>
      <c r="C918" s="133" t="s">
        <v>8875</v>
      </c>
      <c r="D918" s="116" t="s">
        <v>7778</v>
      </c>
      <c r="E918" s="116" t="s">
        <v>8876</v>
      </c>
      <c r="F918" s="528">
        <v>58</v>
      </c>
      <c r="G918" s="1" t="s">
        <v>6654</v>
      </c>
      <c r="H918" s="1"/>
      <c r="I918" s="1"/>
      <c r="J918" s="216"/>
      <c r="K918" s="216"/>
      <c r="L918" s="216"/>
      <c r="M918" s="216"/>
      <c r="N918" s="216"/>
      <c r="O918" s="216"/>
      <c r="P918" s="216"/>
      <c r="Q918" s="216"/>
      <c r="R918" s="216"/>
      <c r="S918" s="216"/>
      <c r="T918" s="216"/>
      <c r="U918" s="216"/>
      <c r="V918" s="216"/>
      <c r="W918" s="216"/>
      <c r="X918" s="216"/>
      <c r="Y918" s="216"/>
      <c r="Z918" s="216"/>
    </row>
    <row r="919" spans="1:26" ht="15.75" customHeight="1">
      <c r="A919" s="134" t="s">
        <v>6654</v>
      </c>
      <c r="B919" s="133" t="s">
        <v>141</v>
      </c>
      <c r="C919" s="133" t="s">
        <v>8877</v>
      </c>
      <c r="D919" s="116" t="s">
        <v>7778</v>
      </c>
      <c r="E919" s="116" t="s">
        <v>8878</v>
      </c>
      <c r="F919" s="528">
        <v>39.15</v>
      </c>
      <c r="G919" s="1" t="s">
        <v>6654</v>
      </c>
      <c r="H919" s="1"/>
      <c r="I919" s="1"/>
      <c r="J919" s="216"/>
      <c r="K919" s="216"/>
      <c r="L919" s="216"/>
      <c r="M919" s="216"/>
      <c r="N919" s="216"/>
      <c r="O919" s="216"/>
      <c r="P919" s="216"/>
      <c r="Q919" s="216"/>
      <c r="R919" s="216"/>
      <c r="S919" s="216"/>
      <c r="T919" s="216"/>
      <c r="U919" s="216"/>
      <c r="V919" s="216"/>
      <c r="W919" s="216"/>
      <c r="X919" s="216"/>
      <c r="Y919" s="216"/>
      <c r="Z919" s="216"/>
    </row>
    <row r="920" spans="1:26" ht="15.75" customHeight="1">
      <c r="A920" s="134" t="s">
        <v>6654</v>
      </c>
      <c r="B920" s="133" t="s">
        <v>141</v>
      </c>
      <c r="C920" s="133" t="s">
        <v>8879</v>
      </c>
      <c r="D920" s="116" t="s">
        <v>7778</v>
      </c>
      <c r="E920" s="116" t="s">
        <v>8880</v>
      </c>
      <c r="F920" s="528">
        <v>4</v>
      </c>
      <c r="G920" s="1" t="s">
        <v>6654</v>
      </c>
      <c r="H920" s="1"/>
      <c r="I920" s="1"/>
      <c r="J920" s="216"/>
      <c r="K920" s="216"/>
      <c r="L920" s="216"/>
      <c r="M920" s="216"/>
      <c r="N920" s="216"/>
      <c r="O920" s="216"/>
      <c r="P920" s="216"/>
      <c r="Q920" s="216"/>
      <c r="R920" s="216"/>
      <c r="S920" s="216"/>
      <c r="T920" s="216"/>
      <c r="U920" s="216"/>
      <c r="V920" s="216"/>
      <c r="W920" s="216"/>
      <c r="X920" s="216"/>
      <c r="Y920" s="216"/>
      <c r="Z920" s="216"/>
    </row>
    <row r="921" spans="1:26" ht="15.75" customHeight="1">
      <c r="A921" s="134" t="s">
        <v>6654</v>
      </c>
      <c r="B921" s="133" t="s">
        <v>141</v>
      </c>
      <c r="C921" s="133" t="s">
        <v>8881</v>
      </c>
      <c r="D921" s="116" t="s">
        <v>7778</v>
      </c>
      <c r="E921" s="116" t="s">
        <v>8882</v>
      </c>
      <c r="F921" s="528">
        <f>13/3</f>
        <v>4.333333333333333</v>
      </c>
      <c r="G921" s="1" t="s">
        <v>6654</v>
      </c>
      <c r="H921" s="1"/>
      <c r="I921" s="1"/>
      <c r="J921" s="216"/>
      <c r="K921" s="216"/>
      <c r="L921" s="216"/>
      <c r="M921" s="216"/>
      <c r="N921" s="216"/>
      <c r="O921" s="216"/>
      <c r="P921" s="216"/>
      <c r="Q921" s="216"/>
      <c r="R921" s="216"/>
      <c r="S921" s="216"/>
      <c r="T921" s="216"/>
      <c r="U921" s="216"/>
      <c r="V921" s="216"/>
      <c r="W921" s="216"/>
      <c r="X921" s="216"/>
      <c r="Y921" s="216"/>
      <c r="Z921" s="216"/>
    </row>
    <row r="922" spans="1:26" ht="15.75" customHeight="1">
      <c r="A922" s="134" t="s">
        <v>7619</v>
      </c>
      <c r="B922" s="108" t="s">
        <v>141</v>
      </c>
      <c r="C922" s="133" t="s">
        <v>8634</v>
      </c>
      <c r="D922" s="100" t="s">
        <v>7778</v>
      </c>
      <c r="E922" s="100" t="s">
        <v>8635</v>
      </c>
      <c r="F922" s="528">
        <v>44.6</v>
      </c>
      <c r="G922" s="1" t="s">
        <v>7619</v>
      </c>
      <c r="H922" s="1"/>
      <c r="I922" s="1"/>
      <c r="J922" s="216"/>
      <c r="K922" s="216"/>
      <c r="L922" s="216"/>
      <c r="M922" s="216"/>
      <c r="N922" s="216"/>
      <c r="O922" s="216"/>
      <c r="P922" s="216"/>
      <c r="Q922" s="216"/>
      <c r="R922" s="216"/>
      <c r="S922" s="216"/>
      <c r="T922" s="216"/>
      <c r="U922" s="216"/>
      <c r="V922" s="216"/>
      <c r="W922" s="216"/>
      <c r="X922" s="216"/>
      <c r="Y922" s="216"/>
      <c r="Z922" s="216"/>
    </row>
    <row r="923" spans="1:26" ht="15.75" customHeight="1">
      <c r="A923" s="134" t="s">
        <v>7619</v>
      </c>
      <c r="B923" s="108" t="s">
        <v>141</v>
      </c>
      <c r="C923" s="133" t="s">
        <v>8883</v>
      </c>
      <c r="D923" s="100" t="s">
        <v>7778</v>
      </c>
      <c r="E923" s="100" t="s">
        <v>8884</v>
      </c>
      <c r="F923" s="528">
        <v>149.85</v>
      </c>
      <c r="G923" s="1" t="s">
        <v>7619</v>
      </c>
      <c r="H923" s="1"/>
      <c r="I923" s="1"/>
      <c r="J923" s="216"/>
      <c r="K923" s="216"/>
      <c r="L923" s="216"/>
      <c r="M923" s="216"/>
      <c r="N923" s="216"/>
      <c r="O923" s="216"/>
      <c r="P923" s="216"/>
      <c r="Q923" s="216"/>
      <c r="R923" s="216"/>
      <c r="S923" s="216"/>
      <c r="T923" s="216"/>
      <c r="U923" s="216"/>
      <c r="V923" s="216"/>
      <c r="W923" s="216"/>
      <c r="X923" s="216"/>
      <c r="Y923" s="216"/>
      <c r="Z923" s="216"/>
    </row>
    <row r="924" spans="1:26" ht="15.75" customHeight="1">
      <c r="A924" s="134" t="s">
        <v>7619</v>
      </c>
      <c r="B924" s="108" t="s">
        <v>141</v>
      </c>
      <c r="C924" s="133" t="s">
        <v>8885</v>
      </c>
      <c r="D924" s="100" t="s">
        <v>7778</v>
      </c>
      <c r="E924" s="100" t="s">
        <v>8886</v>
      </c>
      <c r="F924" s="528">
        <v>9</v>
      </c>
      <c r="G924" s="1" t="s">
        <v>7619</v>
      </c>
      <c r="H924" s="1"/>
      <c r="I924" s="1"/>
      <c r="J924" s="216"/>
      <c r="K924" s="216"/>
      <c r="L924" s="216"/>
      <c r="M924" s="216"/>
      <c r="N924" s="216"/>
      <c r="O924" s="216"/>
      <c r="P924" s="216"/>
      <c r="Q924" s="216"/>
      <c r="R924" s="216"/>
      <c r="S924" s="216"/>
      <c r="T924" s="216"/>
      <c r="U924" s="216"/>
      <c r="V924" s="216"/>
      <c r="W924" s="216"/>
      <c r="X924" s="216"/>
      <c r="Y924" s="216"/>
      <c r="Z924" s="216"/>
    </row>
    <row r="925" spans="1:26" ht="15.75" customHeight="1">
      <c r="A925" s="134" t="s">
        <v>114</v>
      </c>
      <c r="B925" s="133" t="s">
        <v>105</v>
      </c>
      <c r="C925" s="133" t="s">
        <v>8887</v>
      </c>
      <c r="D925" s="100" t="s">
        <v>7778</v>
      </c>
      <c r="E925" s="528">
        <f>39/3</f>
        <v>13</v>
      </c>
      <c r="F925" s="528">
        <f t="shared" ref="F925:F969" si="119">E925</f>
        <v>13</v>
      </c>
      <c r="G925" s="338" t="s">
        <v>114</v>
      </c>
      <c r="H925" s="216"/>
      <c r="I925" s="216"/>
      <c r="J925" s="216"/>
      <c r="K925" s="216"/>
      <c r="L925" s="216"/>
      <c r="M925" s="216"/>
      <c r="N925" s="216"/>
      <c r="O925" s="216"/>
      <c r="P925" s="216"/>
      <c r="Q925" s="216"/>
      <c r="R925" s="216"/>
      <c r="S925" s="216"/>
      <c r="T925" s="216"/>
      <c r="U925" s="216"/>
      <c r="V925" s="216"/>
      <c r="W925" s="216"/>
      <c r="X925" s="216"/>
      <c r="Y925" s="216"/>
      <c r="Z925" s="216"/>
    </row>
    <row r="926" spans="1:26" ht="15.75" customHeight="1">
      <c r="A926" s="134" t="s">
        <v>114</v>
      </c>
      <c r="B926" s="133" t="s">
        <v>105</v>
      </c>
      <c r="C926" s="133" t="s">
        <v>8888</v>
      </c>
      <c r="D926" s="100" t="s">
        <v>7778</v>
      </c>
      <c r="E926" s="528">
        <f>39/3*0.25</f>
        <v>3.25</v>
      </c>
      <c r="F926" s="528">
        <f t="shared" si="119"/>
        <v>3.25</v>
      </c>
      <c r="G926" s="338" t="s">
        <v>114</v>
      </c>
      <c r="H926" s="216"/>
      <c r="I926" s="216"/>
      <c r="J926" s="216"/>
      <c r="K926" s="216"/>
      <c r="L926" s="216"/>
      <c r="M926" s="216"/>
      <c r="N926" s="216"/>
      <c r="O926" s="216"/>
      <c r="P926" s="216"/>
      <c r="Q926" s="216"/>
      <c r="R926" s="216"/>
      <c r="S926" s="216"/>
      <c r="T926" s="216"/>
      <c r="U926" s="216"/>
      <c r="V926" s="216"/>
      <c r="W926" s="216"/>
      <c r="X926" s="216"/>
      <c r="Y926" s="216"/>
      <c r="Z926" s="216"/>
    </row>
    <row r="927" spans="1:26" ht="15.75" customHeight="1">
      <c r="A927" s="134" t="s">
        <v>114</v>
      </c>
      <c r="B927" s="133" t="s">
        <v>105</v>
      </c>
      <c r="C927" s="133" t="s">
        <v>8889</v>
      </c>
      <c r="D927" s="100" t="s">
        <v>7778</v>
      </c>
      <c r="E927" s="528">
        <f>39/3*0.1</f>
        <v>1.3</v>
      </c>
      <c r="F927" s="528">
        <f t="shared" si="119"/>
        <v>1.3</v>
      </c>
      <c r="G927" s="338" t="s">
        <v>114</v>
      </c>
      <c r="H927" s="216"/>
      <c r="I927" s="216"/>
      <c r="J927" s="216"/>
      <c r="K927" s="216"/>
      <c r="L927" s="216"/>
      <c r="M927" s="216"/>
      <c r="N927" s="216"/>
      <c r="O927" s="216"/>
      <c r="P927" s="216"/>
      <c r="Q927" s="216"/>
      <c r="R927" s="216"/>
      <c r="S927" s="216"/>
      <c r="T927" s="216"/>
      <c r="U927" s="216"/>
      <c r="V927" s="216"/>
      <c r="W927" s="216"/>
      <c r="X927" s="216"/>
      <c r="Y927" s="216"/>
      <c r="Z927" s="216"/>
    </row>
    <row r="928" spans="1:26" ht="15.75" customHeight="1">
      <c r="A928" s="134" t="s">
        <v>114</v>
      </c>
      <c r="B928" s="133" t="s">
        <v>105</v>
      </c>
      <c r="C928" s="133" t="s">
        <v>8890</v>
      </c>
      <c r="D928" s="100" t="s">
        <v>7778</v>
      </c>
      <c r="E928" s="528">
        <f>30/3</f>
        <v>10</v>
      </c>
      <c r="F928" s="528">
        <f t="shared" si="119"/>
        <v>10</v>
      </c>
      <c r="G928" s="338" t="s">
        <v>114</v>
      </c>
      <c r="H928" s="216"/>
      <c r="I928" s="216"/>
      <c r="J928" s="216"/>
      <c r="K928" s="216"/>
      <c r="L928" s="216"/>
      <c r="M928" s="216"/>
      <c r="N928" s="216"/>
      <c r="O928" s="216"/>
      <c r="P928" s="216"/>
      <c r="Q928" s="216"/>
      <c r="R928" s="216"/>
      <c r="S928" s="216"/>
      <c r="T928" s="216"/>
      <c r="U928" s="216"/>
      <c r="V928" s="216"/>
      <c r="W928" s="216"/>
      <c r="X928" s="216"/>
      <c r="Y928" s="216"/>
      <c r="Z928" s="216"/>
    </row>
    <row r="929" spans="1:26" ht="15.75" customHeight="1">
      <c r="A929" s="134" t="s">
        <v>114</v>
      </c>
      <c r="B929" s="133" t="s">
        <v>105</v>
      </c>
      <c r="C929" s="133" t="s">
        <v>8891</v>
      </c>
      <c r="D929" s="100" t="s">
        <v>7778</v>
      </c>
      <c r="E929" s="528">
        <f>30/3*0.25</f>
        <v>2.5</v>
      </c>
      <c r="F929" s="528">
        <f t="shared" si="119"/>
        <v>2.5</v>
      </c>
      <c r="G929" s="338" t="s">
        <v>114</v>
      </c>
      <c r="H929" s="216"/>
      <c r="I929" s="216"/>
      <c r="J929" s="216"/>
      <c r="K929" s="216"/>
      <c r="L929" s="216"/>
      <c r="M929" s="216"/>
      <c r="N929" s="216"/>
      <c r="O929" s="216"/>
      <c r="P929" s="216"/>
      <c r="Q929" s="216"/>
      <c r="R929" s="216"/>
      <c r="S929" s="216"/>
      <c r="T929" s="216"/>
      <c r="U929" s="216"/>
      <c r="V929" s="216"/>
      <c r="W929" s="216"/>
      <c r="X929" s="216"/>
      <c r="Y929" s="216"/>
      <c r="Z929" s="216"/>
    </row>
    <row r="930" spans="1:26" ht="15" customHeight="1">
      <c r="A930" s="134" t="s">
        <v>114</v>
      </c>
      <c r="B930" s="133" t="s">
        <v>105</v>
      </c>
      <c r="C930" s="133" t="s">
        <v>8892</v>
      </c>
      <c r="D930" s="100" t="s">
        <v>7778</v>
      </c>
      <c r="E930" s="528">
        <f>30/3*0.1</f>
        <v>1</v>
      </c>
      <c r="F930" s="528">
        <f t="shared" si="119"/>
        <v>1</v>
      </c>
      <c r="G930" s="338" t="s">
        <v>114</v>
      </c>
      <c r="H930" s="216"/>
      <c r="I930" s="216"/>
      <c r="J930" s="216"/>
      <c r="K930" s="216"/>
      <c r="L930" s="216"/>
      <c r="M930" s="216"/>
      <c r="N930" s="216"/>
      <c r="O930" s="216"/>
      <c r="P930" s="216"/>
      <c r="Q930" s="216"/>
      <c r="R930" s="216"/>
      <c r="S930" s="216"/>
      <c r="T930" s="216"/>
      <c r="U930" s="216"/>
      <c r="V930" s="216"/>
      <c r="W930" s="216"/>
      <c r="X930" s="216"/>
      <c r="Y930" s="216"/>
      <c r="Z930" s="216"/>
    </row>
    <row r="931" spans="1:26" ht="15" customHeight="1">
      <c r="A931" s="134" t="s">
        <v>114</v>
      </c>
      <c r="B931" s="133" t="s">
        <v>105</v>
      </c>
      <c r="C931" s="133" t="s">
        <v>8893</v>
      </c>
      <c r="D931" s="100" t="s">
        <v>7778</v>
      </c>
      <c r="E931" s="528">
        <f>21/3</f>
        <v>7</v>
      </c>
      <c r="F931" s="528">
        <f t="shared" si="119"/>
        <v>7</v>
      </c>
      <c r="G931" s="338" t="s">
        <v>114</v>
      </c>
      <c r="H931" s="216"/>
      <c r="I931" s="216"/>
      <c r="J931" s="216"/>
      <c r="K931" s="216"/>
      <c r="L931" s="216"/>
      <c r="M931" s="216"/>
      <c r="N931" s="216"/>
      <c r="O931" s="216"/>
      <c r="P931" s="216"/>
      <c r="Q931" s="216"/>
      <c r="R931" s="216"/>
      <c r="S931" s="216"/>
      <c r="T931" s="216"/>
      <c r="U931" s="216"/>
      <c r="V931" s="216"/>
      <c r="W931" s="216"/>
      <c r="X931" s="216"/>
      <c r="Y931" s="216"/>
      <c r="Z931" s="216"/>
    </row>
    <row r="932" spans="1:26" ht="15" customHeight="1">
      <c r="A932" s="134" t="s">
        <v>114</v>
      </c>
      <c r="B932" s="133" t="s">
        <v>105</v>
      </c>
      <c r="C932" s="133" t="s">
        <v>8894</v>
      </c>
      <c r="D932" s="100" t="s">
        <v>7778</v>
      </c>
      <c r="E932" s="528">
        <f>21/3*0.25</f>
        <v>1.75</v>
      </c>
      <c r="F932" s="528">
        <f t="shared" si="119"/>
        <v>1.75</v>
      </c>
      <c r="G932" s="338" t="s">
        <v>114</v>
      </c>
      <c r="H932" s="216"/>
      <c r="I932" s="216"/>
      <c r="J932" s="216"/>
      <c r="K932" s="216"/>
      <c r="L932" s="216"/>
      <c r="M932" s="216"/>
      <c r="N932" s="216"/>
      <c r="O932" s="216"/>
      <c r="P932" s="216"/>
      <c r="Q932" s="216"/>
      <c r="R932" s="216"/>
      <c r="S932" s="216"/>
      <c r="T932" s="216"/>
      <c r="U932" s="216"/>
      <c r="V932" s="216"/>
      <c r="W932" s="216"/>
      <c r="X932" s="216"/>
      <c r="Y932" s="216"/>
      <c r="Z932" s="216"/>
    </row>
    <row r="933" spans="1:26" ht="15" customHeight="1">
      <c r="A933" s="134" t="s">
        <v>114</v>
      </c>
      <c r="B933" s="133" t="s">
        <v>105</v>
      </c>
      <c r="C933" s="133" t="s">
        <v>8895</v>
      </c>
      <c r="D933" s="100" t="s">
        <v>7778</v>
      </c>
      <c r="E933" s="528">
        <f>21/3*0.1</f>
        <v>0.70000000000000007</v>
      </c>
      <c r="F933" s="528">
        <f t="shared" si="119"/>
        <v>0.70000000000000007</v>
      </c>
      <c r="G933" s="338" t="s">
        <v>114</v>
      </c>
      <c r="H933" s="216"/>
      <c r="I933" s="216"/>
      <c r="J933" s="216"/>
      <c r="K933" s="216"/>
      <c r="L933" s="216"/>
      <c r="M933" s="216"/>
      <c r="N933" s="216"/>
      <c r="O933" s="216"/>
      <c r="P933" s="216"/>
      <c r="Q933" s="216"/>
      <c r="R933" s="216"/>
      <c r="S933" s="216"/>
      <c r="T933" s="216"/>
      <c r="U933" s="216"/>
      <c r="V933" s="216"/>
      <c r="W933" s="216"/>
      <c r="X933" s="216"/>
      <c r="Y933" s="216"/>
      <c r="Z933" s="216"/>
    </row>
    <row r="934" spans="1:26" ht="15" customHeight="1">
      <c r="A934" s="134" t="s">
        <v>114</v>
      </c>
      <c r="B934" s="133" t="s">
        <v>105</v>
      </c>
      <c r="C934" s="133" t="s">
        <v>8896</v>
      </c>
      <c r="D934" s="100" t="s">
        <v>7778</v>
      </c>
      <c r="E934" s="528">
        <f>31/3</f>
        <v>10.333333333333334</v>
      </c>
      <c r="F934" s="528">
        <f t="shared" si="119"/>
        <v>10.333333333333334</v>
      </c>
      <c r="G934" s="338" t="s">
        <v>114</v>
      </c>
      <c r="H934" s="216"/>
      <c r="I934" s="216"/>
      <c r="J934" s="216"/>
      <c r="K934" s="216"/>
      <c r="L934" s="216"/>
      <c r="M934" s="216"/>
      <c r="N934" s="216"/>
      <c r="O934" s="216"/>
      <c r="P934" s="216"/>
      <c r="Q934" s="216"/>
      <c r="R934" s="216"/>
      <c r="S934" s="216"/>
      <c r="T934" s="216"/>
      <c r="U934" s="216"/>
      <c r="V934" s="216"/>
      <c r="W934" s="216"/>
      <c r="X934" s="216"/>
      <c r="Y934" s="216"/>
      <c r="Z934" s="216"/>
    </row>
    <row r="935" spans="1:26" ht="15" customHeight="1">
      <c r="A935" s="134" t="s">
        <v>114</v>
      </c>
      <c r="B935" s="133" t="s">
        <v>105</v>
      </c>
      <c r="C935" s="133" t="s">
        <v>8897</v>
      </c>
      <c r="D935" s="100" t="s">
        <v>7778</v>
      </c>
      <c r="E935" s="528">
        <f>31/3*0.25</f>
        <v>2.5833333333333335</v>
      </c>
      <c r="F935" s="528">
        <f t="shared" si="119"/>
        <v>2.5833333333333335</v>
      </c>
      <c r="G935" s="338" t="s">
        <v>114</v>
      </c>
      <c r="H935" s="216"/>
      <c r="I935" s="216"/>
      <c r="J935" s="216"/>
      <c r="K935" s="216"/>
      <c r="L935" s="216"/>
      <c r="M935" s="216"/>
      <c r="N935" s="216"/>
      <c r="O935" s="216"/>
      <c r="P935" s="216"/>
      <c r="Q935" s="216"/>
      <c r="R935" s="216"/>
      <c r="S935" s="216"/>
      <c r="T935" s="216"/>
      <c r="U935" s="216"/>
      <c r="V935" s="216"/>
      <c r="W935" s="216"/>
      <c r="X935" s="216"/>
      <c r="Y935" s="216"/>
      <c r="Z935" s="216"/>
    </row>
    <row r="936" spans="1:26" ht="15" customHeight="1">
      <c r="A936" s="134" t="s">
        <v>114</v>
      </c>
      <c r="B936" s="133" t="s">
        <v>105</v>
      </c>
      <c r="C936" s="133" t="s">
        <v>8898</v>
      </c>
      <c r="D936" s="100" t="s">
        <v>7778</v>
      </c>
      <c r="E936" s="528">
        <f>31/3*0.1</f>
        <v>1.0333333333333334</v>
      </c>
      <c r="F936" s="528">
        <f t="shared" si="119"/>
        <v>1.0333333333333334</v>
      </c>
      <c r="G936" s="338" t="s">
        <v>114</v>
      </c>
      <c r="H936" s="216"/>
      <c r="I936" s="216"/>
      <c r="J936" s="216"/>
      <c r="K936" s="216"/>
      <c r="L936" s="216"/>
      <c r="M936" s="216"/>
      <c r="N936" s="216"/>
      <c r="O936" s="216"/>
      <c r="P936" s="216"/>
      <c r="Q936" s="216"/>
      <c r="R936" s="216"/>
      <c r="S936" s="216"/>
      <c r="T936" s="216"/>
      <c r="U936" s="216"/>
      <c r="V936" s="216"/>
      <c r="W936" s="216"/>
      <c r="X936" s="216"/>
      <c r="Y936" s="216"/>
      <c r="Z936" s="216"/>
    </row>
    <row r="937" spans="1:26" ht="15" customHeight="1">
      <c r="A937" s="134" t="s">
        <v>114</v>
      </c>
      <c r="B937" s="133" t="s">
        <v>105</v>
      </c>
      <c r="C937" s="133" t="s">
        <v>8899</v>
      </c>
      <c r="D937" s="100" t="s">
        <v>7778</v>
      </c>
      <c r="E937" s="528">
        <f>17/3</f>
        <v>5.666666666666667</v>
      </c>
      <c r="F937" s="528">
        <f t="shared" si="119"/>
        <v>5.666666666666667</v>
      </c>
      <c r="G937" s="338" t="s">
        <v>114</v>
      </c>
      <c r="H937" s="216"/>
      <c r="I937" s="216"/>
      <c r="J937" s="216"/>
      <c r="K937" s="216"/>
      <c r="L937" s="216"/>
      <c r="M937" s="216"/>
      <c r="N937" s="216"/>
      <c r="O937" s="216"/>
      <c r="P937" s="216"/>
      <c r="Q937" s="216"/>
      <c r="R937" s="216"/>
      <c r="S937" s="216"/>
      <c r="T937" s="216"/>
      <c r="U937" s="216"/>
      <c r="V937" s="216"/>
      <c r="W937" s="216"/>
      <c r="X937" s="216"/>
      <c r="Y937" s="216"/>
      <c r="Z937" s="216"/>
    </row>
    <row r="938" spans="1:26" ht="15" customHeight="1">
      <c r="A938" s="134" t="s">
        <v>114</v>
      </c>
      <c r="B938" s="133" t="s">
        <v>105</v>
      </c>
      <c r="C938" s="133" t="s">
        <v>8900</v>
      </c>
      <c r="D938" s="100" t="s">
        <v>7778</v>
      </c>
      <c r="E938" s="528">
        <f>17/3*0.25</f>
        <v>1.4166666666666667</v>
      </c>
      <c r="F938" s="528">
        <f t="shared" si="119"/>
        <v>1.4166666666666667</v>
      </c>
      <c r="G938" s="338" t="s">
        <v>114</v>
      </c>
      <c r="H938" s="216"/>
      <c r="I938" s="216"/>
      <c r="J938" s="216"/>
      <c r="K938" s="216"/>
      <c r="L938" s="216"/>
      <c r="M938" s="216"/>
      <c r="N938" s="216"/>
      <c r="O938" s="216"/>
      <c r="P938" s="216"/>
      <c r="Q938" s="216"/>
      <c r="R938" s="216"/>
      <c r="S938" s="216"/>
      <c r="T938" s="216"/>
      <c r="U938" s="216"/>
      <c r="V938" s="216"/>
      <c r="W938" s="216"/>
      <c r="X938" s="216"/>
      <c r="Y938" s="216"/>
      <c r="Z938" s="216"/>
    </row>
    <row r="939" spans="1:26" ht="15" customHeight="1">
      <c r="A939" s="134" t="s">
        <v>114</v>
      </c>
      <c r="B939" s="133" t="s">
        <v>105</v>
      </c>
      <c r="C939" s="133" t="s">
        <v>8901</v>
      </c>
      <c r="D939" s="100" t="s">
        <v>7778</v>
      </c>
      <c r="E939" s="528">
        <f>17/3*0.1</f>
        <v>0.56666666666666676</v>
      </c>
      <c r="F939" s="528">
        <f t="shared" si="119"/>
        <v>0.56666666666666676</v>
      </c>
      <c r="G939" s="338" t="s">
        <v>114</v>
      </c>
      <c r="H939" s="216"/>
      <c r="I939" s="216"/>
      <c r="J939" s="216"/>
      <c r="K939" s="216"/>
      <c r="L939" s="216"/>
      <c r="M939" s="216"/>
      <c r="N939" s="216"/>
      <c r="O939" s="216"/>
      <c r="P939" s="216"/>
      <c r="Q939" s="216"/>
      <c r="R939" s="216"/>
      <c r="S939" s="216"/>
      <c r="T939" s="216"/>
      <c r="U939" s="216"/>
      <c r="V939" s="216"/>
      <c r="W939" s="216"/>
      <c r="X939" s="216"/>
      <c r="Y939" s="216"/>
      <c r="Z939" s="216"/>
    </row>
    <row r="940" spans="1:26" ht="15" customHeight="1">
      <c r="A940" s="134" t="s">
        <v>114</v>
      </c>
      <c r="B940" s="133" t="s">
        <v>105</v>
      </c>
      <c r="C940" s="133" t="s">
        <v>8902</v>
      </c>
      <c r="D940" s="100" t="s">
        <v>7778</v>
      </c>
      <c r="E940" s="528">
        <f>24/3</f>
        <v>8</v>
      </c>
      <c r="F940" s="528">
        <f t="shared" si="119"/>
        <v>8</v>
      </c>
      <c r="G940" s="338" t="s">
        <v>114</v>
      </c>
      <c r="H940" s="216"/>
      <c r="I940" s="216"/>
      <c r="J940" s="216"/>
      <c r="K940" s="216"/>
      <c r="L940" s="216"/>
      <c r="M940" s="216"/>
      <c r="N940" s="216"/>
      <c r="O940" s="216"/>
      <c r="P940" s="216"/>
      <c r="Q940" s="216"/>
      <c r="R940" s="216"/>
      <c r="S940" s="216"/>
      <c r="T940" s="216"/>
      <c r="U940" s="216"/>
      <c r="V940" s="216"/>
      <c r="W940" s="216"/>
      <c r="X940" s="216"/>
      <c r="Y940" s="216"/>
      <c r="Z940" s="216"/>
    </row>
    <row r="941" spans="1:26" ht="15" customHeight="1">
      <c r="A941" s="134" t="s">
        <v>114</v>
      </c>
      <c r="B941" s="133" t="s">
        <v>105</v>
      </c>
      <c r="C941" s="133" t="s">
        <v>8903</v>
      </c>
      <c r="D941" s="100" t="s">
        <v>7778</v>
      </c>
      <c r="E941" s="528">
        <f>24/3*0.25</f>
        <v>2</v>
      </c>
      <c r="F941" s="528">
        <f t="shared" si="119"/>
        <v>2</v>
      </c>
      <c r="G941" s="338" t="s">
        <v>114</v>
      </c>
      <c r="H941" s="216"/>
      <c r="I941" s="216"/>
      <c r="J941" s="216"/>
      <c r="K941" s="216"/>
      <c r="L941" s="216"/>
      <c r="M941" s="216"/>
      <c r="N941" s="216"/>
      <c r="O941" s="216"/>
      <c r="P941" s="216"/>
      <c r="Q941" s="216"/>
      <c r="R941" s="216"/>
      <c r="S941" s="216"/>
      <c r="T941" s="216"/>
      <c r="U941" s="216"/>
      <c r="V941" s="216"/>
      <c r="W941" s="216"/>
      <c r="X941" s="216"/>
      <c r="Y941" s="216"/>
      <c r="Z941" s="216"/>
    </row>
    <row r="942" spans="1:26" ht="15" customHeight="1">
      <c r="A942" s="134" t="s">
        <v>114</v>
      </c>
      <c r="B942" s="133" t="s">
        <v>105</v>
      </c>
      <c r="C942" s="133" t="s">
        <v>8904</v>
      </c>
      <c r="D942" s="100" t="s">
        <v>7778</v>
      </c>
      <c r="E942" s="528">
        <f>24/3*0.1</f>
        <v>0.8</v>
      </c>
      <c r="F942" s="528">
        <f t="shared" si="119"/>
        <v>0.8</v>
      </c>
      <c r="G942" s="338" t="s">
        <v>114</v>
      </c>
      <c r="H942" s="216"/>
      <c r="I942" s="216"/>
      <c r="J942" s="216"/>
      <c r="K942" s="216"/>
      <c r="L942" s="216"/>
      <c r="M942" s="216"/>
      <c r="N942" s="216"/>
      <c r="O942" s="216"/>
      <c r="P942" s="216"/>
      <c r="Q942" s="216"/>
      <c r="R942" s="216"/>
      <c r="S942" s="216"/>
      <c r="T942" s="216"/>
      <c r="U942" s="216"/>
      <c r="V942" s="216"/>
      <c r="W942" s="216"/>
      <c r="X942" s="216"/>
      <c r="Y942" s="216"/>
      <c r="Z942" s="216"/>
    </row>
    <row r="943" spans="1:26" ht="15" customHeight="1">
      <c r="A943" s="134" t="s">
        <v>114</v>
      </c>
      <c r="B943" s="133" t="s">
        <v>105</v>
      </c>
      <c r="C943" s="133" t="s">
        <v>8905</v>
      </c>
      <c r="D943" s="100" t="s">
        <v>7778</v>
      </c>
      <c r="E943" s="528">
        <f>3/3*2</f>
        <v>2</v>
      </c>
      <c r="F943" s="528">
        <f t="shared" si="119"/>
        <v>2</v>
      </c>
      <c r="G943" s="338" t="s">
        <v>114</v>
      </c>
      <c r="H943" s="216"/>
      <c r="I943" s="216"/>
      <c r="J943" s="216"/>
      <c r="K943" s="216"/>
      <c r="L943" s="216"/>
      <c r="M943" s="216"/>
      <c r="N943" s="216"/>
      <c r="O943" s="216"/>
      <c r="P943" s="216"/>
      <c r="Q943" s="216"/>
      <c r="R943" s="216"/>
      <c r="S943" s="216"/>
      <c r="T943" s="216"/>
      <c r="U943" s="216"/>
      <c r="V943" s="216"/>
      <c r="W943" s="216"/>
      <c r="X943" s="216"/>
      <c r="Y943" s="216"/>
      <c r="Z943" s="216"/>
    </row>
    <row r="944" spans="1:26" ht="15" customHeight="1">
      <c r="A944" s="134" t="s">
        <v>114</v>
      </c>
      <c r="B944" s="133" t="s">
        <v>105</v>
      </c>
      <c r="C944" s="133" t="s">
        <v>8906</v>
      </c>
      <c r="D944" s="100" t="s">
        <v>7778</v>
      </c>
      <c r="E944" s="528">
        <f>41/3*2</f>
        <v>27.333333333333332</v>
      </c>
      <c r="F944" s="528">
        <f t="shared" si="119"/>
        <v>27.333333333333332</v>
      </c>
      <c r="G944" s="338" t="s">
        <v>114</v>
      </c>
      <c r="H944" s="216"/>
      <c r="I944" s="216"/>
      <c r="J944" s="216"/>
      <c r="K944" s="216"/>
      <c r="L944" s="216"/>
      <c r="M944" s="216"/>
      <c r="N944" s="216"/>
      <c r="O944" s="216"/>
      <c r="P944" s="216"/>
      <c r="Q944" s="216"/>
      <c r="R944" s="216"/>
      <c r="S944" s="216"/>
      <c r="T944" s="216"/>
      <c r="U944" s="216"/>
      <c r="V944" s="216"/>
      <c r="W944" s="216"/>
      <c r="X944" s="216"/>
      <c r="Y944" s="216"/>
      <c r="Z944" s="216"/>
    </row>
    <row r="945" spans="1:26" ht="15" customHeight="1">
      <c r="A945" s="134" t="s">
        <v>114</v>
      </c>
      <c r="B945" s="133" t="s">
        <v>105</v>
      </c>
      <c r="C945" s="133" t="s">
        <v>8907</v>
      </c>
      <c r="D945" s="100" t="s">
        <v>7778</v>
      </c>
      <c r="E945" s="528">
        <f>4/3*2</f>
        <v>2.6666666666666665</v>
      </c>
      <c r="F945" s="528">
        <f t="shared" si="119"/>
        <v>2.6666666666666665</v>
      </c>
      <c r="G945" s="338" t="s">
        <v>114</v>
      </c>
      <c r="H945" s="216"/>
      <c r="I945" s="216"/>
      <c r="J945" s="216"/>
      <c r="K945" s="216"/>
      <c r="L945" s="216"/>
      <c r="M945" s="216"/>
      <c r="N945" s="216"/>
      <c r="O945" s="216"/>
      <c r="P945" s="216"/>
      <c r="Q945" s="216"/>
      <c r="R945" s="216"/>
      <c r="S945" s="216"/>
      <c r="T945" s="216"/>
      <c r="U945" s="216"/>
      <c r="V945" s="216"/>
      <c r="W945" s="216"/>
      <c r="X945" s="216"/>
      <c r="Y945" s="216"/>
      <c r="Z945" s="216"/>
    </row>
    <row r="946" spans="1:26" ht="15" customHeight="1">
      <c r="A946" s="134" t="s">
        <v>114</v>
      </c>
      <c r="B946" s="133" t="s">
        <v>105</v>
      </c>
      <c r="C946" s="133" t="s">
        <v>8908</v>
      </c>
      <c r="D946" s="100" t="s">
        <v>7778</v>
      </c>
      <c r="E946" s="528">
        <f>34/3*2</f>
        <v>22.666666666666668</v>
      </c>
      <c r="F946" s="528">
        <f t="shared" si="119"/>
        <v>22.666666666666668</v>
      </c>
      <c r="G946" s="338" t="s">
        <v>114</v>
      </c>
      <c r="H946" s="216"/>
      <c r="I946" s="216"/>
      <c r="J946" s="216"/>
      <c r="K946" s="216"/>
      <c r="L946" s="216"/>
      <c r="M946" s="216"/>
      <c r="N946" s="216"/>
      <c r="O946" s="216"/>
      <c r="P946" s="216"/>
      <c r="Q946" s="216"/>
      <c r="R946" s="216"/>
      <c r="S946" s="216"/>
      <c r="T946" s="216"/>
      <c r="U946" s="216"/>
      <c r="V946" s="216"/>
      <c r="W946" s="216"/>
      <c r="X946" s="216"/>
      <c r="Y946" s="216"/>
      <c r="Z946" s="216"/>
    </row>
    <row r="947" spans="1:26" ht="15" customHeight="1">
      <c r="A947" s="133" t="s">
        <v>139</v>
      </c>
      <c r="B947" s="133" t="s">
        <v>105</v>
      </c>
      <c r="C947" s="99" t="s">
        <v>8909</v>
      </c>
      <c r="D947" s="116" t="s">
        <v>7790</v>
      </c>
      <c r="E947" s="528">
        <f>31/3*0.5</f>
        <v>5.166666666666667</v>
      </c>
      <c r="F947" s="528">
        <f t="shared" si="119"/>
        <v>5.166666666666667</v>
      </c>
      <c r="G947" s="338" t="s">
        <v>916</v>
      </c>
      <c r="H947" s="216"/>
      <c r="I947" s="216"/>
      <c r="J947" s="216"/>
      <c r="K947" s="216"/>
      <c r="L947" s="216"/>
      <c r="M947" s="216"/>
      <c r="N947" s="216"/>
      <c r="O947" s="216"/>
      <c r="P947" s="216"/>
      <c r="Q947" s="216"/>
      <c r="R947" s="216"/>
      <c r="S947" s="216"/>
      <c r="T947" s="216"/>
      <c r="U947" s="216"/>
      <c r="V947" s="216"/>
      <c r="W947" s="216"/>
      <c r="X947" s="216"/>
      <c r="Y947" s="216"/>
      <c r="Z947" s="216"/>
    </row>
    <row r="948" spans="1:26" ht="15" customHeight="1">
      <c r="A948" s="133" t="s">
        <v>139</v>
      </c>
      <c r="B948" s="133" t="s">
        <v>105</v>
      </c>
      <c r="C948" s="99" t="s">
        <v>8910</v>
      </c>
      <c r="D948" s="116" t="s">
        <v>7790</v>
      </c>
      <c r="E948" s="528">
        <f>21/3*0.5</f>
        <v>3.5</v>
      </c>
      <c r="F948" s="528">
        <f t="shared" si="119"/>
        <v>3.5</v>
      </c>
      <c r="G948" s="338" t="s">
        <v>916</v>
      </c>
      <c r="H948" s="216"/>
      <c r="I948" s="216"/>
      <c r="J948" s="216"/>
      <c r="K948" s="216"/>
      <c r="L948" s="216"/>
      <c r="M948" s="216"/>
      <c r="N948" s="216"/>
      <c r="O948" s="216"/>
      <c r="P948" s="216"/>
      <c r="Q948" s="216"/>
      <c r="R948" s="216"/>
      <c r="S948" s="216"/>
      <c r="T948" s="216"/>
      <c r="U948" s="216"/>
      <c r="V948" s="216"/>
      <c r="W948" s="216"/>
      <c r="X948" s="216"/>
      <c r="Y948" s="216"/>
      <c r="Z948" s="216"/>
    </row>
    <row r="949" spans="1:26" ht="15" customHeight="1">
      <c r="A949" s="133" t="s">
        <v>139</v>
      </c>
      <c r="B949" s="133" t="s">
        <v>105</v>
      </c>
      <c r="C949" s="99" t="s">
        <v>8911</v>
      </c>
      <c r="D949" s="116" t="s">
        <v>7790</v>
      </c>
      <c r="E949" s="528">
        <f>8/3*0.5</f>
        <v>1.3333333333333333</v>
      </c>
      <c r="F949" s="528">
        <f t="shared" si="119"/>
        <v>1.3333333333333333</v>
      </c>
      <c r="G949" s="338" t="s">
        <v>916</v>
      </c>
      <c r="H949" s="216"/>
      <c r="I949" s="216"/>
      <c r="J949" s="216"/>
      <c r="K949" s="216"/>
      <c r="L949" s="216"/>
      <c r="M949" s="216"/>
      <c r="N949" s="216"/>
      <c r="O949" s="216"/>
      <c r="P949" s="216"/>
      <c r="Q949" s="216"/>
      <c r="R949" s="216"/>
      <c r="S949" s="216"/>
      <c r="T949" s="216"/>
      <c r="U949" s="216"/>
      <c r="V949" s="216"/>
      <c r="W949" s="216"/>
      <c r="X949" s="216"/>
      <c r="Y949" s="216"/>
      <c r="Z949" s="216"/>
    </row>
    <row r="950" spans="1:26" ht="15" customHeight="1">
      <c r="A950" s="133" t="s">
        <v>139</v>
      </c>
      <c r="B950" s="133" t="s">
        <v>105</v>
      </c>
      <c r="C950" s="99" t="s">
        <v>8912</v>
      </c>
      <c r="D950" s="116" t="s">
        <v>7790</v>
      </c>
      <c r="E950" s="528">
        <f>23/3*0.5</f>
        <v>3.8333333333333335</v>
      </c>
      <c r="F950" s="528">
        <f t="shared" si="119"/>
        <v>3.8333333333333335</v>
      </c>
      <c r="G950" s="338" t="s">
        <v>916</v>
      </c>
      <c r="H950" s="216"/>
      <c r="I950" s="216"/>
      <c r="J950" s="216"/>
      <c r="K950" s="216"/>
      <c r="L950" s="216"/>
      <c r="M950" s="216"/>
      <c r="N950" s="216"/>
      <c r="O950" s="216"/>
      <c r="P950" s="216"/>
      <c r="Q950" s="216"/>
      <c r="R950" s="216"/>
      <c r="S950" s="216"/>
      <c r="T950" s="216"/>
      <c r="U950" s="216"/>
      <c r="V950" s="216"/>
      <c r="W950" s="216"/>
      <c r="X950" s="216"/>
      <c r="Y950" s="216"/>
      <c r="Z950" s="216"/>
    </row>
    <row r="951" spans="1:26" ht="15" customHeight="1">
      <c r="A951" s="133" t="s">
        <v>139</v>
      </c>
      <c r="B951" s="133" t="s">
        <v>105</v>
      </c>
      <c r="C951" s="99" t="s">
        <v>8913</v>
      </c>
      <c r="D951" s="116" t="s">
        <v>7790</v>
      </c>
      <c r="E951" s="528">
        <f>39/3*0.5</f>
        <v>6.5</v>
      </c>
      <c r="F951" s="528">
        <f t="shared" si="119"/>
        <v>6.5</v>
      </c>
      <c r="G951" s="338" t="s">
        <v>916</v>
      </c>
      <c r="H951" s="216"/>
      <c r="I951" s="216"/>
      <c r="J951" s="216"/>
      <c r="K951" s="216"/>
      <c r="L951" s="216"/>
      <c r="M951" s="216"/>
      <c r="N951" s="216"/>
      <c r="O951" s="216"/>
      <c r="P951" s="216"/>
      <c r="Q951" s="216"/>
      <c r="R951" s="216"/>
      <c r="S951" s="216"/>
      <c r="T951" s="216"/>
      <c r="U951" s="216"/>
      <c r="V951" s="216"/>
      <c r="W951" s="216"/>
      <c r="X951" s="216"/>
      <c r="Y951" s="216"/>
      <c r="Z951" s="216"/>
    </row>
    <row r="952" spans="1:26" ht="15" customHeight="1">
      <c r="A952" s="133" t="s">
        <v>139</v>
      </c>
      <c r="B952" s="133" t="s">
        <v>105</v>
      </c>
      <c r="C952" s="99" t="s">
        <v>8914</v>
      </c>
      <c r="D952" s="116" t="s">
        <v>7790</v>
      </c>
      <c r="E952" s="1120">
        <f>27/3*0.5</f>
        <v>4.5</v>
      </c>
      <c r="F952" s="1120">
        <f t="shared" si="119"/>
        <v>4.5</v>
      </c>
      <c r="G952" s="338" t="s">
        <v>916</v>
      </c>
      <c r="H952" s="216"/>
      <c r="I952" s="216"/>
      <c r="J952" s="216"/>
      <c r="K952" s="216"/>
      <c r="L952" s="216"/>
      <c r="M952" s="216"/>
      <c r="N952" s="216"/>
      <c r="O952" s="216"/>
      <c r="P952" s="216"/>
      <c r="Q952" s="216"/>
      <c r="R952" s="216"/>
      <c r="S952" s="216"/>
      <c r="T952" s="216"/>
      <c r="U952" s="216"/>
      <c r="V952" s="216"/>
      <c r="W952" s="216"/>
      <c r="X952" s="216"/>
      <c r="Y952" s="216"/>
      <c r="Z952" s="216"/>
    </row>
    <row r="953" spans="1:26" ht="15" customHeight="1">
      <c r="A953" s="133" t="s">
        <v>139</v>
      </c>
      <c r="B953" s="133" t="s">
        <v>105</v>
      </c>
      <c r="C953" s="99" t="s">
        <v>8915</v>
      </c>
      <c r="D953" s="132" t="s">
        <v>7790</v>
      </c>
      <c r="E953" s="1117">
        <f>17/3*0.5</f>
        <v>2.8333333333333335</v>
      </c>
      <c r="F953" s="1117">
        <f t="shared" si="119"/>
        <v>2.8333333333333335</v>
      </c>
      <c r="G953" s="338" t="s">
        <v>916</v>
      </c>
      <c r="H953" s="216"/>
      <c r="I953" s="216"/>
      <c r="J953" s="216"/>
      <c r="K953" s="216"/>
      <c r="L953" s="216"/>
      <c r="M953" s="216"/>
      <c r="N953" s="216"/>
      <c r="O953" s="216"/>
      <c r="P953" s="216"/>
      <c r="Q953" s="216"/>
      <c r="R953" s="216"/>
      <c r="S953" s="216"/>
      <c r="T953" s="216"/>
      <c r="U953" s="216"/>
      <c r="V953" s="216"/>
      <c r="W953" s="216"/>
      <c r="X953" s="216"/>
      <c r="Y953" s="216"/>
      <c r="Z953" s="216"/>
    </row>
    <row r="954" spans="1:26" ht="15" customHeight="1">
      <c r="A954" s="133" t="s">
        <v>139</v>
      </c>
      <c r="B954" s="133" t="s">
        <v>105</v>
      </c>
      <c r="C954" s="99" t="s">
        <v>8916</v>
      </c>
      <c r="D954" s="260" t="s">
        <v>7790</v>
      </c>
      <c r="E954" s="362">
        <f>30/3*0.5</f>
        <v>5</v>
      </c>
      <c r="F954" s="362">
        <f t="shared" si="119"/>
        <v>5</v>
      </c>
      <c r="G954" s="338" t="s">
        <v>916</v>
      </c>
      <c r="H954" s="216"/>
      <c r="I954" s="216"/>
      <c r="J954" s="216"/>
      <c r="K954" s="216"/>
      <c r="L954" s="216"/>
      <c r="M954" s="216"/>
      <c r="N954" s="216"/>
      <c r="O954" s="216"/>
      <c r="P954" s="216"/>
      <c r="Q954" s="216"/>
      <c r="R954" s="216"/>
      <c r="S954" s="216"/>
      <c r="T954" s="216"/>
      <c r="U954" s="216"/>
      <c r="V954" s="216"/>
      <c r="W954" s="216"/>
      <c r="X954" s="216"/>
      <c r="Y954" s="216"/>
      <c r="Z954" s="216"/>
    </row>
    <row r="955" spans="1:26" ht="15" customHeight="1">
      <c r="A955" s="133" t="s">
        <v>139</v>
      </c>
      <c r="B955" s="133" t="s">
        <v>105</v>
      </c>
      <c r="C955" s="534" t="s">
        <v>8917</v>
      </c>
      <c r="D955" s="259" t="s">
        <v>7778</v>
      </c>
      <c r="E955" s="362">
        <f>31/3</f>
        <v>10.333333333333334</v>
      </c>
      <c r="F955" s="362">
        <f t="shared" si="119"/>
        <v>10.333333333333334</v>
      </c>
      <c r="G955" s="338" t="s">
        <v>916</v>
      </c>
      <c r="H955" s="216"/>
      <c r="I955" s="216"/>
      <c r="J955" s="216"/>
      <c r="K955" s="216"/>
      <c r="L955" s="216"/>
      <c r="M955" s="216"/>
      <c r="N955" s="216"/>
      <c r="O955" s="216"/>
      <c r="P955" s="216"/>
      <c r="Q955" s="216"/>
      <c r="R955" s="216"/>
      <c r="S955" s="216"/>
      <c r="T955" s="216"/>
      <c r="U955" s="216"/>
      <c r="V955" s="216"/>
      <c r="W955" s="216"/>
      <c r="X955" s="216"/>
      <c r="Y955" s="216"/>
      <c r="Z955" s="216"/>
    </row>
    <row r="956" spans="1:26" ht="15" customHeight="1">
      <c r="A956" s="133" t="s">
        <v>139</v>
      </c>
      <c r="B956" s="586" t="s">
        <v>105</v>
      </c>
      <c r="C956" s="99" t="s">
        <v>8918</v>
      </c>
      <c r="D956" s="259" t="s">
        <v>7778</v>
      </c>
      <c r="E956" s="1117">
        <f>21/3</f>
        <v>7</v>
      </c>
      <c r="F956" s="1117">
        <f t="shared" si="119"/>
        <v>7</v>
      </c>
      <c r="G956" s="338" t="s">
        <v>916</v>
      </c>
      <c r="H956" s="216"/>
      <c r="I956" s="216"/>
      <c r="J956" s="216"/>
      <c r="K956" s="216"/>
      <c r="L956" s="216"/>
      <c r="M956" s="216"/>
      <c r="N956" s="216"/>
      <c r="O956" s="216"/>
      <c r="P956" s="216"/>
      <c r="Q956" s="216"/>
      <c r="R956" s="216"/>
      <c r="S956" s="216"/>
      <c r="T956" s="216"/>
      <c r="U956" s="216"/>
      <c r="V956" s="216"/>
      <c r="W956" s="216"/>
      <c r="X956" s="216"/>
      <c r="Y956" s="216"/>
      <c r="Z956" s="216"/>
    </row>
    <row r="957" spans="1:26" ht="15" customHeight="1">
      <c r="A957" s="133" t="s">
        <v>139</v>
      </c>
      <c r="B957" s="586" t="s">
        <v>105</v>
      </c>
      <c r="C957" s="99" t="s">
        <v>8919</v>
      </c>
      <c r="D957" s="259" t="s">
        <v>7778</v>
      </c>
      <c r="E957" s="1117">
        <f>8/3</f>
        <v>2.6666666666666665</v>
      </c>
      <c r="F957" s="1117">
        <f t="shared" si="119"/>
        <v>2.6666666666666665</v>
      </c>
      <c r="G957" s="338" t="s">
        <v>916</v>
      </c>
      <c r="H957" s="216"/>
      <c r="I957" s="216"/>
      <c r="J957" s="216"/>
      <c r="K957" s="216"/>
      <c r="L957" s="216"/>
      <c r="M957" s="216"/>
      <c r="N957" s="216"/>
      <c r="O957" s="216"/>
      <c r="P957" s="216"/>
      <c r="Q957" s="216"/>
      <c r="R957" s="216"/>
      <c r="S957" s="216"/>
      <c r="T957" s="216"/>
      <c r="U957" s="216"/>
      <c r="V957" s="216"/>
      <c r="W957" s="216"/>
      <c r="X957" s="216"/>
      <c r="Y957" s="216"/>
      <c r="Z957" s="216"/>
    </row>
    <row r="958" spans="1:26" ht="15" customHeight="1">
      <c r="A958" s="133" t="s">
        <v>139</v>
      </c>
      <c r="B958" s="586" t="s">
        <v>105</v>
      </c>
      <c r="C958" s="99" t="s">
        <v>8920</v>
      </c>
      <c r="D958" s="259" t="s">
        <v>7778</v>
      </c>
      <c r="E958" s="1117">
        <f>23/3</f>
        <v>7.666666666666667</v>
      </c>
      <c r="F958" s="1117">
        <f t="shared" si="119"/>
        <v>7.666666666666667</v>
      </c>
      <c r="G958" s="338" t="s">
        <v>916</v>
      </c>
      <c r="H958" s="216"/>
      <c r="I958" s="216"/>
      <c r="J958" s="216"/>
      <c r="K958" s="216"/>
      <c r="L958" s="216"/>
      <c r="M958" s="216"/>
      <c r="N958" s="216"/>
      <c r="O958" s="216"/>
      <c r="P958" s="216"/>
      <c r="Q958" s="216"/>
      <c r="R958" s="216"/>
      <c r="S958" s="216"/>
      <c r="T958" s="216"/>
      <c r="U958" s="216"/>
      <c r="V958" s="216"/>
      <c r="W958" s="216"/>
      <c r="X958" s="216"/>
      <c r="Y958" s="216"/>
      <c r="Z958" s="216"/>
    </row>
    <row r="959" spans="1:26" ht="15" customHeight="1">
      <c r="A959" s="133" t="s">
        <v>139</v>
      </c>
      <c r="B959" s="586" t="s">
        <v>105</v>
      </c>
      <c r="C959" s="99" t="s">
        <v>8921</v>
      </c>
      <c r="D959" s="259" t="s">
        <v>7778</v>
      </c>
      <c r="E959" s="1117">
        <f>39/3</f>
        <v>13</v>
      </c>
      <c r="F959" s="1117">
        <f t="shared" si="119"/>
        <v>13</v>
      </c>
      <c r="G959" s="338" t="s">
        <v>916</v>
      </c>
      <c r="H959" s="216"/>
      <c r="I959" s="216"/>
      <c r="J959" s="216"/>
      <c r="K959" s="216"/>
      <c r="L959" s="216"/>
      <c r="M959" s="216"/>
      <c r="N959" s="216"/>
      <c r="O959" s="216"/>
      <c r="P959" s="216"/>
      <c r="Q959" s="216"/>
      <c r="R959" s="216"/>
      <c r="S959" s="216"/>
      <c r="T959" s="216"/>
      <c r="U959" s="216"/>
      <c r="V959" s="216"/>
      <c r="W959" s="216"/>
      <c r="X959" s="216"/>
      <c r="Y959" s="216"/>
      <c r="Z959" s="216"/>
    </row>
    <row r="960" spans="1:26" ht="15" customHeight="1">
      <c r="A960" s="133" t="s">
        <v>139</v>
      </c>
      <c r="B960" s="586" t="s">
        <v>105</v>
      </c>
      <c r="C960" s="99" t="s">
        <v>8922</v>
      </c>
      <c r="D960" s="259" t="s">
        <v>7778</v>
      </c>
      <c r="E960" s="1117">
        <f>27/3</f>
        <v>9</v>
      </c>
      <c r="F960" s="1117">
        <f t="shared" si="119"/>
        <v>9</v>
      </c>
      <c r="G960" s="338" t="s">
        <v>916</v>
      </c>
      <c r="H960" s="216"/>
      <c r="I960" s="216"/>
      <c r="J960" s="216"/>
      <c r="K960" s="216"/>
      <c r="L960" s="216"/>
      <c r="M960" s="216"/>
      <c r="N960" s="216"/>
      <c r="O960" s="216"/>
      <c r="P960" s="216"/>
      <c r="Q960" s="216"/>
      <c r="R960" s="216"/>
      <c r="S960" s="216"/>
      <c r="T960" s="216"/>
      <c r="U960" s="216"/>
      <c r="V960" s="216"/>
      <c r="W960" s="216"/>
      <c r="X960" s="216"/>
      <c r="Y960" s="216"/>
      <c r="Z960" s="216"/>
    </row>
    <row r="961" spans="1:26" ht="15" customHeight="1">
      <c r="A961" s="133" t="s">
        <v>139</v>
      </c>
      <c r="B961" s="586" t="s">
        <v>105</v>
      </c>
      <c r="C961" s="99" t="s">
        <v>8923</v>
      </c>
      <c r="D961" s="259" t="s">
        <v>7778</v>
      </c>
      <c r="E961" s="1117">
        <f>17/3</f>
        <v>5.666666666666667</v>
      </c>
      <c r="F961" s="1117">
        <f t="shared" si="119"/>
        <v>5.666666666666667</v>
      </c>
      <c r="G961" s="338" t="s">
        <v>916</v>
      </c>
      <c r="H961" s="216"/>
      <c r="I961" s="216"/>
      <c r="J961" s="216"/>
      <c r="K961" s="216"/>
      <c r="L961" s="216"/>
      <c r="M961" s="216"/>
      <c r="N961" s="216"/>
      <c r="O961" s="216"/>
      <c r="P961" s="216"/>
      <c r="Q961" s="216"/>
      <c r="R961" s="216"/>
      <c r="S961" s="216"/>
      <c r="T961" s="216"/>
      <c r="U961" s="216"/>
      <c r="V961" s="216"/>
      <c r="W961" s="216"/>
      <c r="X961" s="216"/>
      <c r="Y961" s="216"/>
      <c r="Z961" s="216"/>
    </row>
    <row r="962" spans="1:26" ht="15" customHeight="1">
      <c r="A962" s="133" t="s">
        <v>139</v>
      </c>
      <c r="B962" s="586" t="s">
        <v>105</v>
      </c>
      <c r="C962" s="99" t="s">
        <v>8924</v>
      </c>
      <c r="D962" s="259" t="s">
        <v>7778</v>
      </c>
      <c r="E962" s="1117">
        <f>30/3</f>
        <v>10</v>
      </c>
      <c r="F962" s="1117">
        <f t="shared" si="119"/>
        <v>10</v>
      </c>
      <c r="G962" s="338" t="s">
        <v>916</v>
      </c>
      <c r="H962" s="216"/>
      <c r="I962" s="216"/>
      <c r="J962" s="216"/>
      <c r="K962" s="216"/>
      <c r="L962" s="216"/>
      <c r="M962" s="216"/>
      <c r="N962" s="216"/>
      <c r="O962" s="216"/>
      <c r="P962" s="216"/>
      <c r="Q962" s="216"/>
      <c r="R962" s="216"/>
      <c r="S962" s="216"/>
      <c r="T962" s="216"/>
      <c r="U962" s="216"/>
      <c r="V962" s="216"/>
      <c r="W962" s="216"/>
      <c r="X962" s="216"/>
      <c r="Y962" s="216"/>
      <c r="Z962" s="216"/>
    </row>
    <row r="963" spans="1:26" ht="15" customHeight="1">
      <c r="A963" s="133" t="s">
        <v>139</v>
      </c>
      <c r="B963" s="586" t="s">
        <v>105</v>
      </c>
      <c r="C963" s="99" t="s">
        <v>8925</v>
      </c>
      <c r="D963" s="132" t="s">
        <v>7790</v>
      </c>
      <c r="E963" s="1117">
        <f>25%*31/3*0.5</f>
        <v>1.2916666666666667</v>
      </c>
      <c r="F963" s="1117">
        <f t="shared" si="119"/>
        <v>1.2916666666666667</v>
      </c>
      <c r="G963" s="338" t="s">
        <v>916</v>
      </c>
      <c r="H963" s="216"/>
      <c r="I963" s="216"/>
      <c r="J963" s="216"/>
      <c r="K963" s="216"/>
      <c r="L963" s="216"/>
      <c r="M963" s="216"/>
      <c r="N963" s="216"/>
      <c r="O963" s="216"/>
      <c r="P963" s="216"/>
      <c r="Q963" s="216"/>
      <c r="R963" s="216"/>
      <c r="S963" s="216"/>
      <c r="T963" s="216"/>
      <c r="U963" s="216"/>
      <c r="V963" s="216"/>
      <c r="W963" s="216"/>
      <c r="X963" s="216"/>
      <c r="Y963" s="216"/>
      <c r="Z963" s="216"/>
    </row>
    <row r="964" spans="1:26" ht="15" customHeight="1">
      <c r="A964" s="133" t="s">
        <v>139</v>
      </c>
      <c r="B964" s="586" t="s">
        <v>105</v>
      </c>
      <c r="C964" s="99" t="s">
        <v>8926</v>
      </c>
      <c r="D964" s="132" t="s">
        <v>7790</v>
      </c>
      <c r="E964" s="1117">
        <f>25%*21/3*0.5</f>
        <v>0.875</v>
      </c>
      <c r="F964" s="1117">
        <f t="shared" si="119"/>
        <v>0.875</v>
      </c>
      <c r="G964" s="338" t="s">
        <v>916</v>
      </c>
      <c r="H964" s="216"/>
      <c r="I964" s="216"/>
      <c r="J964" s="216"/>
      <c r="K964" s="216"/>
      <c r="L964" s="216"/>
      <c r="M964" s="216"/>
      <c r="N964" s="216"/>
      <c r="O964" s="216"/>
      <c r="P964" s="216"/>
      <c r="Q964" s="216"/>
      <c r="R964" s="216"/>
      <c r="S964" s="216"/>
      <c r="T964" s="216"/>
      <c r="U964" s="216"/>
      <c r="V964" s="216"/>
      <c r="W964" s="216"/>
      <c r="X964" s="216"/>
      <c r="Y964" s="216"/>
      <c r="Z964" s="216"/>
    </row>
    <row r="965" spans="1:26" ht="15" customHeight="1">
      <c r="A965" s="133" t="s">
        <v>139</v>
      </c>
      <c r="B965" s="586" t="s">
        <v>105</v>
      </c>
      <c r="C965" s="99" t="s">
        <v>8927</v>
      </c>
      <c r="D965" s="132" t="s">
        <v>7790</v>
      </c>
      <c r="E965" s="1117">
        <f>25%*8/3*0.5</f>
        <v>0.33333333333333331</v>
      </c>
      <c r="F965" s="1117">
        <f t="shared" si="119"/>
        <v>0.33333333333333331</v>
      </c>
      <c r="G965" s="338" t="s">
        <v>916</v>
      </c>
      <c r="H965" s="216"/>
      <c r="I965" s="216"/>
      <c r="J965" s="216"/>
      <c r="K965" s="216"/>
      <c r="L965" s="216"/>
      <c r="M965" s="216"/>
      <c r="N965" s="216"/>
      <c r="O965" s="216"/>
      <c r="P965" s="216"/>
      <c r="Q965" s="216"/>
      <c r="R965" s="216"/>
      <c r="S965" s="216"/>
      <c r="T965" s="216"/>
      <c r="U965" s="216"/>
      <c r="V965" s="216"/>
      <c r="W965" s="216"/>
      <c r="X965" s="216"/>
      <c r="Y965" s="216"/>
      <c r="Z965" s="216"/>
    </row>
    <row r="966" spans="1:26" ht="15" customHeight="1">
      <c r="A966" s="133" t="s">
        <v>139</v>
      </c>
      <c r="B966" s="586" t="s">
        <v>105</v>
      </c>
      <c r="C966" s="99" t="s">
        <v>8928</v>
      </c>
      <c r="D966" s="132" t="s">
        <v>7790</v>
      </c>
      <c r="E966" s="1117">
        <f>25%*23/3*0.5</f>
        <v>0.95833333333333337</v>
      </c>
      <c r="F966" s="1117">
        <f t="shared" si="119"/>
        <v>0.95833333333333337</v>
      </c>
      <c r="G966" s="338" t="s">
        <v>916</v>
      </c>
      <c r="H966" s="216"/>
      <c r="I966" s="216"/>
      <c r="J966" s="216"/>
      <c r="K966" s="216"/>
      <c r="L966" s="216"/>
      <c r="M966" s="216"/>
      <c r="N966" s="216"/>
      <c r="O966" s="216"/>
      <c r="P966" s="216"/>
      <c r="Q966" s="216"/>
      <c r="R966" s="216"/>
      <c r="S966" s="216"/>
      <c r="T966" s="216"/>
      <c r="U966" s="216"/>
      <c r="V966" s="216"/>
      <c r="W966" s="216"/>
      <c r="X966" s="216"/>
      <c r="Y966" s="216"/>
      <c r="Z966" s="216"/>
    </row>
    <row r="967" spans="1:26" ht="15" customHeight="1">
      <c r="A967" s="133" t="s">
        <v>139</v>
      </c>
      <c r="B967" s="586" t="s">
        <v>105</v>
      </c>
      <c r="C967" s="99" t="s">
        <v>8929</v>
      </c>
      <c r="D967" s="132" t="s">
        <v>7790</v>
      </c>
      <c r="E967" s="1117">
        <f>25%*39/3*0.5</f>
        <v>1.625</v>
      </c>
      <c r="F967" s="1117">
        <f t="shared" si="119"/>
        <v>1.625</v>
      </c>
      <c r="G967" s="338" t="s">
        <v>916</v>
      </c>
      <c r="H967" s="216"/>
      <c r="I967" s="216"/>
      <c r="J967" s="216"/>
      <c r="K967" s="216"/>
      <c r="L967" s="216"/>
      <c r="M967" s="216"/>
      <c r="N967" s="216"/>
      <c r="O967" s="216"/>
      <c r="P967" s="216"/>
      <c r="Q967" s="216"/>
      <c r="R967" s="216"/>
      <c r="S967" s="216"/>
      <c r="T967" s="216"/>
      <c r="U967" s="216"/>
      <c r="V967" s="216"/>
      <c r="W967" s="216"/>
      <c r="X967" s="216"/>
      <c r="Y967" s="216"/>
      <c r="Z967" s="216"/>
    </row>
    <row r="968" spans="1:26" ht="15" customHeight="1">
      <c r="A968" s="133" t="s">
        <v>139</v>
      </c>
      <c r="B968" s="586" t="s">
        <v>105</v>
      </c>
      <c r="C968" s="99" t="s">
        <v>8930</v>
      </c>
      <c r="D968" s="132" t="s">
        <v>7790</v>
      </c>
      <c r="E968" s="1117">
        <f>25%*27/3*0.5</f>
        <v>1.125</v>
      </c>
      <c r="F968" s="1117">
        <f t="shared" si="119"/>
        <v>1.125</v>
      </c>
      <c r="G968" s="338" t="s">
        <v>916</v>
      </c>
      <c r="H968" s="216"/>
      <c r="I968" s="216"/>
      <c r="J968" s="216"/>
      <c r="K968" s="216"/>
      <c r="L968" s="216"/>
      <c r="M968" s="216"/>
      <c r="N968" s="216"/>
      <c r="O968" s="216"/>
      <c r="P968" s="216"/>
      <c r="Q968" s="216"/>
      <c r="R968" s="216"/>
      <c r="S968" s="216"/>
      <c r="T968" s="216"/>
      <c r="U968" s="216"/>
      <c r="V968" s="216"/>
      <c r="W968" s="216"/>
      <c r="X968" s="216"/>
      <c r="Y968" s="216"/>
      <c r="Z968" s="216"/>
    </row>
    <row r="969" spans="1:26" ht="15" customHeight="1">
      <c r="A969" s="133" t="s">
        <v>139</v>
      </c>
      <c r="B969" s="586" t="s">
        <v>105</v>
      </c>
      <c r="C969" s="99" t="s">
        <v>8931</v>
      </c>
      <c r="D969" s="132" t="s">
        <v>7790</v>
      </c>
      <c r="E969" s="1117">
        <f>25%*17/3*0.5</f>
        <v>0.70833333333333337</v>
      </c>
      <c r="F969" s="1117">
        <f t="shared" si="119"/>
        <v>0.70833333333333337</v>
      </c>
      <c r="G969" s="338" t="s">
        <v>916</v>
      </c>
      <c r="H969" s="216"/>
      <c r="I969" s="216"/>
      <c r="J969" s="216"/>
      <c r="K969" s="216"/>
      <c r="L969" s="216"/>
      <c r="M969" s="216"/>
      <c r="N969" s="216"/>
      <c r="O969" s="216"/>
      <c r="P969" s="216"/>
      <c r="Q969" s="216"/>
      <c r="R969" s="216"/>
      <c r="S969" s="216"/>
      <c r="T969" s="216"/>
      <c r="U969" s="216"/>
      <c r="V969" s="216"/>
      <c r="W969" s="216"/>
      <c r="X969" s="216"/>
      <c r="Y969" s="216"/>
      <c r="Z969" s="216"/>
    </row>
    <row r="970" spans="1:26" ht="15" customHeight="1">
      <c r="A970" s="752" t="s">
        <v>139</v>
      </c>
      <c r="B970" s="753" t="s">
        <v>105</v>
      </c>
      <c r="C970" s="754" t="s">
        <v>8932</v>
      </c>
      <c r="D970" s="754" t="s">
        <v>7790</v>
      </c>
      <c r="E970" s="754" t="s">
        <v>8933</v>
      </c>
      <c r="F970" s="754">
        <v>1.25</v>
      </c>
      <c r="G970" s="338" t="s">
        <v>916</v>
      </c>
      <c r="H970" s="216"/>
      <c r="I970" s="216"/>
      <c r="J970" s="216"/>
      <c r="K970" s="216"/>
      <c r="L970" s="216"/>
      <c r="M970" s="216"/>
      <c r="N970" s="216"/>
      <c r="O970" s="216"/>
      <c r="P970" s="216"/>
      <c r="Q970" s="216"/>
      <c r="R970" s="216"/>
      <c r="S970" s="216"/>
      <c r="T970" s="216"/>
      <c r="U970" s="216"/>
      <c r="V970" s="216"/>
      <c r="W970" s="216"/>
      <c r="X970" s="216"/>
      <c r="Y970" s="216"/>
      <c r="Z970" s="216"/>
    </row>
    <row r="971" spans="1:26" ht="15" customHeight="1">
      <c r="A971" s="134" t="s">
        <v>6669</v>
      </c>
      <c r="B971" s="133" t="s">
        <v>105</v>
      </c>
      <c r="C971" s="133" t="s">
        <v>8934</v>
      </c>
      <c r="D971" s="100" t="s">
        <v>7778</v>
      </c>
      <c r="E971" s="528">
        <v>4</v>
      </c>
      <c r="F971" s="528">
        <f t="shared" ref="F971:F1026" si="120">E971</f>
        <v>4</v>
      </c>
      <c r="G971" s="338" t="s">
        <v>931</v>
      </c>
      <c r="H971" s="216"/>
      <c r="I971" s="216"/>
      <c r="J971" s="216"/>
      <c r="K971" s="216"/>
      <c r="L971" s="216"/>
      <c r="M971" s="216"/>
      <c r="N971" s="216"/>
      <c r="O971" s="216"/>
      <c r="P971" s="216"/>
      <c r="Q971" s="216"/>
      <c r="R971" s="216"/>
      <c r="S971" s="216"/>
      <c r="T971" s="216"/>
      <c r="U971" s="216"/>
      <c r="V971" s="216"/>
      <c r="W971" s="216"/>
      <c r="X971" s="216"/>
      <c r="Y971" s="216"/>
      <c r="Z971" s="216"/>
    </row>
    <row r="972" spans="1:26" ht="15" customHeight="1">
      <c r="A972" s="134" t="s">
        <v>6669</v>
      </c>
      <c r="B972" s="133" t="s">
        <v>105</v>
      </c>
      <c r="C972" s="469" t="s">
        <v>8935</v>
      </c>
      <c r="D972" s="178" t="s">
        <v>7790</v>
      </c>
      <c r="E972" s="1120">
        <f>35/3*0.5</f>
        <v>5.833333333333333</v>
      </c>
      <c r="F972" s="1120">
        <f t="shared" si="120"/>
        <v>5.833333333333333</v>
      </c>
      <c r="G972" s="338" t="s">
        <v>931</v>
      </c>
      <c r="H972" s="216"/>
      <c r="I972" s="216"/>
      <c r="J972" s="216"/>
      <c r="K972" s="216"/>
      <c r="L972" s="216"/>
      <c r="M972" s="216"/>
      <c r="N972" s="216"/>
      <c r="O972" s="216"/>
      <c r="P972" s="216"/>
      <c r="Q972" s="216"/>
      <c r="R972" s="216"/>
      <c r="S972" s="216"/>
      <c r="T972" s="216"/>
      <c r="U972" s="216"/>
      <c r="V972" s="216"/>
      <c r="W972" s="216"/>
      <c r="X972" s="216"/>
      <c r="Y972" s="216"/>
      <c r="Z972" s="216"/>
    </row>
    <row r="973" spans="1:26" ht="15" customHeight="1">
      <c r="A973" s="134" t="s">
        <v>6669</v>
      </c>
      <c r="B973" s="133" t="s">
        <v>105</v>
      </c>
      <c r="C973" s="469" t="s">
        <v>8936</v>
      </c>
      <c r="D973" s="178" t="s">
        <v>7790</v>
      </c>
      <c r="E973" s="1120">
        <f>35/3*0.25*0.5</f>
        <v>1.4583333333333333</v>
      </c>
      <c r="F973" s="1120">
        <f t="shared" si="120"/>
        <v>1.4583333333333333</v>
      </c>
      <c r="G973" s="338" t="s">
        <v>931</v>
      </c>
      <c r="H973" s="216"/>
      <c r="I973" s="216"/>
      <c r="J973" s="216"/>
      <c r="K973" s="216"/>
      <c r="L973" s="216"/>
      <c r="M973" s="216"/>
      <c r="N973" s="216"/>
      <c r="O973" s="216"/>
      <c r="P973" s="216"/>
      <c r="Q973" s="216"/>
      <c r="R973" s="216"/>
      <c r="S973" s="216"/>
      <c r="T973" s="216"/>
      <c r="U973" s="216"/>
      <c r="V973" s="216"/>
      <c r="W973" s="216"/>
      <c r="X973" s="216"/>
      <c r="Y973" s="216"/>
      <c r="Z973" s="216"/>
    </row>
    <row r="974" spans="1:26" ht="15" customHeight="1">
      <c r="A974" s="134" t="s">
        <v>6669</v>
      </c>
      <c r="B974" s="133" t="s">
        <v>105</v>
      </c>
      <c r="C974" s="1151" t="s">
        <v>8937</v>
      </c>
      <c r="D974" s="188" t="s">
        <v>7778</v>
      </c>
      <c r="E974" s="942">
        <f t="shared" ref="E974:E975" si="121">20/3</f>
        <v>6.666666666666667</v>
      </c>
      <c r="F974" s="942">
        <f t="shared" si="120"/>
        <v>6.666666666666667</v>
      </c>
      <c r="G974" s="338" t="s">
        <v>931</v>
      </c>
      <c r="H974" s="216"/>
      <c r="I974" s="216"/>
      <c r="J974" s="216"/>
      <c r="K974" s="216"/>
      <c r="L974" s="216"/>
      <c r="M974" s="216"/>
      <c r="N974" s="216"/>
      <c r="O974" s="216"/>
      <c r="P974" s="216"/>
      <c r="Q974" s="216"/>
      <c r="R974" s="216"/>
      <c r="S974" s="216"/>
      <c r="T974" s="216"/>
      <c r="U974" s="216"/>
      <c r="V974" s="216"/>
      <c r="W974" s="216"/>
      <c r="X974" s="216"/>
      <c r="Y974" s="216"/>
      <c r="Z974" s="216"/>
    </row>
    <row r="975" spans="1:26" ht="15" customHeight="1">
      <c r="A975" s="134" t="s">
        <v>6669</v>
      </c>
      <c r="B975" s="133" t="s">
        <v>105</v>
      </c>
      <c r="C975" s="133" t="s">
        <v>8938</v>
      </c>
      <c r="D975" s="100" t="s">
        <v>7778</v>
      </c>
      <c r="E975" s="528">
        <f t="shared" si="121"/>
        <v>6.666666666666667</v>
      </c>
      <c r="F975" s="528">
        <f t="shared" si="120"/>
        <v>6.666666666666667</v>
      </c>
      <c r="G975" s="338" t="s">
        <v>931</v>
      </c>
      <c r="H975" s="216"/>
      <c r="I975" s="216"/>
      <c r="J975" s="216"/>
      <c r="K975" s="216"/>
      <c r="L975" s="216"/>
      <c r="M975" s="216"/>
      <c r="N975" s="216"/>
      <c r="O975" s="216"/>
      <c r="P975" s="216"/>
      <c r="Q975" s="216"/>
      <c r="R975" s="216"/>
      <c r="S975" s="216"/>
      <c r="T975" s="216"/>
      <c r="U975" s="216"/>
      <c r="V975" s="216"/>
      <c r="W975" s="216"/>
      <c r="X975" s="216"/>
      <c r="Y975" s="216"/>
      <c r="Z975" s="216"/>
    </row>
    <row r="976" spans="1:26" ht="15" customHeight="1">
      <c r="A976" s="134" t="s">
        <v>6669</v>
      </c>
      <c r="B976" s="133" t="s">
        <v>105</v>
      </c>
      <c r="C976" s="133" t="s">
        <v>8939</v>
      </c>
      <c r="D976" s="100" t="s">
        <v>7790</v>
      </c>
      <c r="E976" s="528">
        <f>(20/3)*0.5</f>
        <v>3.3333333333333335</v>
      </c>
      <c r="F976" s="528">
        <f t="shared" si="120"/>
        <v>3.3333333333333335</v>
      </c>
      <c r="G976" s="338" t="s">
        <v>931</v>
      </c>
      <c r="H976" s="216"/>
      <c r="I976" s="216"/>
      <c r="J976" s="216"/>
      <c r="K976" s="216"/>
      <c r="L976" s="216"/>
      <c r="M976" s="216"/>
      <c r="N976" s="216"/>
      <c r="O976" s="216"/>
      <c r="P976" s="216"/>
      <c r="Q976" s="216"/>
      <c r="R976" s="216"/>
      <c r="S976" s="216"/>
      <c r="T976" s="216"/>
      <c r="U976" s="216"/>
      <c r="V976" s="216"/>
      <c r="W976" s="216"/>
      <c r="X976" s="216"/>
      <c r="Y976" s="216"/>
      <c r="Z976" s="216"/>
    </row>
    <row r="977" spans="1:26" ht="15" customHeight="1">
      <c r="A977" s="134" t="s">
        <v>6669</v>
      </c>
      <c r="B977" s="133" t="s">
        <v>105</v>
      </c>
      <c r="C977" s="133" t="s">
        <v>8940</v>
      </c>
      <c r="D977" s="100" t="s">
        <v>7790</v>
      </c>
      <c r="E977" s="528">
        <f>20/3*0.25*0.5</f>
        <v>0.83333333333333337</v>
      </c>
      <c r="F977" s="528">
        <f t="shared" si="120"/>
        <v>0.83333333333333337</v>
      </c>
      <c r="G977" s="338" t="s">
        <v>931</v>
      </c>
      <c r="H977" s="216"/>
      <c r="I977" s="216"/>
      <c r="J977" s="216"/>
      <c r="K977" s="216"/>
      <c r="L977" s="216"/>
      <c r="M977" s="216"/>
      <c r="N977" s="216"/>
      <c r="O977" s="216"/>
      <c r="P977" s="216"/>
      <c r="Q977" s="216"/>
      <c r="R977" s="216"/>
      <c r="S977" s="216"/>
      <c r="T977" s="216"/>
      <c r="U977" s="216"/>
      <c r="V977" s="216"/>
      <c r="W977" s="216"/>
      <c r="X977" s="216"/>
      <c r="Y977" s="216"/>
      <c r="Z977" s="216"/>
    </row>
    <row r="978" spans="1:26" ht="15" customHeight="1">
      <c r="A978" s="134" t="s">
        <v>6669</v>
      </c>
      <c r="B978" s="133" t="s">
        <v>105</v>
      </c>
      <c r="C978" s="133" t="s">
        <v>8941</v>
      </c>
      <c r="D978" s="100" t="s">
        <v>7778</v>
      </c>
      <c r="E978" s="528">
        <f>9/3</f>
        <v>3</v>
      </c>
      <c r="F978" s="528">
        <f t="shared" si="120"/>
        <v>3</v>
      </c>
      <c r="G978" s="338" t="s">
        <v>931</v>
      </c>
      <c r="H978" s="216"/>
      <c r="I978" s="216"/>
      <c r="J978" s="216"/>
      <c r="K978" s="216"/>
      <c r="L978" s="216"/>
      <c r="M978" s="216"/>
      <c r="N978" s="216"/>
      <c r="O978" s="216"/>
      <c r="P978" s="216"/>
      <c r="Q978" s="216"/>
      <c r="R978" s="216"/>
      <c r="S978" s="216"/>
      <c r="T978" s="216"/>
      <c r="U978" s="216"/>
      <c r="V978" s="216"/>
      <c r="W978" s="216"/>
      <c r="X978" s="216"/>
      <c r="Y978" s="216"/>
      <c r="Z978" s="216"/>
    </row>
    <row r="979" spans="1:26" ht="15" customHeight="1">
      <c r="A979" s="134" t="s">
        <v>6669</v>
      </c>
      <c r="B979" s="133" t="s">
        <v>105</v>
      </c>
      <c r="C979" s="133" t="s">
        <v>8942</v>
      </c>
      <c r="D979" s="100" t="s">
        <v>7790</v>
      </c>
      <c r="E979" s="528">
        <f>9/3*0.5</f>
        <v>1.5</v>
      </c>
      <c r="F979" s="528">
        <f t="shared" si="120"/>
        <v>1.5</v>
      </c>
      <c r="G979" s="338" t="s">
        <v>931</v>
      </c>
      <c r="H979" s="216"/>
      <c r="I979" s="216"/>
      <c r="J979" s="216"/>
      <c r="K979" s="216"/>
      <c r="L979" s="216"/>
      <c r="M979" s="216"/>
      <c r="N979" s="216"/>
      <c r="O979" s="216"/>
      <c r="P979" s="216"/>
      <c r="Q979" s="216"/>
      <c r="R979" s="216"/>
      <c r="S979" s="216"/>
      <c r="T979" s="216"/>
      <c r="U979" s="216"/>
      <c r="V979" s="216"/>
      <c r="W979" s="216"/>
      <c r="X979" s="216"/>
      <c r="Y979" s="216"/>
      <c r="Z979" s="216"/>
    </row>
    <row r="980" spans="1:26" ht="15" customHeight="1">
      <c r="A980" s="134" t="s">
        <v>6669</v>
      </c>
      <c r="B980" s="133" t="s">
        <v>105</v>
      </c>
      <c r="C980" s="133" t="s">
        <v>8943</v>
      </c>
      <c r="D980" s="100" t="s">
        <v>7778</v>
      </c>
      <c r="E980" s="528">
        <f>12/3</f>
        <v>4</v>
      </c>
      <c r="F980" s="528">
        <f t="shared" si="120"/>
        <v>4</v>
      </c>
      <c r="G980" s="338" t="s">
        <v>931</v>
      </c>
      <c r="H980" s="216"/>
      <c r="I980" s="216"/>
      <c r="J980" s="216"/>
      <c r="K980" s="216"/>
      <c r="L980" s="216"/>
      <c r="M980" s="216"/>
      <c r="N980" s="216"/>
      <c r="O980" s="216"/>
      <c r="P980" s="216"/>
      <c r="Q980" s="216"/>
      <c r="R980" s="216"/>
      <c r="S980" s="216"/>
      <c r="T980" s="216"/>
      <c r="U980" s="216"/>
      <c r="V980" s="216"/>
      <c r="W980" s="216"/>
      <c r="X980" s="216"/>
      <c r="Y980" s="216"/>
      <c r="Z980" s="216"/>
    </row>
    <row r="981" spans="1:26" ht="15" customHeight="1">
      <c r="A981" s="134" t="s">
        <v>6669</v>
      </c>
      <c r="B981" s="133" t="s">
        <v>105</v>
      </c>
      <c r="C981" s="133" t="s">
        <v>8944</v>
      </c>
      <c r="D981" s="100" t="s">
        <v>7790</v>
      </c>
      <c r="E981" s="528">
        <f>24/3*0.5</f>
        <v>4</v>
      </c>
      <c r="F981" s="528">
        <f t="shared" si="120"/>
        <v>4</v>
      </c>
      <c r="G981" s="338" t="s">
        <v>931</v>
      </c>
      <c r="H981" s="216"/>
      <c r="I981" s="216"/>
      <c r="J981" s="216"/>
      <c r="K981" s="216"/>
      <c r="L981" s="216"/>
      <c r="M981" s="216"/>
      <c r="N981" s="216"/>
      <c r="O981" s="216"/>
      <c r="P981" s="216"/>
      <c r="Q981" s="216"/>
      <c r="R981" s="216"/>
      <c r="S981" s="216"/>
      <c r="T981" s="216"/>
      <c r="U981" s="216"/>
      <c r="V981" s="216"/>
      <c r="W981" s="216"/>
      <c r="X981" s="216"/>
      <c r="Y981" s="216"/>
      <c r="Z981" s="216"/>
    </row>
    <row r="982" spans="1:26" ht="15" customHeight="1">
      <c r="A982" s="134" t="s">
        <v>6669</v>
      </c>
      <c r="B982" s="133" t="s">
        <v>105</v>
      </c>
      <c r="C982" s="133" t="s">
        <v>8945</v>
      </c>
      <c r="D982" s="100" t="s">
        <v>7790</v>
      </c>
      <c r="E982" s="528">
        <f>24/3*0.25*0.5</f>
        <v>1</v>
      </c>
      <c r="F982" s="528">
        <f t="shared" si="120"/>
        <v>1</v>
      </c>
      <c r="G982" s="338" t="s">
        <v>931</v>
      </c>
      <c r="H982" s="216"/>
      <c r="I982" s="216"/>
      <c r="J982" s="216"/>
      <c r="K982" s="216"/>
      <c r="L982" s="216"/>
      <c r="M982" s="216"/>
      <c r="N982" s="216"/>
      <c r="O982" s="216"/>
      <c r="P982" s="216"/>
      <c r="Q982" s="216"/>
      <c r="R982" s="216"/>
      <c r="S982" s="216"/>
      <c r="T982" s="216"/>
      <c r="U982" s="216"/>
      <c r="V982" s="216"/>
      <c r="W982" s="216"/>
      <c r="X982" s="216"/>
      <c r="Y982" s="216"/>
      <c r="Z982" s="216"/>
    </row>
    <row r="983" spans="1:26" ht="15" customHeight="1">
      <c r="A983" s="134" t="s">
        <v>6669</v>
      </c>
      <c r="B983" s="133" t="s">
        <v>105</v>
      </c>
      <c r="C983" s="133" t="s">
        <v>8946</v>
      </c>
      <c r="D983" s="100" t="s">
        <v>7778</v>
      </c>
      <c r="E983" s="528">
        <f>12/3</f>
        <v>4</v>
      </c>
      <c r="F983" s="528">
        <f t="shared" si="120"/>
        <v>4</v>
      </c>
      <c r="G983" s="338" t="s">
        <v>931</v>
      </c>
      <c r="H983" s="216"/>
      <c r="I983" s="216"/>
      <c r="J983" s="216"/>
      <c r="K983" s="216"/>
      <c r="L983" s="216"/>
      <c r="M983" s="216"/>
      <c r="N983" s="216"/>
      <c r="O983" s="216"/>
      <c r="P983" s="216"/>
      <c r="Q983" s="216"/>
      <c r="R983" s="216"/>
      <c r="S983" s="216"/>
      <c r="T983" s="216"/>
      <c r="U983" s="216"/>
      <c r="V983" s="216"/>
      <c r="W983" s="216"/>
      <c r="X983" s="216"/>
      <c r="Y983" s="216"/>
      <c r="Z983" s="216"/>
    </row>
    <row r="984" spans="1:26" ht="15" customHeight="1">
      <c r="A984" s="134" t="s">
        <v>6669</v>
      </c>
      <c r="B984" s="133" t="s">
        <v>105</v>
      </c>
      <c r="C984" s="133" t="s">
        <v>8947</v>
      </c>
      <c r="D984" s="100" t="s">
        <v>7790</v>
      </c>
      <c r="E984" s="528">
        <f>12/3*0.5</f>
        <v>2</v>
      </c>
      <c r="F984" s="528">
        <f t="shared" si="120"/>
        <v>2</v>
      </c>
      <c r="G984" s="338" t="s">
        <v>931</v>
      </c>
      <c r="H984" s="216"/>
      <c r="I984" s="216"/>
      <c r="J984" s="216"/>
      <c r="K984" s="216"/>
      <c r="L984" s="216"/>
      <c r="M984" s="216"/>
      <c r="N984" s="216"/>
      <c r="O984" s="216"/>
      <c r="P984" s="216"/>
      <c r="Q984" s="216"/>
      <c r="R984" s="216"/>
      <c r="S984" s="216"/>
      <c r="T984" s="216"/>
      <c r="U984" s="216"/>
      <c r="V984" s="216"/>
      <c r="W984" s="216"/>
      <c r="X984" s="216"/>
      <c r="Y984" s="216"/>
      <c r="Z984" s="216"/>
    </row>
    <row r="985" spans="1:26" ht="15" customHeight="1">
      <c r="A985" s="134" t="s">
        <v>6669</v>
      </c>
      <c r="B985" s="133" t="s">
        <v>105</v>
      </c>
      <c r="C985" s="133" t="s">
        <v>8948</v>
      </c>
      <c r="D985" s="100" t="s">
        <v>7790</v>
      </c>
      <c r="E985" s="528">
        <f>12/3*0.25*0.5</f>
        <v>0.5</v>
      </c>
      <c r="F985" s="528">
        <f t="shared" si="120"/>
        <v>0.5</v>
      </c>
      <c r="G985" s="338" t="s">
        <v>931</v>
      </c>
      <c r="H985" s="216"/>
      <c r="I985" s="216"/>
      <c r="J985" s="216"/>
      <c r="K985" s="216"/>
      <c r="L985" s="216"/>
      <c r="M985" s="216"/>
      <c r="N985" s="216"/>
      <c r="O985" s="216"/>
      <c r="P985" s="216"/>
      <c r="Q985" s="216"/>
      <c r="R985" s="216"/>
      <c r="S985" s="216"/>
      <c r="T985" s="216"/>
      <c r="U985" s="216"/>
      <c r="V985" s="216"/>
      <c r="W985" s="216"/>
      <c r="X985" s="216"/>
      <c r="Y985" s="216"/>
      <c r="Z985" s="216"/>
    </row>
    <row r="986" spans="1:26" ht="15" customHeight="1">
      <c r="A986" s="134" t="s">
        <v>6669</v>
      </c>
      <c r="B986" s="133" t="s">
        <v>105</v>
      </c>
      <c r="C986" s="133" t="s">
        <v>8949</v>
      </c>
      <c r="D986" s="1152" t="s">
        <v>7778</v>
      </c>
      <c r="E986" s="528">
        <f>18/3</f>
        <v>6</v>
      </c>
      <c r="F986" s="528">
        <f t="shared" si="120"/>
        <v>6</v>
      </c>
      <c r="G986" s="338" t="s">
        <v>931</v>
      </c>
      <c r="H986" s="216"/>
      <c r="I986" s="216"/>
      <c r="J986" s="216"/>
      <c r="K986" s="216"/>
      <c r="L986" s="216"/>
      <c r="M986" s="216"/>
      <c r="N986" s="216"/>
      <c r="O986" s="216"/>
      <c r="P986" s="216"/>
      <c r="Q986" s="216"/>
      <c r="R986" s="216"/>
      <c r="S986" s="216"/>
      <c r="T986" s="216"/>
      <c r="U986" s="216"/>
      <c r="V986" s="216"/>
      <c r="W986" s="216"/>
      <c r="X986" s="216"/>
      <c r="Y986" s="216"/>
      <c r="Z986" s="216"/>
    </row>
    <row r="987" spans="1:26" ht="15" customHeight="1">
      <c r="A987" s="134" t="s">
        <v>6669</v>
      </c>
      <c r="B987" s="133" t="s">
        <v>105</v>
      </c>
      <c r="C987" s="133" t="s">
        <v>8950</v>
      </c>
      <c r="D987" s="100" t="s">
        <v>7790</v>
      </c>
      <c r="E987" s="528">
        <f>18/3*0.5</f>
        <v>3</v>
      </c>
      <c r="F987" s="528">
        <f t="shared" si="120"/>
        <v>3</v>
      </c>
      <c r="G987" s="338" t="s">
        <v>931</v>
      </c>
      <c r="H987" s="216"/>
      <c r="I987" s="216"/>
      <c r="J987" s="216"/>
      <c r="K987" s="216"/>
      <c r="L987" s="216"/>
      <c r="M987" s="216"/>
      <c r="N987" s="216"/>
      <c r="O987" s="216"/>
      <c r="P987" s="216"/>
      <c r="Q987" s="216"/>
      <c r="R987" s="216"/>
      <c r="S987" s="216"/>
      <c r="T987" s="216"/>
      <c r="U987" s="216"/>
      <c r="V987" s="216"/>
      <c r="W987" s="216"/>
      <c r="X987" s="216"/>
      <c r="Y987" s="216"/>
      <c r="Z987" s="216"/>
    </row>
    <row r="988" spans="1:26" ht="15" customHeight="1">
      <c r="A988" s="134" t="s">
        <v>6669</v>
      </c>
      <c r="B988" s="133" t="s">
        <v>105</v>
      </c>
      <c r="C988" s="133" t="s">
        <v>8951</v>
      </c>
      <c r="D988" s="100" t="s">
        <v>7790</v>
      </c>
      <c r="E988" s="528">
        <f>18/3*0.25*0.5</f>
        <v>0.75</v>
      </c>
      <c r="F988" s="528">
        <f t="shared" si="120"/>
        <v>0.75</v>
      </c>
      <c r="G988" s="338" t="s">
        <v>931</v>
      </c>
      <c r="H988" s="216"/>
      <c r="I988" s="216"/>
      <c r="J988" s="216"/>
      <c r="K988" s="216"/>
      <c r="L988" s="216"/>
      <c r="M988" s="216"/>
      <c r="N988" s="216"/>
      <c r="O988" s="216"/>
      <c r="P988" s="216"/>
      <c r="Q988" s="216"/>
      <c r="R988" s="216"/>
      <c r="S988" s="216"/>
      <c r="T988" s="216"/>
      <c r="U988" s="216"/>
      <c r="V988" s="216"/>
      <c r="W988" s="216"/>
      <c r="X988" s="216"/>
      <c r="Y988" s="216"/>
      <c r="Z988" s="216"/>
    </row>
    <row r="989" spans="1:26" ht="15" customHeight="1">
      <c r="A989" s="134" t="s">
        <v>6669</v>
      </c>
      <c r="B989" s="133" t="s">
        <v>105</v>
      </c>
      <c r="C989" s="133" t="s">
        <v>8952</v>
      </c>
      <c r="D989" s="1152" t="s">
        <v>7778</v>
      </c>
      <c r="E989" s="528">
        <f>14/3</f>
        <v>4.666666666666667</v>
      </c>
      <c r="F989" s="528">
        <f t="shared" si="120"/>
        <v>4.666666666666667</v>
      </c>
      <c r="G989" s="338" t="s">
        <v>931</v>
      </c>
      <c r="H989" s="216"/>
      <c r="I989" s="216"/>
      <c r="J989" s="216"/>
      <c r="K989" s="216"/>
      <c r="L989" s="216"/>
      <c r="M989" s="216"/>
      <c r="N989" s="216"/>
      <c r="O989" s="216"/>
      <c r="P989" s="216"/>
      <c r="Q989" s="216"/>
      <c r="R989" s="216"/>
      <c r="S989" s="216"/>
      <c r="T989" s="216"/>
      <c r="U989" s="216"/>
      <c r="V989" s="216"/>
      <c r="W989" s="216"/>
      <c r="X989" s="216"/>
      <c r="Y989" s="216"/>
      <c r="Z989" s="216"/>
    </row>
    <row r="990" spans="1:26" ht="15" customHeight="1">
      <c r="A990" s="134" t="s">
        <v>6669</v>
      </c>
      <c r="B990" s="133" t="s">
        <v>105</v>
      </c>
      <c r="C990" s="133" t="s">
        <v>8953</v>
      </c>
      <c r="D990" s="100" t="s">
        <v>7790</v>
      </c>
      <c r="E990" s="528">
        <f>14/3*0.5</f>
        <v>2.3333333333333335</v>
      </c>
      <c r="F990" s="528">
        <f t="shared" si="120"/>
        <v>2.3333333333333335</v>
      </c>
      <c r="G990" s="338" t="s">
        <v>931</v>
      </c>
      <c r="H990" s="216"/>
      <c r="I990" s="216"/>
      <c r="J990" s="216"/>
      <c r="K990" s="216"/>
      <c r="L990" s="216"/>
      <c r="M990" s="216"/>
      <c r="N990" s="216"/>
      <c r="O990" s="216"/>
      <c r="P990" s="216"/>
      <c r="Q990" s="216"/>
      <c r="R990" s="216"/>
      <c r="S990" s="216"/>
      <c r="T990" s="216"/>
      <c r="U990" s="216"/>
      <c r="V990" s="216"/>
      <c r="W990" s="216"/>
      <c r="X990" s="216"/>
      <c r="Y990" s="216"/>
      <c r="Z990" s="216"/>
    </row>
    <row r="991" spans="1:26" ht="15" customHeight="1">
      <c r="A991" s="134" t="s">
        <v>6669</v>
      </c>
      <c r="B991" s="133" t="s">
        <v>105</v>
      </c>
      <c r="C991" s="133" t="s">
        <v>8954</v>
      </c>
      <c r="D991" s="100" t="s">
        <v>7790</v>
      </c>
      <c r="E991" s="528">
        <f>14/3*0.25*0.5</f>
        <v>0.58333333333333337</v>
      </c>
      <c r="F991" s="528">
        <f t="shared" si="120"/>
        <v>0.58333333333333337</v>
      </c>
      <c r="G991" s="338" t="s">
        <v>931</v>
      </c>
      <c r="H991" s="216"/>
      <c r="I991" s="216"/>
      <c r="J991" s="216"/>
      <c r="K991" s="216"/>
      <c r="L991" s="216"/>
      <c r="M991" s="216"/>
      <c r="N991" s="216"/>
      <c r="O991" s="216"/>
      <c r="P991" s="216"/>
      <c r="Q991" s="216"/>
      <c r="R991" s="216"/>
      <c r="S991" s="216"/>
      <c r="T991" s="216"/>
      <c r="U991" s="216"/>
      <c r="V991" s="216"/>
      <c r="W991" s="216"/>
      <c r="X991" s="216"/>
      <c r="Y991" s="216"/>
      <c r="Z991" s="216"/>
    </row>
    <row r="992" spans="1:26" ht="15" customHeight="1">
      <c r="A992" s="134" t="s">
        <v>6669</v>
      </c>
      <c r="B992" s="133" t="s">
        <v>105</v>
      </c>
      <c r="C992" s="133" t="s">
        <v>8955</v>
      </c>
      <c r="D992" s="1152" t="s">
        <v>7778</v>
      </c>
      <c r="E992" s="528">
        <f>9/3</f>
        <v>3</v>
      </c>
      <c r="F992" s="528">
        <f t="shared" si="120"/>
        <v>3</v>
      </c>
      <c r="G992" s="338" t="s">
        <v>931</v>
      </c>
      <c r="H992" s="216"/>
      <c r="I992" s="216"/>
      <c r="J992" s="216"/>
      <c r="K992" s="216"/>
      <c r="L992" s="216"/>
      <c r="M992" s="216"/>
      <c r="N992" s="216"/>
      <c r="O992" s="216"/>
      <c r="P992" s="216"/>
      <c r="Q992" s="216"/>
      <c r="R992" s="216"/>
      <c r="S992" s="216"/>
      <c r="T992" s="216"/>
      <c r="U992" s="216"/>
      <c r="V992" s="216"/>
      <c r="W992" s="216"/>
      <c r="X992" s="216"/>
      <c r="Y992" s="216"/>
      <c r="Z992" s="216"/>
    </row>
    <row r="993" spans="1:26" ht="15" customHeight="1">
      <c r="A993" s="134" t="s">
        <v>6669</v>
      </c>
      <c r="B993" s="133" t="s">
        <v>105</v>
      </c>
      <c r="C993" s="133" t="s">
        <v>8956</v>
      </c>
      <c r="D993" s="100" t="s">
        <v>7790</v>
      </c>
      <c r="E993" s="528">
        <f>9/3*0.5</f>
        <v>1.5</v>
      </c>
      <c r="F993" s="528">
        <f t="shared" si="120"/>
        <v>1.5</v>
      </c>
      <c r="G993" s="338" t="s">
        <v>931</v>
      </c>
      <c r="H993" s="216"/>
      <c r="I993" s="216"/>
      <c r="J993" s="216"/>
      <c r="K993" s="216"/>
      <c r="L993" s="216"/>
      <c r="M993" s="216"/>
      <c r="N993" s="216"/>
      <c r="O993" s="216"/>
      <c r="P993" s="216"/>
      <c r="Q993" s="216"/>
      <c r="R993" s="216"/>
      <c r="S993" s="216"/>
      <c r="T993" s="216"/>
      <c r="U993" s="216"/>
      <c r="V993" s="216"/>
      <c r="W993" s="216"/>
      <c r="X993" s="216"/>
      <c r="Y993" s="216"/>
      <c r="Z993" s="216"/>
    </row>
    <row r="994" spans="1:26" ht="15" customHeight="1">
      <c r="A994" s="134" t="s">
        <v>6669</v>
      </c>
      <c r="B994" s="133" t="s">
        <v>105</v>
      </c>
      <c r="C994" s="133" t="s">
        <v>8957</v>
      </c>
      <c r="D994" s="100" t="s">
        <v>7790</v>
      </c>
      <c r="E994" s="528">
        <f>9/3*0.25*0.5</f>
        <v>0.375</v>
      </c>
      <c r="F994" s="528">
        <f t="shared" si="120"/>
        <v>0.375</v>
      </c>
      <c r="G994" s="338" t="s">
        <v>931</v>
      </c>
      <c r="H994" s="216"/>
      <c r="I994" s="216"/>
      <c r="J994" s="216"/>
      <c r="K994" s="216"/>
      <c r="L994" s="216"/>
      <c r="M994" s="216"/>
      <c r="N994" s="216"/>
      <c r="O994" s="216"/>
      <c r="P994" s="216"/>
      <c r="Q994" s="216"/>
      <c r="R994" s="216"/>
      <c r="S994" s="216"/>
      <c r="T994" s="216"/>
      <c r="U994" s="216"/>
      <c r="V994" s="216"/>
      <c r="W994" s="216"/>
      <c r="X994" s="216"/>
      <c r="Y994" s="216"/>
      <c r="Z994" s="216"/>
    </row>
    <row r="995" spans="1:26" ht="15" customHeight="1">
      <c r="A995" s="134" t="s">
        <v>6669</v>
      </c>
      <c r="B995" s="133" t="s">
        <v>105</v>
      </c>
      <c r="C995" s="133" t="s">
        <v>8958</v>
      </c>
      <c r="D995" s="1152" t="s">
        <v>7778</v>
      </c>
      <c r="E995" s="528">
        <f>14/3</f>
        <v>4.666666666666667</v>
      </c>
      <c r="F995" s="528">
        <f t="shared" si="120"/>
        <v>4.666666666666667</v>
      </c>
      <c r="G995" s="338" t="s">
        <v>931</v>
      </c>
      <c r="H995" s="216"/>
      <c r="I995" s="216"/>
      <c r="J995" s="216"/>
      <c r="K995" s="216"/>
      <c r="L995" s="216"/>
      <c r="M995" s="216"/>
      <c r="N995" s="216"/>
      <c r="O995" s="216"/>
      <c r="P995" s="216"/>
      <c r="Q995" s="216"/>
      <c r="R995" s="216"/>
      <c r="S995" s="216"/>
      <c r="T995" s="216"/>
      <c r="U995" s="216"/>
      <c r="V995" s="216"/>
      <c r="W995" s="216"/>
      <c r="X995" s="216"/>
      <c r="Y995" s="216"/>
      <c r="Z995" s="216"/>
    </row>
    <row r="996" spans="1:26" ht="15" customHeight="1">
      <c r="A996" s="134" t="s">
        <v>6669</v>
      </c>
      <c r="B996" s="133" t="s">
        <v>105</v>
      </c>
      <c r="C996" s="133" t="s">
        <v>8959</v>
      </c>
      <c r="D996" s="100" t="s">
        <v>7790</v>
      </c>
      <c r="E996" s="528">
        <f>14/3*0.5</f>
        <v>2.3333333333333335</v>
      </c>
      <c r="F996" s="528">
        <f t="shared" si="120"/>
        <v>2.3333333333333335</v>
      </c>
      <c r="G996" s="338" t="s">
        <v>931</v>
      </c>
      <c r="H996" s="216"/>
      <c r="I996" s="216"/>
      <c r="J996" s="216"/>
      <c r="K996" s="216"/>
      <c r="L996" s="216"/>
      <c r="M996" s="216"/>
      <c r="N996" s="216"/>
      <c r="O996" s="216"/>
      <c r="P996" s="216"/>
      <c r="Q996" s="216"/>
      <c r="R996" s="216"/>
      <c r="S996" s="216"/>
      <c r="T996" s="216"/>
      <c r="U996" s="216"/>
      <c r="V996" s="216"/>
      <c r="W996" s="216"/>
      <c r="X996" s="216"/>
      <c r="Y996" s="216"/>
      <c r="Z996" s="216"/>
    </row>
    <row r="997" spans="1:26" ht="15" customHeight="1">
      <c r="A997" s="134" t="s">
        <v>6669</v>
      </c>
      <c r="B997" s="133" t="s">
        <v>105</v>
      </c>
      <c r="C997" s="133" t="s">
        <v>8960</v>
      </c>
      <c r="D997" s="100" t="s">
        <v>7790</v>
      </c>
      <c r="E997" s="528">
        <f>14/3*0.25*0.5</f>
        <v>0.58333333333333337</v>
      </c>
      <c r="F997" s="528">
        <f t="shared" si="120"/>
        <v>0.58333333333333337</v>
      </c>
      <c r="G997" s="338" t="s">
        <v>931</v>
      </c>
      <c r="H997" s="216"/>
      <c r="I997" s="216"/>
      <c r="J997" s="216"/>
      <c r="K997" s="216"/>
      <c r="L997" s="216"/>
      <c r="M997" s="216"/>
      <c r="N997" s="216"/>
      <c r="O997" s="216"/>
      <c r="P997" s="216"/>
      <c r="Q997" s="216"/>
      <c r="R997" s="216"/>
      <c r="S997" s="216"/>
      <c r="T997" s="216"/>
      <c r="U997" s="216"/>
      <c r="V997" s="216"/>
      <c r="W997" s="216"/>
      <c r="X997" s="216"/>
      <c r="Y997" s="216"/>
      <c r="Z997" s="216"/>
    </row>
    <row r="998" spans="1:26" ht="15" customHeight="1">
      <c r="A998" s="134" t="s">
        <v>6669</v>
      </c>
      <c r="B998" s="133" t="s">
        <v>105</v>
      </c>
      <c r="C998" s="133" t="s">
        <v>8961</v>
      </c>
      <c r="D998" s="1152" t="s">
        <v>7778</v>
      </c>
      <c r="E998" s="528">
        <f>14/3</f>
        <v>4.666666666666667</v>
      </c>
      <c r="F998" s="528">
        <f t="shared" si="120"/>
        <v>4.666666666666667</v>
      </c>
      <c r="G998" s="338" t="s">
        <v>931</v>
      </c>
      <c r="H998" s="216"/>
      <c r="I998" s="216"/>
      <c r="J998" s="216"/>
      <c r="K998" s="216"/>
      <c r="L998" s="216"/>
      <c r="M998" s="216"/>
      <c r="N998" s="216"/>
      <c r="O998" s="216"/>
      <c r="P998" s="216"/>
      <c r="Q998" s="216"/>
      <c r="R998" s="216"/>
      <c r="S998" s="216"/>
      <c r="T998" s="216"/>
      <c r="U998" s="216"/>
      <c r="V998" s="216"/>
      <c r="W998" s="216"/>
      <c r="X998" s="216"/>
      <c r="Y998" s="216"/>
      <c r="Z998" s="216"/>
    </row>
    <row r="999" spans="1:26" ht="15" customHeight="1">
      <c r="A999" s="134" t="s">
        <v>6669</v>
      </c>
      <c r="B999" s="133" t="s">
        <v>105</v>
      </c>
      <c r="C999" s="133" t="s">
        <v>8962</v>
      </c>
      <c r="D999" s="100" t="s">
        <v>7790</v>
      </c>
      <c r="E999" s="528">
        <f>14/3*0.5</f>
        <v>2.3333333333333335</v>
      </c>
      <c r="F999" s="528">
        <f t="shared" si="120"/>
        <v>2.3333333333333335</v>
      </c>
      <c r="G999" s="338" t="s">
        <v>931</v>
      </c>
      <c r="H999" s="216"/>
      <c r="I999" s="216"/>
      <c r="J999" s="216"/>
      <c r="K999" s="216"/>
      <c r="L999" s="216"/>
      <c r="M999" s="216"/>
      <c r="N999" s="216"/>
      <c r="O999" s="216"/>
      <c r="P999" s="216"/>
      <c r="Q999" s="216"/>
      <c r="R999" s="216"/>
      <c r="S999" s="216"/>
      <c r="T999" s="216"/>
      <c r="U999" s="216"/>
      <c r="V999" s="216"/>
      <c r="W999" s="216"/>
      <c r="X999" s="216"/>
      <c r="Y999" s="216"/>
      <c r="Z999" s="216"/>
    </row>
    <row r="1000" spans="1:26" ht="15" customHeight="1">
      <c r="A1000" s="134" t="s">
        <v>6669</v>
      </c>
      <c r="B1000" s="133" t="s">
        <v>105</v>
      </c>
      <c r="C1000" s="133" t="s">
        <v>8963</v>
      </c>
      <c r="D1000" s="100" t="s">
        <v>7790</v>
      </c>
      <c r="E1000" s="528">
        <f>14/3*0.25*0.5</f>
        <v>0.58333333333333337</v>
      </c>
      <c r="F1000" s="528">
        <f t="shared" si="120"/>
        <v>0.58333333333333337</v>
      </c>
      <c r="G1000" s="338" t="s">
        <v>931</v>
      </c>
      <c r="H1000" s="216"/>
      <c r="I1000" s="216"/>
      <c r="J1000" s="216"/>
      <c r="K1000" s="216"/>
      <c r="L1000" s="216"/>
      <c r="M1000" s="216"/>
      <c r="N1000" s="216"/>
      <c r="O1000" s="216"/>
      <c r="P1000" s="216"/>
      <c r="Q1000" s="216"/>
      <c r="R1000" s="216"/>
      <c r="S1000" s="216"/>
      <c r="T1000" s="216"/>
      <c r="U1000" s="216"/>
      <c r="V1000" s="216"/>
      <c r="W1000" s="216"/>
      <c r="X1000" s="216"/>
      <c r="Y1000" s="216"/>
      <c r="Z1000" s="216"/>
    </row>
    <row r="1001" spans="1:26" ht="15" customHeight="1">
      <c r="A1001" s="134" t="s">
        <v>6669</v>
      </c>
      <c r="B1001" s="133" t="s">
        <v>105</v>
      </c>
      <c r="C1001" s="133" t="s">
        <v>8964</v>
      </c>
      <c r="D1001" s="1152" t="s">
        <v>7778</v>
      </c>
      <c r="E1001" s="528">
        <f>18/3</f>
        <v>6</v>
      </c>
      <c r="F1001" s="528">
        <f t="shared" si="120"/>
        <v>6</v>
      </c>
      <c r="G1001" s="338" t="s">
        <v>931</v>
      </c>
      <c r="H1001" s="216"/>
      <c r="I1001" s="216"/>
      <c r="J1001" s="216"/>
      <c r="K1001" s="216"/>
      <c r="L1001" s="216"/>
      <c r="M1001" s="216"/>
      <c r="N1001" s="216"/>
      <c r="O1001" s="216"/>
      <c r="P1001" s="216"/>
      <c r="Q1001" s="216"/>
      <c r="R1001" s="216"/>
      <c r="S1001" s="216"/>
      <c r="T1001" s="216"/>
      <c r="U1001" s="216"/>
      <c r="V1001" s="216"/>
      <c r="W1001" s="216"/>
      <c r="X1001" s="216"/>
      <c r="Y1001" s="216"/>
      <c r="Z1001" s="216"/>
    </row>
    <row r="1002" spans="1:26" ht="15" customHeight="1">
      <c r="A1002" s="134" t="s">
        <v>6669</v>
      </c>
      <c r="B1002" s="133" t="s">
        <v>105</v>
      </c>
      <c r="C1002" s="133" t="s">
        <v>8965</v>
      </c>
      <c r="D1002" s="100" t="s">
        <v>7790</v>
      </c>
      <c r="E1002" s="528">
        <f>18/3*0.5</f>
        <v>3</v>
      </c>
      <c r="F1002" s="528">
        <f t="shared" si="120"/>
        <v>3</v>
      </c>
      <c r="G1002" s="338" t="s">
        <v>931</v>
      </c>
      <c r="H1002" s="216"/>
      <c r="I1002" s="216"/>
      <c r="J1002" s="216"/>
      <c r="K1002" s="216"/>
      <c r="L1002" s="216"/>
      <c r="M1002" s="216"/>
      <c r="N1002" s="216"/>
      <c r="O1002" s="216"/>
      <c r="P1002" s="216"/>
      <c r="Q1002" s="216"/>
      <c r="R1002" s="216"/>
      <c r="S1002" s="216"/>
      <c r="T1002" s="216"/>
      <c r="U1002" s="216"/>
      <c r="V1002" s="216"/>
      <c r="W1002" s="216"/>
      <c r="X1002" s="216"/>
      <c r="Y1002" s="216"/>
      <c r="Z1002" s="216"/>
    </row>
    <row r="1003" spans="1:26" ht="15" customHeight="1">
      <c r="A1003" s="134" t="s">
        <v>6669</v>
      </c>
      <c r="B1003" s="133" t="s">
        <v>105</v>
      </c>
      <c r="C1003" s="133" t="s">
        <v>8966</v>
      </c>
      <c r="D1003" s="100" t="s">
        <v>7790</v>
      </c>
      <c r="E1003" s="528">
        <f>18/3*0.25*0.5</f>
        <v>0.75</v>
      </c>
      <c r="F1003" s="528">
        <f t="shared" si="120"/>
        <v>0.75</v>
      </c>
      <c r="G1003" s="338" t="s">
        <v>931</v>
      </c>
      <c r="H1003" s="216"/>
      <c r="I1003" s="216"/>
      <c r="J1003" s="216"/>
      <c r="K1003" s="216"/>
      <c r="L1003" s="216"/>
      <c r="M1003" s="216"/>
      <c r="N1003" s="216"/>
      <c r="O1003" s="216"/>
      <c r="P1003" s="216"/>
      <c r="Q1003" s="216"/>
      <c r="R1003" s="216"/>
      <c r="S1003" s="216"/>
      <c r="T1003" s="216"/>
      <c r="U1003" s="216"/>
      <c r="V1003" s="216"/>
      <c r="W1003" s="216"/>
      <c r="X1003" s="216"/>
      <c r="Y1003" s="216"/>
      <c r="Z1003" s="216"/>
    </row>
    <row r="1004" spans="1:26" ht="15" customHeight="1">
      <c r="A1004" s="134" t="s">
        <v>6669</v>
      </c>
      <c r="B1004" s="133" t="s">
        <v>105</v>
      </c>
      <c r="C1004" s="133" t="s">
        <v>8967</v>
      </c>
      <c r="D1004" s="1152" t="s">
        <v>7778</v>
      </c>
      <c r="E1004" s="528">
        <f>18/3</f>
        <v>6</v>
      </c>
      <c r="F1004" s="528">
        <f t="shared" si="120"/>
        <v>6</v>
      </c>
      <c r="G1004" s="338" t="s">
        <v>931</v>
      </c>
      <c r="H1004" s="216"/>
      <c r="I1004" s="216"/>
      <c r="J1004" s="216"/>
      <c r="K1004" s="216"/>
      <c r="L1004" s="216"/>
      <c r="M1004" s="216"/>
      <c r="N1004" s="216"/>
      <c r="O1004" s="216"/>
      <c r="P1004" s="216"/>
      <c r="Q1004" s="216"/>
      <c r="R1004" s="216"/>
      <c r="S1004" s="216"/>
      <c r="T1004" s="216"/>
      <c r="U1004" s="216"/>
      <c r="V1004" s="216"/>
      <c r="W1004" s="216"/>
      <c r="X1004" s="216"/>
      <c r="Y1004" s="216"/>
      <c r="Z1004" s="216"/>
    </row>
    <row r="1005" spans="1:26" ht="15" customHeight="1">
      <c r="A1005" s="134" t="s">
        <v>6669</v>
      </c>
      <c r="B1005" s="133" t="s">
        <v>105</v>
      </c>
      <c r="C1005" s="133" t="s">
        <v>8968</v>
      </c>
      <c r="D1005" s="100" t="s">
        <v>7790</v>
      </c>
      <c r="E1005" s="528">
        <f>18/3*0.5</f>
        <v>3</v>
      </c>
      <c r="F1005" s="528">
        <f t="shared" si="120"/>
        <v>3</v>
      </c>
      <c r="G1005" s="338" t="s">
        <v>931</v>
      </c>
      <c r="H1005" s="216"/>
      <c r="I1005" s="216"/>
      <c r="J1005" s="216"/>
      <c r="K1005" s="216"/>
      <c r="L1005" s="216"/>
      <c r="M1005" s="216"/>
      <c r="N1005" s="216"/>
      <c r="O1005" s="216"/>
      <c r="P1005" s="216"/>
      <c r="Q1005" s="216"/>
      <c r="R1005" s="216"/>
      <c r="S1005" s="216"/>
      <c r="T1005" s="216"/>
      <c r="U1005" s="216"/>
      <c r="V1005" s="216"/>
      <c r="W1005" s="216"/>
      <c r="X1005" s="216"/>
      <c r="Y1005" s="216"/>
      <c r="Z1005" s="216"/>
    </row>
    <row r="1006" spans="1:26" ht="15" customHeight="1">
      <c r="A1006" s="134" t="s">
        <v>6669</v>
      </c>
      <c r="B1006" s="133" t="s">
        <v>105</v>
      </c>
      <c r="C1006" s="133" t="s">
        <v>8969</v>
      </c>
      <c r="D1006" s="100" t="s">
        <v>7790</v>
      </c>
      <c r="E1006" s="528">
        <f>18/3*0.25*0.5</f>
        <v>0.75</v>
      </c>
      <c r="F1006" s="528">
        <f t="shared" si="120"/>
        <v>0.75</v>
      </c>
      <c r="G1006" s="338" t="s">
        <v>931</v>
      </c>
      <c r="H1006" s="216"/>
      <c r="I1006" s="216"/>
      <c r="J1006" s="216"/>
      <c r="K1006" s="216"/>
      <c r="L1006" s="216"/>
      <c r="M1006" s="216"/>
      <c r="N1006" s="216"/>
      <c r="O1006" s="216"/>
      <c r="P1006" s="216"/>
      <c r="Q1006" s="216"/>
      <c r="R1006" s="216"/>
      <c r="S1006" s="216"/>
      <c r="T1006" s="216"/>
      <c r="U1006" s="216"/>
      <c r="V1006" s="216"/>
      <c r="W1006" s="216"/>
      <c r="X1006" s="216"/>
      <c r="Y1006" s="216"/>
      <c r="Z1006" s="216"/>
    </row>
    <row r="1007" spans="1:26" ht="15" customHeight="1">
      <c r="A1007" s="134" t="s">
        <v>6669</v>
      </c>
      <c r="B1007" s="133" t="s">
        <v>105</v>
      </c>
      <c r="C1007" s="133" t="s">
        <v>8970</v>
      </c>
      <c r="D1007" s="100" t="s">
        <v>7778</v>
      </c>
      <c r="E1007" s="528">
        <f>3/3*2</f>
        <v>2</v>
      </c>
      <c r="F1007" s="528">
        <f t="shared" si="120"/>
        <v>2</v>
      </c>
      <c r="G1007" s="338" t="s">
        <v>931</v>
      </c>
      <c r="H1007" s="216"/>
      <c r="I1007" s="216"/>
      <c r="J1007" s="216"/>
      <c r="K1007" s="216"/>
      <c r="L1007" s="216"/>
      <c r="M1007" s="216"/>
      <c r="N1007" s="216"/>
      <c r="O1007" s="216"/>
      <c r="P1007" s="216"/>
      <c r="Q1007" s="216"/>
      <c r="R1007" s="216"/>
      <c r="S1007" s="216"/>
      <c r="T1007" s="216"/>
      <c r="U1007" s="216"/>
      <c r="V1007" s="216"/>
      <c r="W1007" s="216"/>
      <c r="X1007" s="216"/>
      <c r="Y1007" s="216"/>
      <c r="Z1007" s="216"/>
    </row>
    <row r="1008" spans="1:26" ht="15" customHeight="1">
      <c r="A1008" s="134" t="s">
        <v>6669</v>
      </c>
      <c r="B1008" s="133" t="s">
        <v>105</v>
      </c>
      <c r="C1008" s="133" t="s">
        <v>8908</v>
      </c>
      <c r="D1008" s="100" t="s">
        <v>7778</v>
      </c>
      <c r="E1008" s="528">
        <f>34/3*2</f>
        <v>22.666666666666668</v>
      </c>
      <c r="F1008" s="528">
        <f t="shared" si="120"/>
        <v>22.666666666666668</v>
      </c>
      <c r="G1008" s="338" t="s">
        <v>931</v>
      </c>
      <c r="H1008" s="216"/>
      <c r="I1008" s="216"/>
      <c r="J1008" s="216"/>
      <c r="K1008" s="216"/>
      <c r="L1008" s="216"/>
      <c r="M1008" s="216"/>
      <c r="N1008" s="216"/>
      <c r="O1008" s="216"/>
      <c r="P1008" s="216"/>
      <c r="Q1008" s="216"/>
      <c r="R1008" s="216"/>
      <c r="S1008" s="216"/>
      <c r="T1008" s="216"/>
      <c r="U1008" s="216"/>
      <c r="V1008" s="216"/>
      <c r="W1008" s="216"/>
      <c r="X1008" s="216"/>
      <c r="Y1008" s="216"/>
      <c r="Z1008" s="216"/>
    </row>
    <row r="1009" spans="1:26" ht="15" customHeight="1">
      <c r="A1009" s="134" t="s">
        <v>6669</v>
      </c>
      <c r="B1009" s="133" t="s">
        <v>105</v>
      </c>
      <c r="C1009" s="133" t="s">
        <v>8971</v>
      </c>
      <c r="D1009" s="100" t="s">
        <v>7778</v>
      </c>
      <c r="E1009" s="528">
        <f>22/3*2</f>
        <v>14.666666666666666</v>
      </c>
      <c r="F1009" s="528">
        <f t="shared" si="120"/>
        <v>14.666666666666666</v>
      </c>
      <c r="G1009" s="338" t="s">
        <v>931</v>
      </c>
      <c r="H1009" s="216"/>
      <c r="I1009" s="216"/>
      <c r="J1009" s="216"/>
      <c r="K1009" s="216"/>
      <c r="L1009" s="216"/>
      <c r="M1009" s="216"/>
      <c r="N1009" s="216"/>
      <c r="O1009" s="216"/>
      <c r="P1009" s="216"/>
      <c r="Q1009" s="216"/>
      <c r="R1009" s="216"/>
      <c r="S1009" s="216"/>
      <c r="T1009" s="216"/>
      <c r="U1009" s="216"/>
      <c r="V1009" s="216"/>
      <c r="W1009" s="216"/>
      <c r="X1009" s="216"/>
      <c r="Y1009" s="216"/>
      <c r="Z1009" s="216"/>
    </row>
    <row r="1010" spans="1:26" ht="15" customHeight="1">
      <c r="A1010" s="134" t="s">
        <v>952</v>
      </c>
      <c r="B1010" s="133" t="s">
        <v>8972</v>
      </c>
      <c r="C1010" s="133" t="s">
        <v>8973</v>
      </c>
      <c r="D1010" s="100" t="s">
        <v>7778</v>
      </c>
      <c r="E1010" s="186">
        <v>4.666666666666667</v>
      </c>
      <c r="F1010" s="528">
        <f t="shared" si="120"/>
        <v>4.666666666666667</v>
      </c>
      <c r="G1010" s="338" t="s">
        <v>952</v>
      </c>
      <c r="H1010" s="216"/>
      <c r="I1010" s="216"/>
      <c r="J1010" s="216"/>
      <c r="K1010" s="216"/>
      <c r="L1010" s="216"/>
      <c r="M1010" s="216"/>
      <c r="N1010" s="216"/>
      <c r="O1010" s="216"/>
      <c r="P1010" s="216"/>
      <c r="Q1010" s="216"/>
      <c r="R1010" s="216"/>
      <c r="S1010" s="216"/>
      <c r="T1010" s="216"/>
      <c r="U1010" s="216"/>
      <c r="V1010" s="216"/>
      <c r="W1010" s="216"/>
      <c r="X1010" s="216"/>
      <c r="Y1010" s="216"/>
      <c r="Z1010" s="216"/>
    </row>
    <row r="1011" spans="1:26" ht="15" customHeight="1">
      <c r="A1011" s="134" t="s">
        <v>952</v>
      </c>
      <c r="B1011" s="133" t="s">
        <v>8972</v>
      </c>
      <c r="C1011" s="133" t="s">
        <v>8974</v>
      </c>
      <c r="D1011" s="100" t="s">
        <v>7778</v>
      </c>
      <c r="E1011" s="528">
        <f>0.25*14/3</f>
        <v>1.1666666666666667</v>
      </c>
      <c r="F1011" s="528">
        <f t="shared" si="120"/>
        <v>1.1666666666666667</v>
      </c>
      <c r="G1011" s="338" t="s">
        <v>952</v>
      </c>
      <c r="H1011" s="216"/>
      <c r="I1011" s="216"/>
      <c r="J1011" s="216"/>
      <c r="K1011" s="216"/>
      <c r="L1011" s="216"/>
      <c r="M1011" s="216"/>
      <c r="N1011" s="216"/>
      <c r="O1011" s="216"/>
      <c r="P1011" s="216"/>
      <c r="Q1011" s="216"/>
      <c r="R1011" s="216"/>
      <c r="S1011" s="216"/>
      <c r="T1011" s="216"/>
      <c r="U1011" s="216"/>
      <c r="V1011" s="216"/>
      <c r="W1011" s="216"/>
      <c r="X1011" s="216"/>
      <c r="Y1011" s="216"/>
      <c r="Z1011" s="216"/>
    </row>
    <row r="1012" spans="1:26" ht="15" customHeight="1">
      <c r="A1012" s="134" t="s">
        <v>952</v>
      </c>
      <c r="B1012" s="133" t="s">
        <v>8972</v>
      </c>
      <c r="C1012" s="133" t="s">
        <v>8975</v>
      </c>
      <c r="D1012" s="100" t="s">
        <v>7778</v>
      </c>
      <c r="E1012" s="186">
        <f>0.1*14/3</f>
        <v>0.46666666666666673</v>
      </c>
      <c r="F1012" s="528">
        <f t="shared" si="120"/>
        <v>0.46666666666666673</v>
      </c>
      <c r="G1012" s="338" t="s">
        <v>952</v>
      </c>
      <c r="H1012" s="216"/>
      <c r="I1012" s="216"/>
      <c r="J1012" s="216"/>
      <c r="K1012" s="216"/>
      <c r="L1012" s="216"/>
      <c r="M1012" s="216"/>
      <c r="N1012" s="216"/>
      <c r="O1012" s="216"/>
      <c r="P1012" s="216"/>
      <c r="Q1012" s="216"/>
      <c r="R1012" s="216"/>
      <c r="S1012" s="216"/>
      <c r="T1012" s="216"/>
      <c r="U1012" s="216"/>
      <c r="V1012" s="216"/>
      <c r="W1012" s="216"/>
      <c r="X1012" s="216"/>
      <c r="Y1012" s="216"/>
      <c r="Z1012" s="216"/>
    </row>
    <row r="1013" spans="1:26" ht="15" customHeight="1">
      <c r="A1013" s="134" t="s">
        <v>952</v>
      </c>
      <c r="B1013" s="133" t="s">
        <v>8972</v>
      </c>
      <c r="C1013" s="133" t="s">
        <v>8976</v>
      </c>
      <c r="D1013" s="100" t="s">
        <v>8645</v>
      </c>
      <c r="E1013" s="186">
        <f>14/3</f>
        <v>4.666666666666667</v>
      </c>
      <c r="F1013" s="528">
        <f t="shared" si="120"/>
        <v>4.666666666666667</v>
      </c>
      <c r="G1013" s="338" t="s">
        <v>952</v>
      </c>
      <c r="H1013" s="216"/>
      <c r="I1013" s="216"/>
      <c r="J1013" s="216"/>
      <c r="K1013" s="216"/>
      <c r="L1013" s="216"/>
      <c r="M1013" s="216"/>
      <c r="N1013" s="216"/>
      <c r="O1013" s="216"/>
      <c r="P1013" s="216"/>
      <c r="Q1013" s="216"/>
      <c r="R1013" s="216"/>
      <c r="S1013" s="216"/>
      <c r="T1013" s="216"/>
      <c r="U1013" s="216"/>
      <c r="V1013" s="216"/>
      <c r="W1013" s="216"/>
      <c r="X1013" s="216"/>
      <c r="Y1013" s="216"/>
      <c r="Z1013" s="216"/>
    </row>
    <row r="1014" spans="1:26" ht="15" customHeight="1">
      <c r="A1014" s="134" t="s">
        <v>952</v>
      </c>
      <c r="B1014" s="133" t="s">
        <v>8972</v>
      </c>
      <c r="C1014" s="133" t="s">
        <v>8977</v>
      </c>
      <c r="D1014" s="100" t="s">
        <v>7778</v>
      </c>
      <c r="E1014" s="186">
        <f>12/3</f>
        <v>4</v>
      </c>
      <c r="F1014" s="528">
        <f t="shared" si="120"/>
        <v>4</v>
      </c>
      <c r="G1014" s="338" t="s">
        <v>952</v>
      </c>
      <c r="H1014" s="216"/>
      <c r="I1014" s="216"/>
      <c r="J1014" s="216"/>
      <c r="K1014" s="216"/>
      <c r="L1014" s="216"/>
      <c r="M1014" s="216"/>
      <c r="N1014" s="216"/>
      <c r="O1014" s="216"/>
      <c r="P1014" s="216"/>
      <c r="Q1014" s="216"/>
      <c r="R1014" s="216"/>
      <c r="S1014" s="216"/>
      <c r="T1014" s="216"/>
      <c r="U1014" s="216"/>
      <c r="V1014" s="216"/>
      <c r="W1014" s="216"/>
      <c r="X1014" s="216"/>
      <c r="Y1014" s="216"/>
      <c r="Z1014" s="216"/>
    </row>
    <row r="1015" spans="1:26" ht="15" customHeight="1">
      <c r="A1015" s="134" t="s">
        <v>952</v>
      </c>
      <c r="B1015" s="133" t="s">
        <v>8972</v>
      </c>
      <c r="C1015" s="133" t="s">
        <v>8978</v>
      </c>
      <c r="D1015" s="100" t="s">
        <v>7778</v>
      </c>
      <c r="E1015" s="186">
        <f>0.25*12/3</f>
        <v>1</v>
      </c>
      <c r="F1015" s="528">
        <f t="shared" si="120"/>
        <v>1</v>
      </c>
      <c r="G1015" s="338" t="s">
        <v>952</v>
      </c>
      <c r="H1015" s="216"/>
      <c r="I1015" s="216"/>
      <c r="J1015" s="216"/>
      <c r="K1015" s="216"/>
      <c r="L1015" s="216"/>
      <c r="M1015" s="216"/>
      <c r="N1015" s="216"/>
      <c r="O1015" s="216"/>
      <c r="P1015" s="216"/>
      <c r="Q1015" s="216"/>
      <c r="R1015" s="216"/>
      <c r="S1015" s="216"/>
      <c r="T1015" s="216"/>
      <c r="U1015" s="216"/>
      <c r="V1015" s="216"/>
      <c r="W1015" s="216"/>
      <c r="X1015" s="216"/>
      <c r="Y1015" s="216"/>
      <c r="Z1015" s="216"/>
    </row>
    <row r="1016" spans="1:26" ht="15" customHeight="1">
      <c r="A1016" s="134" t="s">
        <v>952</v>
      </c>
      <c r="B1016" s="133" t="s">
        <v>8972</v>
      </c>
      <c r="C1016" s="133" t="s">
        <v>8979</v>
      </c>
      <c r="D1016" s="100" t="s">
        <v>7778</v>
      </c>
      <c r="E1016" s="186">
        <f>0.1*12/3</f>
        <v>0.40000000000000008</v>
      </c>
      <c r="F1016" s="528">
        <f t="shared" si="120"/>
        <v>0.40000000000000008</v>
      </c>
      <c r="G1016" s="338" t="s">
        <v>952</v>
      </c>
      <c r="H1016" s="216"/>
      <c r="I1016" s="216"/>
      <c r="J1016" s="216"/>
      <c r="K1016" s="216"/>
      <c r="L1016" s="216"/>
      <c r="M1016" s="216"/>
      <c r="N1016" s="216"/>
      <c r="O1016" s="216"/>
      <c r="P1016" s="216"/>
      <c r="Q1016" s="216"/>
      <c r="R1016" s="216"/>
      <c r="S1016" s="216"/>
      <c r="T1016" s="216"/>
      <c r="U1016" s="216"/>
      <c r="V1016" s="216"/>
      <c r="W1016" s="216"/>
      <c r="X1016" s="216"/>
      <c r="Y1016" s="216"/>
      <c r="Z1016" s="216"/>
    </row>
    <row r="1017" spans="1:26" ht="15" customHeight="1">
      <c r="A1017" s="134" t="s">
        <v>952</v>
      </c>
      <c r="B1017" s="133" t="s">
        <v>8972</v>
      </c>
      <c r="C1017" s="133" t="s">
        <v>8980</v>
      </c>
      <c r="D1017" s="100" t="s">
        <v>7778</v>
      </c>
      <c r="E1017" s="186">
        <f t="shared" ref="E1017:E1018" si="122">12/3</f>
        <v>4</v>
      </c>
      <c r="F1017" s="528">
        <f t="shared" si="120"/>
        <v>4</v>
      </c>
      <c r="G1017" s="338" t="s">
        <v>952</v>
      </c>
      <c r="H1017" s="216"/>
      <c r="I1017" s="216"/>
      <c r="J1017" s="216"/>
      <c r="K1017" s="216"/>
      <c r="L1017" s="216"/>
      <c r="M1017" s="216"/>
      <c r="N1017" s="216"/>
      <c r="O1017" s="216"/>
      <c r="P1017" s="216"/>
      <c r="Q1017" s="216"/>
      <c r="R1017" s="216"/>
      <c r="S1017" s="216"/>
      <c r="T1017" s="216"/>
      <c r="U1017" s="216"/>
      <c r="V1017" s="216"/>
      <c r="W1017" s="216"/>
      <c r="X1017" s="216"/>
      <c r="Y1017" s="216"/>
      <c r="Z1017" s="216"/>
    </row>
    <row r="1018" spans="1:26" ht="15" customHeight="1">
      <c r="A1018" s="134" t="s">
        <v>952</v>
      </c>
      <c r="B1018" s="133" t="s">
        <v>8972</v>
      </c>
      <c r="C1018" s="133" t="s">
        <v>8981</v>
      </c>
      <c r="D1018" s="100" t="s">
        <v>7778</v>
      </c>
      <c r="E1018" s="186">
        <f t="shared" si="122"/>
        <v>4</v>
      </c>
      <c r="F1018" s="528">
        <f t="shared" si="120"/>
        <v>4</v>
      </c>
      <c r="G1018" s="338" t="s">
        <v>952</v>
      </c>
      <c r="H1018" s="216"/>
      <c r="I1018" s="216"/>
      <c r="J1018" s="216"/>
      <c r="K1018" s="216"/>
      <c r="L1018" s="216"/>
      <c r="M1018" s="216"/>
      <c r="N1018" s="216"/>
      <c r="O1018" s="216"/>
      <c r="P1018" s="216"/>
      <c r="Q1018" s="216"/>
      <c r="R1018" s="216"/>
      <c r="S1018" s="216"/>
      <c r="T1018" s="216"/>
      <c r="U1018" s="216"/>
      <c r="V1018" s="216"/>
      <c r="W1018" s="216"/>
      <c r="X1018" s="216"/>
      <c r="Y1018" s="216"/>
      <c r="Z1018" s="216"/>
    </row>
    <row r="1019" spans="1:26" ht="15" customHeight="1">
      <c r="A1019" s="134" t="s">
        <v>952</v>
      </c>
      <c r="B1019" s="133" t="s">
        <v>8972</v>
      </c>
      <c r="C1019" s="133" t="s">
        <v>8982</v>
      </c>
      <c r="D1019" s="100" t="s">
        <v>7778</v>
      </c>
      <c r="E1019" s="528">
        <f>0.25*E1018</f>
        <v>1</v>
      </c>
      <c r="F1019" s="528">
        <f t="shared" si="120"/>
        <v>1</v>
      </c>
      <c r="G1019" s="338" t="s">
        <v>952</v>
      </c>
      <c r="H1019" s="216"/>
      <c r="I1019" s="216"/>
      <c r="J1019" s="216"/>
      <c r="K1019" s="216"/>
      <c r="L1019" s="216"/>
      <c r="M1019" s="216"/>
      <c r="N1019" s="216"/>
      <c r="O1019" s="216"/>
      <c r="P1019" s="216"/>
      <c r="Q1019" s="216"/>
      <c r="R1019" s="216"/>
      <c r="S1019" s="216"/>
      <c r="T1019" s="216"/>
      <c r="U1019" s="216"/>
      <c r="V1019" s="216"/>
      <c r="W1019" s="216"/>
      <c r="X1019" s="216"/>
      <c r="Y1019" s="216"/>
      <c r="Z1019" s="216"/>
    </row>
    <row r="1020" spans="1:26" ht="15" customHeight="1">
      <c r="A1020" s="134" t="s">
        <v>952</v>
      </c>
      <c r="B1020" s="133" t="s">
        <v>8972</v>
      </c>
      <c r="C1020" s="133" t="s">
        <v>8983</v>
      </c>
      <c r="D1020" s="100" t="s">
        <v>7778</v>
      </c>
      <c r="E1020" s="186">
        <f>0.1*E1018</f>
        <v>0.4</v>
      </c>
      <c r="F1020" s="528">
        <f t="shared" si="120"/>
        <v>0.4</v>
      </c>
      <c r="G1020" s="338" t="s">
        <v>952</v>
      </c>
      <c r="H1020" s="216"/>
      <c r="I1020" s="216"/>
      <c r="J1020" s="216"/>
      <c r="K1020" s="216"/>
      <c r="L1020" s="216"/>
      <c r="M1020" s="216"/>
      <c r="N1020" s="216"/>
      <c r="O1020" s="216"/>
      <c r="P1020" s="216"/>
      <c r="Q1020" s="216"/>
      <c r="R1020" s="216"/>
      <c r="S1020" s="216"/>
      <c r="T1020" s="216"/>
      <c r="U1020" s="216"/>
      <c r="V1020" s="216"/>
      <c r="W1020" s="216"/>
      <c r="X1020" s="216"/>
      <c r="Y1020" s="216"/>
      <c r="Z1020" s="216"/>
    </row>
    <row r="1021" spans="1:26" ht="15" customHeight="1">
      <c r="A1021" s="134" t="s">
        <v>952</v>
      </c>
      <c r="B1021" s="133" t="s">
        <v>8972</v>
      </c>
      <c r="C1021" s="133" t="s">
        <v>8984</v>
      </c>
      <c r="D1021" s="100" t="s">
        <v>7778</v>
      </c>
      <c r="E1021" s="186">
        <f>12/3</f>
        <v>4</v>
      </c>
      <c r="F1021" s="528">
        <f t="shared" si="120"/>
        <v>4</v>
      </c>
      <c r="G1021" s="338" t="s">
        <v>952</v>
      </c>
      <c r="H1021" s="216"/>
      <c r="I1021" s="216"/>
      <c r="J1021" s="216"/>
      <c r="K1021" s="216"/>
      <c r="L1021" s="216"/>
      <c r="M1021" s="216"/>
      <c r="N1021" s="216"/>
      <c r="O1021" s="216"/>
      <c r="P1021" s="216"/>
      <c r="Q1021" s="216"/>
      <c r="R1021" s="216"/>
      <c r="S1021" s="216"/>
      <c r="T1021" s="216"/>
      <c r="U1021" s="216"/>
      <c r="V1021" s="216"/>
      <c r="W1021" s="216"/>
      <c r="X1021" s="216"/>
      <c r="Y1021" s="216"/>
      <c r="Z1021" s="216"/>
    </row>
    <row r="1022" spans="1:26" ht="15" customHeight="1">
      <c r="A1022" s="134" t="s">
        <v>952</v>
      </c>
      <c r="B1022" s="133" t="s">
        <v>8972</v>
      </c>
      <c r="C1022" s="133" t="s">
        <v>8985</v>
      </c>
      <c r="D1022" s="100" t="s">
        <v>7778</v>
      </c>
      <c r="E1022" s="186">
        <f>14/3</f>
        <v>4.666666666666667</v>
      </c>
      <c r="F1022" s="528">
        <f t="shared" si="120"/>
        <v>4.666666666666667</v>
      </c>
      <c r="G1022" s="338" t="s">
        <v>952</v>
      </c>
      <c r="H1022" s="216"/>
      <c r="I1022" s="216"/>
      <c r="J1022" s="216"/>
      <c r="K1022" s="216"/>
      <c r="L1022" s="216"/>
      <c r="M1022" s="216"/>
      <c r="N1022" s="216"/>
      <c r="O1022" s="216"/>
      <c r="P1022" s="216"/>
      <c r="Q1022" s="216"/>
      <c r="R1022" s="216"/>
      <c r="S1022" s="216"/>
      <c r="T1022" s="216"/>
      <c r="U1022" s="216"/>
      <c r="V1022" s="216"/>
      <c r="W1022" s="216"/>
      <c r="X1022" s="216"/>
      <c r="Y1022" s="216"/>
      <c r="Z1022" s="216"/>
    </row>
    <row r="1023" spans="1:26" ht="15" customHeight="1">
      <c r="A1023" s="134" t="s">
        <v>952</v>
      </c>
      <c r="B1023" s="133" t="s">
        <v>8972</v>
      </c>
      <c r="C1023" s="133" t="s">
        <v>8986</v>
      </c>
      <c r="D1023" s="100" t="s">
        <v>7778</v>
      </c>
      <c r="E1023" s="186">
        <f>0.25*E1022</f>
        <v>1.1666666666666667</v>
      </c>
      <c r="F1023" s="528">
        <f t="shared" si="120"/>
        <v>1.1666666666666667</v>
      </c>
      <c r="G1023" s="338" t="s">
        <v>952</v>
      </c>
      <c r="H1023" s="216"/>
      <c r="I1023" s="216"/>
      <c r="J1023" s="216"/>
      <c r="K1023" s="216"/>
      <c r="L1023" s="216"/>
      <c r="M1023" s="216"/>
      <c r="N1023" s="216"/>
      <c r="O1023" s="216"/>
      <c r="P1023" s="216"/>
      <c r="Q1023" s="216"/>
      <c r="R1023" s="216"/>
      <c r="S1023" s="216"/>
      <c r="T1023" s="216"/>
      <c r="U1023" s="216"/>
      <c r="V1023" s="216"/>
      <c r="W1023" s="216"/>
      <c r="X1023" s="216"/>
      <c r="Y1023" s="216"/>
      <c r="Z1023" s="216"/>
    </row>
    <row r="1024" spans="1:26" ht="15" customHeight="1">
      <c r="A1024" s="134" t="s">
        <v>952</v>
      </c>
      <c r="B1024" s="133" t="s">
        <v>8972</v>
      </c>
      <c r="C1024" s="133" t="s">
        <v>8987</v>
      </c>
      <c r="D1024" s="100" t="s">
        <v>7778</v>
      </c>
      <c r="E1024" s="186">
        <f>0.1*E1022</f>
        <v>0.46666666666666673</v>
      </c>
      <c r="F1024" s="528">
        <f t="shared" si="120"/>
        <v>0.46666666666666673</v>
      </c>
      <c r="G1024" s="338" t="s">
        <v>952</v>
      </c>
      <c r="H1024" s="216"/>
      <c r="I1024" s="216"/>
      <c r="J1024" s="216"/>
      <c r="K1024" s="216"/>
      <c r="L1024" s="216"/>
      <c r="M1024" s="216"/>
      <c r="N1024" s="216"/>
      <c r="O1024" s="216"/>
      <c r="P1024" s="216"/>
      <c r="Q1024" s="216"/>
      <c r="R1024" s="216"/>
      <c r="S1024" s="216"/>
      <c r="T1024" s="216"/>
      <c r="U1024" s="216"/>
      <c r="V1024" s="216"/>
      <c r="W1024" s="216"/>
      <c r="X1024" s="216"/>
      <c r="Y1024" s="216"/>
      <c r="Z1024" s="216"/>
    </row>
    <row r="1025" spans="1:26" ht="15" customHeight="1">
      <c r="A1025" s="134" t="s">
        <v>952</v>
      </c>
      <c r="B1025" s="133" t="s">
        <v>8972</v>
      </c>
      <c r="C1025" s="133" t="s">
        <v>8988</v>
      </c>
      <c r="D1025" s="100" t="s">
        <v>7778</v>
      </c>
      <c r="E1025" s="186">
        <f>14/3</f>
        <v>4.666666666666667</v>
      </c>
      <c r="F1025" s="528">
        <f t="shared" si="120"/>
        <v>4.666666666666667</v>
      </c>
      <c r="G1025" s="338" t="s">
        <v>952</v>
      </c>
      <c r="H1025" s="216"/>
      <c r="I1025" s="216"/>
      <c r="J1025" s="216"/>
      <c r="K1025" s="216"/>
      <c r="L1025" s="216"/>
      <c r="M1025" s="216"/>
      <c r="N1025" s="216"/>
      <c r="O1025" s="216"/>
      <c r="P1025" s="216"/>
      <c r="Q1025" s="216"/>
      <c r="R1025" s="216"/>
      <c r="S1025" s="216"/>
      <c r="T1025" s="216"/>
      <c r="U1025" s="216"/>
      <c r="V1025" s="216"/>
      <c r="W1025" s="216"/>
      <c r="X1025" s="216"/>
      <c r="Y1025" s="216"/>
      <c r="Z1025" s="216"/>
    </row>
    <row r="1026" spans="1:26" ht="15" customHeight="1">
      <c r="A1026" s="134" t="s">
        <v>952</v>
      </c>
      <c r="B1026" s="133" t="s">
        <v>8972</v>
      </c>
      <c r="C1026" s="133" t="s">
        <v>8989</v>
      </c>
      <c r="D1026" s="100" t="s">
        <v>7778</v>
      </c>
      <c r="E1026" s="186">
        <f>12/3</f>
        <v>4</v>
      </c>
      <c r="F1026" s="528">
        <f t="shared" si="120"/>
        <v>4</v>
      </c>
      <c r="G1026" s="338" t="s">
        <v>952</v>
      </c>
      <c r="H1026" s="216"/>
      <c r="I1026" s="216"/>
      <c r="J1026" s="216"/>
      <c r="K1026" s="216"/>
      <c r="L1026" s="216"/>
      <c r="M1026" s="216"/>
      <c r="N1026" s="216"/>
      <c r="O1026" s="216"/>
      <c r="P1026" s="216"/>
      <c r="Q1026" s="216"/>
      <c r="R1026" s="216"/>
      <c r="S1026" s="216"/>
      <c r="T1026" s="216"/>
      <c r="U1026" s="216"/>
      <c r="V1026" s="216"/>
      <c r="W1026" s="216"/>
      <c r="X1026" s="216"/>
      <c r="Y1026" s="216"/>
      <c r="Z1026" s="216"/>
    </row>
    <row r="1027" spans="1:26" ht="15" customHeight="1">
      <c r="A1027" s="256" t="s">
        <v>952</v>
      </c>
      <c r="B1027" s="469" t="s">
        <v>8972</v>
      </c>
      <c r="C1027" s="469" t="s">
        <v>8990</v>
      </c>
      <c r="D1027" s="178" t="s">
        <v>7790</v>
      </c>
      <c r="E1027" s="907">
        <f t="shared" ref="E1027:F1027" si="123">0.5*48/3</f>
        <v>8</v>
      </c>
      <c r="F1027" s="907">
        <f t="shared" si="123"/>
        <v>8</v>
      </c>
      <c r="G1027" s="338" t="s">
        <v>952</v>
      </c>
      <c r="H1027" s="216"/>
      <c r="I1027" s="216"/>
      <c r="J1027" s="216"/>
      <c r="K1027" s="216"/>
      <c r="L1027" s="216"/>
      <c r="M1027" s="216"/>
      <c r="N1027" s="216"/>
      <c r="O1027" s="216"/>
      <c r="P1027" s="216"/>
      <c r="Q1027" s="216"/>
      <c r="R1027" s="216"/>
      <c r="S1027" s="216"/>
      <c r="T1027" s="216"/>
      <c r="U1027" s="216"/>
      <c r="V1027" s="216"/>
      <c r="W1027" s="216"/>
      <c r="X1027" s="216"/>
      <c r="Y1027" s="216"/>
      <c r="Z1027" s="216"/>
    </row>
    <row r="1028" spans="1:26" ht="15" customHeight="1">
      <c r="A1028" s="134" t="s">
        <v>952</v>
      </c>
      <c r="B1028" s="133" t="s">
        <v>8972</v>
      </c>
      <c r="C1028" s="133" t="s">
        <v>8991</v>
      </c>
      <c r="D1028" s="100" t="s">
        <v>7790</v>
      </c>
      <c r="E1028" s="186">
        <f t="shared" ref="E1028:F1028" si="124">0.5*0.25*48/3</f>
        <v>2</v>
      </c>
      <c r="F1028" s="186">
        <f t="shared" si="124"/>
        <v>2</v>
      </c>
      <c r="G1028" s="338" t="s">
        <v>952</v>
      </c>
      <c r="H1028" s="216"/>
      <c r="I1028" s="216"/>
      <c r="J1028" s="216"/>
      <c r="K1028" s="216"/>
      <c r="L1028" s="216"/>
      <c r="M1028" s="216"/>
      <c r="N1028" s="216"/>
      <c r="O1028" s="216"/>
      <c r="P1028" s="216"/>
      <c r="Q1028" s="216"/>
      <c r="R1028" s="216"/>
      <c r="S1028" s="216"/>
      <c r="T1028" s="216"/>
      <c r="U1028" s="216"/>
      <c r="V1028" s="216"/>
      <c r="W1028" s="216"/>
      <c r="X1028" s="216"/>
      <c r="Y1028" s="216"/>
      <c r="Z1028" s="216"/>
    </row>
    <row r="1029" spans="1:26" ht="15" customHeight="1">
      <c r="A1029" s="134" t="s">
        <v>952</v>
      </c>
      <c r="B1029" s="133" t="s">
        <v>8972</v>
      </c>
      <c r="C1029" s="133" t="s">
        <v>8992</v>
      </c>
      <c r="D1029" s="100" t="s">
        <v>7790</v>
      </c>
      <c r="E1029" s="186">
        <f t="shared" ref="E1029:F1029" si="125">0.1*0.5*48/3</f>
        <v>0.80000000000000016</v>
      </c>
      <c r="F1029" s="186">
        <f t="shared" si="125"/>
        <v>0.80000000000000016</v>
      </c>
      <c r="G1029" s="338" t="s">
        <v>952</v>
      </c>
      <c r="H1029" s="216"/>
      <c r="I1029" s="216"/>
      <c r="J1029" s="216"/>
      <c r="K1029" s="216"/>
      <c r="L1029" s="216"/>
      <c r="M1029" s="216"/>
      <c r="N1029" s="216"/>
      <c r="O1029" s="216"/>
      <c r="P1029" s="216"/>
      <c r="Q1029" s="216"/>
      <c r="R1029" s="216"/>
      <c r="S1029" s="216"/>
      <c r="T1029" s="216"/>
      <c r="U1029" s="216"/>
      <c r="V1029" s="216"/>
      <c r="W1029" s="216"/>
      <c r="X1029" s="216"/>
      <c r="Y1029" s="216"/>
      <c r="Z1029" s="216"/>
    </row>
    <row r="1030" spans="1:26" ht="15" customHeight="1">
      <c r="A1030" s="134" t="s">
        <v>952</v>
      </c>
      <c r="B1030" s="133" t="s">
        <v>8972</v>
      </c>
      <c r="C1030" s="133" t="s">
        <v>8993</v>
      </c>
      <c r="D1030" s="100" t="s">
        <v>7778</v>
      </c>
      <c r="E1030" s="186">
        <f>56/3*2</f>
        <v>37.333333333333336</v>
      </c>
      <c r="F1030" s="528">
        <f t="shared" ref="F1030:F1059" si="126">E1030</f>
        <v>37.333333333333336</v>
      </c>
      <c r="G1030" s="338" t="s">
        <v>952</v>
      </c>
      <c r="H1030" s="216"/>
      <c r="I1030" s="216"/>
      <c r="J1030" s="216"/>
      <c r="K1030" s="216"/>
      <c r="L1030" s="216"/>
      <c r="M1030" s="216"/>
      <c r="N1030" s="216"/>
      <c r="O1030" s="216"/>
      <c r="P1030" s="216"/>
      <c r="Q1030" s="216"/>
      <c r="R1030" s="216"/>
      <c r="S1030" s="216"/>
      <c r="T1030" s="216"/>
      <c r="U1030" s="216"/>
      <c r="V1030" s="216"/>
      <c r="W1030" s="216"/>
      <c r="X1030" s="216"/>
      <c r="Y1030" s="216"/>
      <c r="Z1030" s="216"/>
    </row>
    <row r="1031" spans="1:26" ht="15" customHeight="1">
      <c r="A1031" s="284" t="s">
        <v>952</v>
      </c>
      <c r="B1031" s="1151" t="s">
        <v>8972</v>
      </c>
      <c r="C1031" s="1151" t="s">
        <v>8994</v>
      </c>
      <c r="D1031" s="188" t="s">
        <v>7778</v>
      </c>
      <c r="E1031" s="942">
        <f>20/3*2</f>
        <v>13.333333333333334</v>
      </c>
      <c r="F1031" s="942">
        <f t="shared" si="126"/>
        <v>13.333333333333334</v>
      </c>
      <c r="G1031" s="338" t="s">
        <v>952</v>
      </c>
      <c r="H1031" s="216"/>
      <c r="I1031" s="216"/>
      <c r="J1031" s="216"/>
      <c r="K1031" s="216"/>
      <c r="L1031" s="216"/>
      <c r="M1031" s="216"/>
      <c r="N1031" s="216"/>
      <c r="O1031" s="216"/>
      <c r="P1031" s="216"/>
      <c r="Q1031" s="216"/>
      <c r="R1031" s="216"/>
      <c r="S1031" s="216"/>
      <c r="T1031" s="216"/>
      <c r="U1031" s="216"/>
      <c r="V1031" s="216"/>
      <c r="W1031" s="216"/>
      <c r="X1031" s="216"/>
      <c r="Y1031" s="216"/>
      <c r="Z1031" s="216"/>
    </row>
    <row r="1032" spans="1:26" ht="15" customHeight="1">
      <c r="A1032" s="134" t="s">
        <v>952</v>
      </c>
      <c r="B1032" s="133" t="s">
        <v>8972</v>
      </c>
      <c r="C1032" s="133" t="s">
        <v>8995</v>
      </c>
      <c r="D1032" s="100" t="s">
        <v>7778</v>
      </c>
      <c r="E1032" s="528">
        <f>3/3*2</f>
        <v>2</v>
      </c>
      <c r="F1032" s="528">
        <f t="shared" si="126"/>
        <v>2</v>
      </c>
      <c r="G1032" s="338" t="s">
        <v>952</v>
      </c>
      <c r="H1032" s="216"/>
      <c r="I1032" s="216"/>
      <c r="J1032" s="216"/>
      <c r="K1032" s="216"/>
      <c r="L1032" s="216"/>
      <c r="M1032" s="216"/>
      <c r="N1032" s="216"/>
      <c r="O1032" s="216"/>
      <c r="P1032" s="216"/>
      <c r="Q1032" s="216"/>
      <c r="R1032" s="216"/>
      <c r="S1032" s="216"/>
      <c r="T1032" s="216"/>
      <c r="U1032" s="216"/>
      <c r="V1032" s="216"/>
      <c r="W1032" s="216"/>
      <c r="X1032" s="216"/>
      <c r="Y1032" s="216"/>
      <c r="Z1032" s="216"/>
    </row>
    <row r="1033" spans="1:26" ht="15" customHeight="1">
      <c r="A1033" s="134" t="s">
        <v>952</v>
      </c>
      <c r="B1033" s="133" t="s">
        <v>8972</v>
      </c>
      <c r="C1033" s="133" t="s">
        <v>8996</v>
      </c>
      <c r="D1033" s="100"/>
      <c r="E1033" s="528">
        <f>(1/3)*3</f>
        <v>1</v>
      </c>
      <c r="F1033" s="528">
        <f t="shared" si="126"/>
        <v>1</v>
      </c>
      <c r="G1033" s="338" t="s">
        <v>952</v>
      </c>
      <c r="H1033" s="216"/>
      <c r="I1033" s="216"/>
      <c r="J1033" s="216"/>
      <c r="K1033" s="216"/>
      <c r="L1033" s="216"/>
      <c r="M1033" s="216"/>
      <c r="N1033" s="216"/>
      <c r="O1033" s="216"/>
      <c r="P1033" s="216"/>
      <c r="Q1033" s="216"/>
      <c r="R1033" s="216"/>
      <c r="S1033" s="216"/>
      <c r="T1033" s="216"/>
      <c r="U1033" s="216"/>
      <c r="V1033" s="216"/>
      <c r="W1033" s="216"/>
      <c r="X1033" s="216"/>
      <c r="Y1033" s="216"/>
      <c r="Z1033" s="216"/>
    </row>
    <row r="1034" spans="1:26" ht="15" customHeight="1">
      <c r="A1034" s="134" t="s">
        <v>952</v>
      </c>
      <c r="B1034" s="133" t="s">
        <v>8972</v>
      </c>
      <c r="C1034" s="133" t="s">
        <v>8997</v>
      </c>
      <c r="D1034" s="100" t="s">
        <v>7778</v>
      </c>
      <c r="E1034" s="528">
        <f>25/3*3</f>
        <v>25</v>
      </c>
      <c r="F1034" s="528">
        <f t="shared" si="126"/>
        <v>25</v>
      </c>
      <c r="G1034" s="338" t="s">
        <v>952</v>
      </c>
      <c r="H1034" s="216"/>
      <c r="I1034" s="216"/>
      <c r="J1034" s="216"/>
      <c r="K1034" s="216"/>
      <c r="L1034" s="216"/>
      <c r="M1034" s="216"/>
      <c r="N1034" s="216"/>
      <c r="O1034" s="216"/>
      <c r="P1034" s="216"/>
      <c r="Q1034" s="216"/>
      <c r="R1034" s="216"/>
      <c r="S1034" s="216"/>
      <c r="T1034" s="216"/>
      <c r="U1034" s="216"/>
      <c r="V1034" s="216"/>
      <c r="W1034" s="216"/>
      <c r="X1034" s="216"/>
      <c r="Y1034" s="216"/>
      <c r="Z1034" s="216"/>
    </row>
    <row r="1035" spans="1:26" ht="15" customHeight="1">
      <c r="A1035" s="134" t="s">
        <v>952</v>
      </c>
      <c r="B1035" s="133" t="s">
        <v>8972</v>
      </c>
      <c r="C1035" s="133" t="s">
        <v>8998</v>
      </c>
      <c r="D1035" s="100" t="s">
        <v>8999</v>
      </c>
      <c r="E1035" s="100">
        <f>41/3*2</f>
        <v>27.333333333333332</v>
      </c>
      <c r="F1035" s="528">
        <f t="shared" si="126"/>
        <v>27.333333333333332</v>
      </c>
      <c r="G1035" s="338" t="s">
        <v>952</v>
      </c>
      <c r="H1035" s="216"/>
      <c r="I1035" s="216"/>
      <c r="J1035" s="216"/>
      <c r="K1035" s="216"/>
      <c r="L1035" s="216"/>
      <c r="M1035" s="216"/>
      <c r="N1035" s="216"/>
      <c r="O1035" s="216"/>
      <c r="P1035" s="216"/>
      <c r="Q1035" s="216"/>
      <c r="R1035" s="216"/>
      <c r="S1035" s="216"/>
      <c r="T1035" s="216"/>
      <c r="U1035" s="216"/>
      <c r="V1035" s="216"/>
      <c r="W1035" s="216"/>
      <c r="X1035" s="216"/>
      <c r="Y1035" s="216"/>
      <c r="Z1035" s="216"/>
    </row>
    <row r="1036" spans="1:26" ht="15" customHeight="1">
      <c r="A1036" s="134" t="s">
        <v>952</v>
      </c>
      <c r="B1036" s="133" t="s">
        <v>8972</v>
      </c>
      <c r="C1036" s="133" t="s">
        <v>9000</v>
      </c>
      <c r="D1036" s="116" t="s">
        <v>8999</v>
      </c>
      <c r="E1036" s="528">
        <f>4/3*2</f>
        <v>2.6666666666666665</v>
      </c>
      <c r="F1036" s="528">
        <f t="shared" si="126"/>
        <v>2.6666666666666665</v>
      </c>
      <c r="G1036" s="338" t="s">
        <v>952</v>
      </c>
      <c r="H1036" s="216"/>
      <c r="I1036" s="216"/>
      <c r="J1036" s="216"/>
      <c r="K1036" s="216"/>
      <c r="L1036" s="216"/>
      <c r="M1036" s="216"/>
      <c r="N1036" s="216"/>
      <c r="O1036" s="216"/>
      <c r="P1036" s="216"/>
      <c r="Q1036" s="216"/>
      <c r="R1036" s="216"/>
      <c r="S1036" s="216"/>
      <c r="T1036" s="216"/>
      <c r="U1036" s="216"/>
      <c r="V1036" s="216"/>
      <c r="W1036" s="216"/>
      <c r="X1036" s="216"/>
      <c r="Y1036" s="216"/>
      <c r="Z1036" s="216"/>
    </row>
    <row r="1037" spans="1:26" ht="15" customHeight="1">
      <c r="A1037" s="134" t="s">
        <v>123</v>
      </c>
      <c r="B1037" s="133" t="s">
        <v>105</v>
      </c>
      <c r="C1037" s="1153" t="s">
        <v>9001</v>
      </c>
      <c r="D1037" s="116" t="s">
        <v>7778</v>
      </c>
      <c r="E1037" s="1082">
        <f>11/3</f>
        <v>3.6666666666666665</v>
      </c>
      <c r="F1037" s="483">
        <f t="shared" si="126"/>
        <v>3.6666666666666665</v>
      </c>
      <c r="G1037" s="338" t="s">
        <v>123</v>
      </c>
      <c r="H1037" s="216"/>
      <c r="I1037" s="216"/>
      <c r="J1037" s="216"/>
      <c r="K1037" s="216"/>
      <c r="L1037" s="216"/>
      <c r="M1037" s="216"/>
      <c r="N1037" s="216"/>
      <c r="O1037" s="216"/>
      <c r="P1037" s="216"/>
      <c r="Q1037" s="216"/>
      <c r="R1037" s="216"/>
      <c r="S1037" s="216"/>
      <c r="T1037" s="216"/>
      <c r="U1037" s="216"/>
      <c r="V1037" s="216"/>
      <c r="W1037" s="216"/>
      <c r="X1037" s="216"/>
      <c r="Y1037" s="216"/>
      <c r="Z1037" s="216"/>
    </row>
    <row r="1038" spans="1:26" ht="15" customHeight="1">
      <c r="A1038" s="134" t="s">
        <v>123</v>
      </c>
      <c r="B1038" s="133" t="s">
        <v>105</v>
      </c>
      <c r="C1038" s="1153" t="s">
        <v>9002</v>
      </c>
      <c r="D1038" s="116" t="s">
        <v>7778</v>
      </c>
      <c r="E1038" s="1082">
        <f>19/3</f>
        <v>6.333333333333333</v>
      </c>
      <c r="F1038" s="483">
        <f t="shared" si="126"/>
        <v>6.333333333333333</v>
      </c>
      <c r="G1038" s="338" t="s">
        <v>123</v>
      </c>
      <c r="H1038" s="216"/>
      <c r="I1038" s="216"/>
      <c r="J1038" s="216"/>
      <c r="K1038" s="216"/>
      <c r="L1038" s="216"/>
      <c r="M1038" s="216"/>
      <c r="N1038" s="216"/>
      <c r="O1038" s="216"/>
      <c r="P1038" s="216"/>
      <c r="Q1038" s="216"/>
      <c r="R1038" s="216"/>
      <c r="S1038" s="216"/>
      <c r="T1038" s="216"/>
      <c r="U1038" s="216"/>
      <c r="V1038" s="216"/>
      <c r="W1038" s="216"/>
      <c r="X1038" s="216"/>
      <c r="Y1038" s="216"/>
      <c r="Z1038" s="216"/>
    </row>
    <row r="1039" spans="1:26" ht="15" customHeight="1">
      <c r="A1039" s="134" t="s">
        <v>123</v>
      </c>
      <c r="B1039" s="133" t="s">
        <v>105</v>
      </c>
      <c r="C1039" s="1153" t="s">
        <v>9003</v>
      </c>
      <c r="D1039" s="116" t="s">
        <v>7778</v>
      </c>
      <c r="E1039" s="1082">
        <f t="shared" ref="E1039:E1047" si="127">11/3</f>
        <v>3.6666666666666665</v>
      </c>
      <c r="F1039" s="483">
        <f t="shared" si="126"/>
        <v>3.6666666666666665</v>
      </c>
      <c r="G1039" s="338" t="s">
        <v>123</v>
      </c>
      <c r="H1039" s="216"/>
      <c r="I1039" s="216"/>
      <c r="J1039" s="216"/>
      <c r="K1039" s="216"/>
      <c r="L1039" s="216"/>
      <c r="M1039" s="216"/>
      <c r="N1039" s="216"/>
      <c r="O1039" s="216"/>
      <c r="P1039" s="216"/>
      <c r="Q1039" s="216"/>
      <c r="R1039" s="216"/>
      <c r="S1039" s="216"/>
      <c r="T1039" s="216"/>
      <c r="U1039" s="216"/>
      <c r="V1039" s="216"/>
      <c r="W1039" s="216"/>
      <c r="X1039" s="216"/>
      <c r="Y1039" s="216"/>
      <c r="Z1039" s="216"/>
    </row>
    <row r="1040" spans="1:26" ht="15" customHeight="1">
      <c r="A1040" s="134" t="s">
        <v>123</v>
      </c>
      <c r="B1040" s="133" t="s">
        <v>105</v>
      </c>
      <c r="C1040" s="1153" t="s">
        <v>9004</v>
      </c>
      <c r="D1040" s="116" t="s">
        <v>7778</v>
      </c>
      <c r="E1040" s="1082">
        <f t="shared" si="127"/>
        <v>3.6666666666666665</v>
      </c>
      <c r="F1040" s="483">
        <f t="shared" si="126"/>
        <v>3.6666666666666665</v>
      </c>
      <c r="G1040" s="338" t="s">
        <v>123</v>
      </c>
      <c r="H1040" s="216"/>
      <c r="I1040" s="216"/>
      <c r="J1040" s="216"/>
      <c r="K1040" s="216"/>
      <c r="L1040" s="216"/>
      <c r="M1040" s="216"/>
      <c r="N1040" s="216"/>
      <c r="O1040" s="216"/>
      <c r="P1040" s="216"/>
      <c r="Q1040" s="216"/>
      <c r="R1040" s="216"/>
      <c r="S1040" s="216"/>
      <c r="T1040" s="216"/>
      <c r="U1040" s="216"/>
      <c r="V1040" s="216"/>
      <c r="W1040" s="216"/>
      <c r="X1040" s="216"/>
      <c r="Y1040" s="216"/>
      <c r="Z1040" s="216"/>
    </row>
    <row r="1041" spans="1:26" ht="15" customHeight="1">
      <c r="A1041" s="134" t="s">
        <v>123</v>
      </c>
      <c r="B1041" s="133" t="s">
        <v>105</v>
      </c>
      <c r="C1041" s="1153" t="s">
        <v>9005</v>
      </c>
      <c r="D1041" s="116" t="s">
        <v>7778</v>
      </c>
      <c r="E1041" s="1082">
        <f t="shared" si="127"/>
        <v>3.6666666666666665</v>
      </c>
      <c r="F1041" s="483">
        <f t="shared" si="126"/>
        <v>3.6666666666666665</v>
      </c>
      <c r="G1041" s="338" t="s">
        <v>123</v>
      </c>
      <c r="H1041" s="216"/>
      <c r="I1041" s="216"/>
      <c r="J1041" s="216"/>
      <c r="K1041" s="216"/>
      <c r="L1041" s="216"/>
      <c r="M1041" s="216"/>
      <c r="N1041" s="216"/>
      <c r="O1041" s="216"/>
      <c r="P1041" s="216"/>
      <c r="Q1041" s="216"/>
      <c r="R1041" s="216"/>
      <c r="S1041" s="216"/>
      <c r="T1041" s="216"/>
      <c r="U1041" s="216"/>
      <c r="V1041" s="216"/>
      <c r="W1041" s="216"/>
      <c r="X1041" s="216"/>
      <c r="Y1041" s="216"/>
      <c r="Z1041" s="216"/>
    </row>
    <row r="1042" spans="1:26" ht="15" customHeight="1">
      <c r="A1042" s="134" t="s">
        <v>123</v>
      </c>
      <c r="B1042" s="133" t="s">
        <v>105</v>
      </c>
      <c r="C1042" s="1153" t="s">
        <v>9006</v>
      </c>
      <c r="D1042" s="116" t="s">
        <v>7778</v>
      </c>
      <c r="E1042" s="1082">
        <f t="shared" si="127"/>
        <v>3.6666666666666665</v>
      </c>
      <c r="F1042" s="483">
        <f t="shared" si="126"/>
        <v>3.6666666666666665</v>
      </c>
      <c r="G1042" s="338" t="s">
        <v>123</v>
      </c>
      <c r="H1042" s="216"/>
      <c r="I1042" s="216"/>
      <c r="J1042" s="216"/>
      <c r="K1042" s="216"/>
      <c r="L1042" s="216"/>
      <c r="M1042" s="216"/>
      <c r="N1042" s="216"/>
      <c r="O1042" s="216"/>
      <c r="P1042" s="216"/>
      <c r="Q1042" s="216"/>
      <c r="R1042" s="216"/>
      <c r="S1042" s="216"/>
      <c r="T1042" s="216"/>
      <c r="U1042" s="216"/>
      <c r="V1042" s="216"/>
      <c r="W1042" s="216"/>
      <c r="X1042" s="216"/>
      <c r="Y1042" s="216"/>
      <c r="Z1042" s="216"/>
    </row>
    <row r="1043" spans="1:26" ht="15" customHeight="1">
      <c r="A1043" s="134" t="s">
        <v>123</v>
      </c>
      <c r="B1043" s="133" t="s">
        <v>105</v>
      </c>
      <c r="C1043" s="1153" t="s">
        <v>9007</v>
      </c>
      <c r="D1043" s="116" t="s">
        <v>7778</v>
      </c>
      <c r="E1043" s="1082">
        <f t="shared" si="127"/>
        <v>3.6666666666666665</v>
      </c>
      <c r="F1043" s="483">
        <f t="shared" si="126"/>
        <v>3.6666666666666665</v>
      </c>
      <c r="G1043" s="338" t="s">
        <v>123</v>
      </c>
      <c r="H1043" s="216"/>
      <c r="I1043" s="216"/>
      <c r="J1043" s="216"/>
      <c r="K1043" s="216"/>
      <c r="L1043" s="216"/>
      <c r="M1043" s="216"/>
      <c r="N1043" s="216"/>
      <c r="O1043" s="216"/>
      <c r="P1043" s="216"/>
      <c r="Q1043" s="216"/>
      <c r="R1043" s="216"/>
      <c r="S1043" s="216"/>
      <c r="T1043" s="216"/>
      <c r="U1043" s="216"/>
      <c r="V1043" s="216"/>
      <c r="W1043" s="216"/>
      <c r="X1043" s="216"/>
      <c r="Y1043" s="216"/>
      <c r="Z1043" s="216"/>
    </row>
    <row r="1044" spans="1:26" ht="15" customHeight="1">
      <c r="A1044" s="134" t="s">
        <v>123</v>
      </c>
      <c r="B1044" s="133" t="s">
        <v>105</v>
      </c>
      <c r="C1044" s="1153" t="s">
        <v>9008</v>
      </c>
      <c r="D1044" s="116" t="s">
        <v>7778</v>
      </c>
      <c r="E1044" s="1082">
        <f t="shared" si="127"/>
        <v>3.6666666666666665</v>
      </c>
      <c r="F1044" s="483">
        <f t="shared" si="126"/>
        <v>3.6666666666666665</v>
      </c>
      <c r="G1044" s="338" t="s">
        <v>123</v>
      </c>
      <c r="H1044" s="216"/>
      <c r="I1044" s="216"/>
      <c r="J1044" s="216"/>
      <c r="K1044" s="216"/>
      <c r="L1044" s="216"/>
      <c r="M1044" s="216"/>
      <c r="N1044" s="216"/>
      <c r="O1044" s="216"/>
      <c r="P1044" s="216"/>
      <c r="Q1044" s="216"/>
      <c r="R1044" s="216"/>
      <c r="S1044" s="216"/>
      <c r="T1044" s="216"/>
      <c r="U1044" s="216"/>
      <c r="V1044" s="216"/>
      <c r="W1044" s="216"/>
      <c r="X1044" s="216"/>
      <c r="Y1044" s="216"/>
      <c r="Z1044" s="216"/>
    </row>
    <row r="1045" spans="1:26" ht="15" customHeight="1">
      <c r="A1045" s="134" t="s">
        <v>123</v>
      </c>
      <c r="B1045" s="133" t="s">
        <v>105</v>
      </c>
      <c r="C1045" s="271" t="s">
        <v>9009</v>
      </c>
      <c r="D1045" s="116" t="s">
        <v>7778</v>
      </c>
      <c r="E1045" s="1082">
        <f t="shared" si="127"/>
        <v>3.6666666666666665</v>
      </c>
      <c r="F1045" s="483">
        <f t="shared" si="126"/>
        <v>3.6666666666666665</v>
      </c>
      <c r="G1045" s="338" t="s">
        <v>123</v>
      </c>
      <c r="H1045" s="216"/>
      <c r="I1045" s="216"/>
      <c r="J1045" s="216"/>
      <c r="K1045" s="216"/>
      <c r="L1045" s="216"/>
      <c r="M1045" s="216"/>
      <c r="N1045" s="216"/>
      <c r="O1045" s="216"/>
      <c r="P1045" s="216"/>
      <c r="Q1045" s="216"/>
      <c r="R1045" s="216"/>
      <c r="S1045" s="216"/>
      <c r="T1045" s="216"/>
      <c r="U1045" s="216"/>
      <c r="V1045" s="216"/>
      <c r="W1045" s="216"/>
      <c r="X1045" s="216"/>
      <c r="Y1045" s="216"/>
      <c r="Z1045" s="216"/>
    </row>
    <row r="1046" spans="1:26" ht="15" customHeight="1">
      <c r="A1046" s="134" t="s">
        <v>123</v>
      </c>
      <c r="B1046" s="133" t="s">
        <v>105</v>
      </c>
      <c r="C1046" s="271" t="s">
        <v>9010</v>
      </c>
      <c r="D1046" s="116" t="s">
        <v>7778</v>
      </c>
      <c r="E1046" s="1082">
        <f t="shared" si="127"/>
        <v>3.6666666666666665</v>
      </c>
      <c r="F1046" s="483">
        <f t="shared" si="126"/>
        <v>3.6666666666666665</v>
      </c>
      <c r="G1046" s="338" t="s">
        <v>123</v>
      </c>
      <c r="H1046" s="216"/>
      <c r="I1046" s="216"/>
      <c r="J1046" s="216"/>
      <c r="K1046" s="216"/>
      <c r="L1046" s="216"/>
      <c r="M1046" s="216"/>
      <c r="N1046" s="216"/>
      <c r="O1046" s="216"/>
      <c r="P1046" s="216"/>
      <c r="Q1046" s="216"/>
      <c r="R1046" s="216"/>
      <c r="S1046" s="216"/>
      <c r="T1046" s="216"/>
      <c r="U1046" s="216"/>
      <c r="V1046" s="216"/>
      <c r="W1046" s="216"/>
      <c r="X1046" s="216"/>
      <c r="Y1046" s="216"/>
      <c r="Z1046" s="216"/>
    </row>
    <row r="1047" spans="1:26" ht="15" customHeight="1">
      <c r="A1047" s="134" t="s">
        <v>123</v>
      </c>
      <c r="B1047" s="133" t="s">
        <v>105</v>
      </c>
      <c r="C1047" s="271" t="s">
        <v>9011</v>
      </c>
      <c r="D1047" s="116" t="s">
        <v>7778</v>
      </c>
      <c r="E1047" s="1082">
        <f t="shared" si="127"/>
        <v>3.6666666666666665</v>
      </c>
      <c r="F1047" s="34">
        <f t="shared" si="126"/>
        <v>3.6666666666666665</v>
      </c>
      <c r="G1047" s="338" t="s">
        <v>123</v>
      </c>
      <c r="H1047" s="216"/>
      <c r="I1047" s="216"/>
      <c r="J1047" s="216"/>
      <c r="K1047" s="216"/>
      <c r="L1047" s="216"/>
      <c r="M1047" s="216"/>
      <c r="N1047" s="216"/>
      <c r="O1047" s="216"/>
      <c r="P1047" s="216"/>
      <c r="Q1047" s="216"/>
      <c r="R1047" s="216"/>
      <c r="S1047" s="216"/>
      <c r="T1047" s="216"/>
      <c r="U1047" s="216"/>
      <c r="V1047" s="216"/>
      <c r="W1047" s="216"/>
      <c r="X1047" s="216"/>
      <c r="Y1047" s="216"/>
      <c r="Z1047" s="216"/>
    </row>
    <row r="1048" spans="1:26" ht="15" customHeight="1">
      <c r="A1048" s="134" t="s">
        <v>123</v>
      </c>
      <c r="B1048" s="133" t="s">
        <v>105</v>
      </c>
      <c r="C1048" s="271" t="s">
        <v>9012</v>
      </c>
      <c r="D1048" s="116" t="s">
        <v>7778</v>
      </c>
      <c r="E1048" s="1082">
        <f t="shared" ref="E1048:E1051" si="128">19/3</f>
        <v>6.333333333333333</v>
      </c>
      <c r="F1048" s="34">
        <f t="shared" si="126"/>
        <v>6.333333333333333</v>
      </c>
      <c r="G1048" s="338" t="s">
        <v>123</v>
      </c>
      <c r="H1048" s="216"/>
      <c r="I1048" s="216"/>
      <c r="J1048" s="216"/>
      <c r="K1048" s="216"/>
      <c r="L1048" s="216"/>
      <c r="M1048" s="216"/>
      <c r="N1048" s="216"/>
      <c r="O1048" s="216"/>
      <c r="P1048" s="216"/>
      <c r="Q1048" s="216"/>
      <c r="R1048" s="216"/>
      <c r="S1048" s="216"/>
      <c r="T1048" s="216"/>
      <c r="U1048" s="216"/>
      <c r="V1048" s="216"/>
      <c r="W1048" s="216"/>
      <c r="X1048" s="216"/>
      <c r="Y1048" s="216"/>
      <c r="Z1048" s="216"/>
    </row>
    <row r="1049" spans="1:26" ht="15" customHeight="1">
      <c r="A1049" s="134" t="s">
        <v>123</v>
      </c>
      <c r="B1049" s="133" t="s">
        <v>105</v>
      </c>
      <c r="C1049" s="271" t="s">
        <v>9013</v>
      </c>
      <c r="D1049" s="116" t="s">
        <v>7778</v>
      </c>
      <c r="E1049" s="1082">
        <f t="shared" si="128"/>
        <v>6.333333333333333</v>
      </c>
      <c r="F1049" s="34">
        <f t="shared" si="126"/>
        <v>6.333333333333333</v>
      </c>
      <c r="G1049" s="338" t="s">
        <v>123</v>
      </c>
      <c r="H1049" s="216"/>
      <c r="I1049" s="216"/>
      <c r="J1049" s="216"/>
      <c r="K1049" s="216"/>
      <c r="L1049" s="216"/>
      <c r="M1049" s="216"/>
      <c r="N1049" s="216"/>
      <c r="O1049" s="216"/>
      <c r="P1049" s="216"/>
      <c r="Q1049" s="216"/>
      <c r="R1049" s="216"/>
      <c r="S1049" s="216"/>
      <c r="T1049" s="216"/>
      <c r="U1049" s="216"/>
      <c r="V1049" s="216"/>
      <c r="W1049" s="216"/>
      <c r="X1049" s="216"/>
      <c r="Y1049" s="216"/>
      <c r="Z1049" s="216"/>
    </row>
    <row r="1050" spans="1:26" ht="15" customHeight="1">
      <c r="A1050" s="134" t="s">
        <v>123</v>
      </c>
      <c r="B1050" s="133" t="s">
        <v>105</v>
      </c>
      <c r="C1050" s="271" t="s">
        <v>9014</v>
      </c>
      <c r="D1050" s="116" t="s">
        <v>7778</v>
      </c>
      <c r="E1050" s="1082">
        <f t="shared" si="128"/>
        <v>6.333333333333333</v>
      </c>
      <c r="F1050" s="34">
        <f t="shared" si="126"/>
        <v>6.333333333333333</v>
      </c>
      <c r="G1050" s="338" t="s">
        <v>123</v>
      </c>
      <c r="H1050" s="216"/>
      <c r="I1050" s="216"/>
      <c r="J1050" s="216"/>
      <c r="K1050" s="216"/>
      <c r="L1050" s="216"/>
      <c r="M1050" s="216"/>
      <c r="N1050" s="216"/>
      <c r="O1050" s="216"/>
      <c r="P1050" s="216"/>
      <c r="Q1050" s="216"/>
      <c r="R1050" s="216"/>
      <c r="S1050" s="216"/>
      <c r="T1050" s="216"/>
      <c r="U1050" s="216"/>
      <c r="V1050" s="216"/>
      <c r="W1050" s="216"/>
      <c r="X1050" s="216"/>
      <c r="Y1050" s="216"/>
      <c r="Z1050" s="216"/>
    </row>
    <row r="1051" spans="1:26" ht="15" customHeight="1">
      <c r="A1051" s="134" t="s">
        <v>123</v>
      </c>
      <c r="B1051" s="133" t="s">
        <v>105</v>
      </c>
      <c r="C1051" s="271" t="s">
        <v>9015</v>
      </c>
      <c r="D1051" s="116" t="s">
        <v>7778</v>
      </c>
      <c r="E1051" s="1082">
        <f t="shared" si="128"/>
        <v>6.333333333333333</v>
      </c>
      <c r="F1051" s="1154">
        <f t="shared" si="126"/>
        <v>6.333333333333333</v>
      </c>
      <c r="G1051" s="338" t="s">
        <v>123</v>
      </c>
      <c r="H1051" s="216"/>
      <c r="I1051" s="216"/>
      <c r="J1051" s="216"/>
      <c r="K1051" s="216"/>
      <c r="L1051" s="216"/>
      <c r="M1051" s="216"/>
      <c r="N1051" s="216"/>
      <c r="O1051" s="216"/>
      <c r="P1051" s="216"/>
      <c r="Q1051" s="216"/>
      <c r="R1051" s="216"/>
      <c r="S1051" s="216"/>
      <c r="T1051" s="216"/>
      <c r="U1051" s="216"/>
      <c r="V1051" s="216"/>
      <c r="W1051" s="216"/>
      <c r="X1051" s="216"/>
      <c r="Y1051" s="216"/>
      <c r="Z1051" s="216"/>
    </row>
    <row r="1052" spans="1:26" ht="15" customHeight="1">
      <c r="A1052" s="134" t="s">
        <v>123</v>
      </c>
      <c r="B1052" s="469" t="s">
        <v>105</v>
      </c>
      <c r="C1052" s="1155" t="s">
        <v>9016</v>
      </c>
      <c r="D1052" s="259" t="s">
        <v>7778</v>
      </c>
      <c r="E1052" s="1156">
        <f>17/3</f>
        <v>5.666666666666667</v>
      </c>
      <c r="F1052" s="1157">
        <f t="shared" si="126"/>
        <v>5.666666666666667</v>
      </c>
      <c r="G1052" s="338" t="s">
        <v>123</v>
      </c>
      <c r="H1052" s="216"/>
      <c r="I1052" s="216"/>
      <c r="J1052" s="216"/>
      <c r="K1052" s="216"/>
      <c r="L1052" s="216"/>
      <c r="M1052" s="216"/>
      <c r="N1052" s="216"/>
      <c r="O1052" s="216"/>
      <c r="P1052" s="216"/>
      <c r="Q1052" s="216"/>
      <c r="R1052" s="216"/>
      <c r="S1052" s="216"/>
      <c r="T1052" s="216"/>
      <c r="U1052" s="216"/>
      <c r="V1052" s="216"/>
      <c r="W1052" s="216"/>
      <c r="X1052" s="216"/>
      <c r="Y1052" s="216"/>
      <c r="Z1052" s="216"/>
    </row>
    <row r="1053" spans="1:26" ht="15" customHeight="1">
      <c r="A1053" s="134" t="s">
        <v>123</v>
      </c>
      <c r="B1053" s="133" t="s">
        <v>105</v>
      </c>
      <c r="C1053" s="1153" t="s">
        <v>9017</v>
      </c>
      <c r="D1053" s="116" t="s">
        <v>7778</v>
      </c>
      <c r="E1053" s="1082">
        <f t="shared" ref="E1053:E1054" si="129">7/3</f>
        <v>2.3333333333333335</v>
      </c>
      <c r="F1053" s="483">
        <f t="shared" si="126"/>
        <v>2.3333333333333335</v>
      </c>
      <c r="G1053" s="338" t="s">
        <v>123</v>
      </c>
      <c r="H1053" s="216"/>
      <c r="I1053" s="216"/>
      <c r="J1053" s="216"/>
      <c r="K1053" s="216"/>
      <c r="L1053" s="216"/>
      <c r="M1053" s="216"/>
      <c r="N1053" s="216"/>
      <c r="O1053" s="216"/>
      <c r="P1053" s="216"/>
      <c r="Q1053" s="216"/>
      <c r="R1053" s="216"/>
      <c r="S1053" s="216"/>
      <c r="T1053" s="216"/>
      <c r="U1053" s="216"/>
      <c r="V1053" s="216"/>
      <c r="W1053" s="216"/>
      <c r="X1053" s="216"/>
      <c r="Y1053" s="216"/>
      <c r="Z1053" s="216"/>
    </row>
    <row r="1054" spans="1:26" ht="15" customHeight="1">
      <c r="A1054" s="134" t="s">
        <v>123</v>
      </c>
      <c r="B1054" s="133" t="s">
        <v>105</v>
      </c>
      <c r="C1054" s="1153" t="s">
        <v>9018</v>
      </c>
      <c r="D1054" s="116" t="s">
        <v>7778</v>
      </c>
      <c r="E1054" s="1082">
        <f t="shared" si="129"/>
        <v>2.3333333333333335</v>
      </c>
      <c r="F1054" s="483">
        <f t="shared" si="126"/>
        <v>2.3333333333333335</v>
      </c>
      <c r="G1054" s="338" t="s">
        <v>123</v>
      </c>
      <c r="H1054" s="216"/>
      <c r="I1054" s="216"/>
      <c r="J1054" s="216"/>
      <c r="K1054" s="216"/>
      <c r="L1054" s="216"/>
      <c r="M1054" s="216"/>
      <c r="N1054" s="216"/>
      <c r="O1054" s="216"/>
      <c r="P1054" s="216"/>
      <c r="Q1054" s="216"/>
      <c r="R1054" s="216"/>
      <c r="S1054" s="216"/>
      <c r="T1054" s="216"/>
      <c r="U1054" s="216"/>
      <c r="V1054" s="216"/>
      <c r="W1054" s="216"/>
      <c r="X1054" s="216"/>
      <c r="Y1054" s="216"/>
      <c r="Z1054" s="216"/>
    </row>
    <row r="1055" spans="1:26" ht="15" customHeight="1">
      <c r="A1055" s="134" t="s">
        <v>123</v>
      </c>
      <c r="B1055" s="586" t="s">
        <v>105</v>
      </c>
      <c r="C1055" s="271" t="s">
        <v>9019</v>
      </c>
      <c r="D1055" s="1158" t="s">
        <v>7778</v>
      </c>
      <c r="E1055" s="1082">
        <f>1/3</f>
        <v>0.33333333333333331</v>
      </c>
      <c r="F1055" s="483">
        <f t="shared" si="126"/>
        <v>0.33333333333333331</v>
      </c>
      <c r="G1055" s="338" t="s">
        <v>123</v>
      </c>
      <c r="H1055" s="216"/>
      <c r="I1055" s="216"/>
      <c r="J1055" s="216"/>
      <c r="K1055" s="216"/>
      <c r="L1055" s="216"/>
      <c r="M1055" s="216"/>
      <c r="N1055" s="216"/>
      <c r="O1055" s="216"/>
      <c r="P1055" s="216"/>
      <c r="Q1055" s="216"/>
      <c r="R1055" s="216"/>
      <c r="S1055" s="216"/>
      <c r="T1055" s="216"/>
      <c r="U1055" s="216"/>
      <c r="V1055" s="216"/>
      <c r="W1055" s="216"/>
      <c r="X1055" s="216"/>
      <c r="Y1055" s="216"/>
      <c r="Z1055" s="216"/>
    </row>
    <row r="1056" spans="1:26" ht="15" customHeight="1">
      <c r="A1056" s="134" t="s">
        <v>123</v>
      </c>
      <c r="B1056" s="275" t="s">
        <v>105</v>
      </c>
      <c r="C1056" s="271" t="s">
        <v>9020</v>
      </c>
      <c r="D1056" s="249" t="s">
        <v>7778</v>
      </c>
      <c r="E1056" s="1156">
        <f>4/3</f>
        <v>1.3333333333333333</v>
      </c>
      <c r="F1056" s="1157">
        <f t="shared" si="126"/>
        <v>1.3333333333333333</v>
      </c>
      <c r="G1056" s="338" t="s">
        <v>123</v>
      </c>
      <c r="H1056" s="216"/>
      <c r="I1056" s="216"/>
      <c r="J1056" s="216"/>
      <c r="K1056" s="216"/>
      <c r="L1056" s="216"/>
      <c r="M1056" s="216"/>
      <c r="N1056" s="216"/>
      <c r="O1056" s="216"/>
      <c r="P1056" s="216"/>
      <c r="Q1056" s="216"/>
      <c r="R1056" s="216"/>
      <c r="S1056" s="216"/>
      <c r="T1056" s="216"/>
      <c r="U1056" s="216"/>
      <c r="V1056" s="216"/>
      <c r="W1056" s="216"/>
      <c r="X1056" s="216"/>
      <c r="Y1056" s="216"/>
      <c r="Z1056" s="216"/>
    </row>
    <row r="1057" spans="1:26" ht="15" customHeight="1">
      <c r="A1057" s="134" t="s">
        <v>123</v>
      </c>
      <c r="B1057" s="586" t="s">
        <v>105</v>
      </c>
      <c r="C1057" s="271" t="s">
        <v>9021</v>
      </c>
      <c r="D1057" s="1158" t="s">
        <v>7778</v>
      </c>
      <c r="E1057" s="1082">
        <f>8/3</f>
        <v>2.6666666666666665</v>
      </c>
      <c r="F1057" s="483">
        <f t="shared" si="126"/>
        <v>2.6666666666666665</v>
      </c>
      <c r="G1057" s="338" t="s">
        <v>123</v>
      </c>
      <c r="H1057" s="216"/>
      <c r="I1057" s="216"/>
      <c r="J1057" s="216"/>
      <c r="K1057" s="216"/>
      <c r="L1057" s="216"/>
      <c r="M1057" s="216"/>
      <c r="N1057" s="216"/>
      <c r="O1057" s="216"/>
      <c r="P1057" s="216"/>
      <c r="Q1057" s="216"/>
      <c r="R1057" s="216"/>
      <c r="S1057" s="216"/>
      <c r="T1057" s="216"/>
      <c r="U1057" s="216"/>
      <c r="V1057" s="216"/>
      <c r="W1057" s="216"/>
      <c r="X1057" s="216"/>
      <c r="Y1057" s="216"/>
      <c r="Z1057" s="216"/>
    </row>
    <row r="1058" spans="1:26" ht="15" customHeight="1">
      <c r="A1058" s="134" t="s">
        <v>123</v>
      </c>
      <c r="B1058" s="1159" t="s">
        <v>105</v>
      </c>
      <c r="C1058" s="133" t="s">
        <v>9022</v>
      </c>
      <c r="D1058" s="1160" t="s">
        <v>7778</v>
      </c>
      <c r="E1058" s="1142">
        <f>17/3*2</f>
        <v>11.333333333333334</v>
      </c>
      <c r="F1058" s="1142">
        <f t="shared" si="126"/>
        <v>11.333333333333334</v>
      </c>
      <c r="G1058" s="338" t="s">
        <v>123</v>
      </c>
      <c r="H1058" s="216"/>
      <c r="I1058" s="216"/>
      <c r="J1058" s="216"/>
      <c r="K1058" s="216"/>
      <c r="L1058" s="216"/>
      <c r="M1058" s="216"/>
      <c r="N1058" s="216"/>
      <c r="O1058" s="216"/>
      <c r="P1058" s="216"/>
      <c r="Q1058" s="216"/>
      <c r="R1058" s="216"/>
      <c r="S1058" s="216"/>
      <c r="T1058" s="216"/>
      <c r="U1058" s="216"/>
      <c r="V1058" s="216"/>
      <c r="W1058" s="216"/>
      <c r="X1058" s="216"/>
      <c r="Y1058" s="216"/>
      <c r="Z1058" s="216"/>
    </row>
    <row r="1059" spans="1:26" ht="15" customHeight="1">
      <c r="A1059" s="134" t="s">
        <v>123</v>
      </c>
      <c r="B1059" s="133" t="s">
        <v>105</v>
      </c>
      <c r="C1059" s="1151" t="s">
        <v>9023</v>
      </c>
      <c r="D1059" s="116" t="s">
        <v>7778</v>
      </c>
      <c r="E1059" s="483">
        <f>19/3*2</f>
        <v>12.666666666666666</v>
      </c>
      <c r="F1059" s="483">
        <f t="shared" si="126"/>
        <v>12.666666666666666</v>
      </c>
      <c r="G1059" s="338" t="s">
        <v>123</v>
      </c>
      <c r="H1059" s="216"/>
      <c r="I1059" s="216"/>
      <c r="J1059" s="216"/>
      <c r="K1059" s="216"/>
      <c r="L1059" s="216"/>
      <c r="M1059" s="216"/>
      <c r="N1059" s="216"/>
      <c r="O1059" s="216"/>
      <c r="P1059" s="216"/>
      <c r="Q1059" s="216"/>
      <c r="R1059" s="216"/>
      <c r="S1059" s="216"/>
      <c r="T1059" s="216"/>
      <c r="U1059" s="216"/>
      <c r="V1059" s="216"/>
      <c r="W1059" s="216"/>
      <c r="X1059" s="216"/>
      <c r="Y1059" s="216"/>
      <c r="Z1059" s="216"/>
    </row>
    <row r="1060" spans="1:26" ht="15" customHeight="1">
      <c r="A1060" s="134" t="s">
        <v>6722</v>
      </c>
      <c r="B1060" s="133" t="s">
        <v>105</v>
      </c>
      <c r="C1060" s="133" t="s">
        <v>9024</v>
      </c>
      <c r="D1060" s="116" t="s">
        <v>7778</v>
      </c>
      <c r="E1060" s="528">
        <v>2.33</v>
      </c>
      <c r="F1060" s="528">
        <v>2.33</v>
      </c>
      <c r="G1060" s="338" t="s">
        <v>104</v>
      </c>
      <c r="H1060" s="216"/>
      <c r="I1060" s="216"/>
      <c r="J1060" s="216"/>
      <c r="K1060" s="216"/>
      <c r="L1060" s="216"/>
      <c r="M1060" s="216"/>
      <c r="N1060" s="216"/>
      <c r="O1060" s="216"/>
      <c r="P1060" s="216"/>
      <c r="Q1060" s="216"/>
      <c r="R1060" s="216"/>
      <c r="S1060" s="216"/>
      <c r="T1060" s="216"/>
      <c r="U1060" s="216"/>
      <c r="V1060" s="216"/>
      <c r="W1060" s="216"/>
      <c r="X1060" s="216"/>
      <c r="Y1060" s="216"/>
      <c r="Z1060" s="216"/>
    </row>
    <row r="1061" spans="1:26" ht="15" customHeight="1">
      <c r="A1061" s="134" t="s">
        <v>6722</v>
      </c>
      <c r="B1061" s="133" t="s">
        <v>105</v>
      </c>
      <c r="C1061" s="133" t="s">
        <v>9025</v>
      </c>
      <c r="D1061" s="116" t="s">
        <v>7778</v>
      </c>
      <c r="E1061" s="528">
        <v>2.33</v>
      </c>
      <c r="F1061" s="528">
        <v>2.33</v>
      </c>
      <c r="G1061" s="338" t="s">
        <v>104</v>
      </c>
      <c r="H1061" s="216"/>
      <c r="I1061" s="216"/>
      <c r="J1061" s="216"/>
      <c r="K1061" s="216"/>
      <c r="L1061" s="216"/>
      <c r="M1061" s="216"/>
      <c r="N1061" s="216"/>
      <c r="O1061" s="216"/>
      <c r="P1061" s="216"/>
      <c r="Q1061" s="216"/>
      <c r="R1061" s="216"/>
      <c r="S1061" s="216"/>
      <c r="T1061" s="216"/>
      <c r="U1061" s="216"/>
      <c r="V1061" s="216"/>
      <c r="W1061" s="216"/>
      <c r="X1061" s="216"/>
      <c r="Y1061" s="216"/>
      <c r="Z1061" s="216"/>
    </row>
    <row r="1062" spans="1:26" ht="15" customHeight="1">
      <c r="A1062" s="134" t="s">
        <v>6722</v>
      </c>
      <c r="B1062" s="133" t="s">
        <v>105</v>
      </c>
      <c r="C1062" s="133" t="s">
        <v>9026</v>
      </c>
      <c r="D1062" s="116" t="s">
        <v>7778</v>
      </c>
      <c r="E1062" s="528">
        <v>2.66</v>
      </c>
      <c r="F1062" s="528">
        <v>2.66</v>
      </c>
      <c r="G1062" s="338" t="s">
        <v>104</v>
      </c>
      <c r="H1062" s="216"/>
      <c r="I1062" s="216"/>
      <c r="J1062" s="216"/>
      <c r="K1062" s="216"/>
      <c r="L1062" s="216"/>
      <c r="M1062" s="216"/>
      <c r="N1062" s="216"/>
      <c r="O1062" s="216"/>
      <c r="P1062" s="216"/>
      <c r="Q1062" s="216"/>
      <c r="R1062" s="216"/>
      <c r="S1062" s="216"/>
      <c r="T1062" s="216"/>
      <c r="U1062" s="216"/>
      <c r="V1062" s="216"/>
      <c r="W1062" s="216"/>
      <c r="X1062" s="216"/>
      <c r="Y1062" s="216"/>
      <c r="Z1062" s="216"/>
    </row>
    <row r="1063" spans="1:26" ht="15" customHeight="1">
      <c r="A1063" s="134" t="s">
        <v>6722</v>
      </c>
      <c r="B1063" s="133" t="s">
        <v>105</v>
      </c>
      <c r="C1063" s="133" t="s">
        <v>9027</v>
      </c>
      <c r="D1063" s="116" t="s">
        <v>7778</v>
      </c>
      <c r="E1063" s="528">
        <v>2.66</v>
      </c>
      <c r="F1063" s="528">
        <v>2.66</v>
      </c>
      <c r="G1063" s="338" t="s">
        <v>104</v>
      </c>
      <c r="H1063" s="216"/>
      <c r="I1063" s="216"/>
      <c r="J1063" s="216"/>
      <c r="K1063" s="216"/>
      <c r="L1063" s="216"/>
      <c r="M1063" s="216"/>
      <c r="N1063" s="216"/>
      <c r="O1063" s="216"/>
      <c r="P1063" s="216"/>
      <c r="Q1063" s="216"/>
      <c r="R1063" s="216"/>
      <c r="S1063" s="216"/>
      <c r="T1063" s="216"/>
      <c r="U1063" s="216"/>
      <c r="V1063" s="216"/>
      <c r="W1063" s="216"/>
      <c r="X1063" s="216"/>
      <c r="Y1063" s="216"/>
      <c r="Z1063" s="216"/>
    </row>
    <row r="1064" spans="1:26" ht="15" customHeight="1">
      <c r="A1064" s="134" t="s">
        <v>6722</v>
      </c>
      <c r="B1064" s="133" t="s">
        <v>105</v>
      </c>
      <c r="C1064" s="133" t="s">
        <v>9028</v>
      </c>
      <c r="D1064" s="116" t="s">
        <v>7778</v>
      </c>
      <c r="E1064" s="528">
        <v>5</v>
      </c>
      <c r="F1064" s="528">
        <v>5</v>
      </c>
      <c r="G1064" s="338" t="s">
        <v>104</v>
      </c>
      <c r="H1064" s="216"/>
      <c r="I1064" s="216"/>
      <c r="J1064" s="216"/>
      <c r="K1064" s="216"/>
      <c r="L1064" s="216"/>
      <c r="M1064" s="216"/>
      <c r="N1064" s="216"/>
      <c r="O1064" s="216"/>
      <c r="P1064" s="216"/>
      <c r="Q1064" s="216"/>
      <c r="R1064" s="216"/>
      <c r="S1064" s="216"/>
      <c r="T1064" s="216"/>
      <c r="U1064" s="216"/>
      <c r="V1064" s="216"/>
      <c r="W1064" s="216"/>
      <c r="X1064" s="216"/>
      <c r="Y1064" s="216"/>
      <c r="Z1064" s="216"/>
    </row>
    <row r="1065" spans="1:26" ht="15" customHeight="1">
      <c r="A1065" s="134" t="s">
        <v>6722</v>
      </c>
      <c r="B1065" s="133" t="s">
        <v>105</v>
      </c>
      <c r="C1065" s="133" t="s">
        <v>9028</v>
      </c>
      <c r="D1065" s="116" t="s">
        <v>7778</v>
      </c>
      <c r="E1065" s="528">
        <v>5</v>
      </c>
      <c r="F1065" s="528">
        <v>5</v>
      </c>
      <c r="G1065" s="338" t="s">
        <v>104</v>
      </c>
      <c r="H1065" s="216"/>
      <c r="I1065" s="216"/>
      <c r="J1065" s="216"/>
      <c r="K1065" s="216"/>
      <c r="L1065" s="216"/>
      <c r="M1065" s="216"/>
      <c r="N1065" s="216"/>
      <c r="O1065" s="216"/>
      <c r="P1065" s="216"/>
      <c r="Q1065" s="216"/>
      <c r="R1065" s="216"/>
      <c r="S1065" s="216"/>
      <c r="T1065" s="216"/>
      <c r="U1065" s="216"/>
      <c r="V1065" s="216"/>
      <c r="W1065" s="216"/>
      <c r="X1065" s="216"/>
      <c r="Y1065" s="216"/>
      <c r="Z1065" s="216"/>
    </row>
    <row r="1066" spans="1:26" ht="15" customHeight="1">
      <c r="A1066" s="134" t="s">
        <v>6722</v>
      </c>
      <c r="B1066" s="133" t="s">
        <v>105</v>
      </c>
      <c r="C1066" s="133" t="s">
        <v>9029</v>
      </c>
      <c r="D1066" s="116" t="s">
        <v>7778</v>
      </c>
      <c r="E1066" s="528">
        <f>20/3*2</f>
        <v>13.333333333333334</v>
      </c>
      <c r="F1066" s="528">
        <f t="shared" ref="F1066:F1069" si="130">E1066</f>
        <v>13.333333333333334</v>
      </c>
      <c r="G1066" s="338" t="s">
        <v>104</v>
      </c>
      <c r="H1066" s="216"/>
      <c r="I1066" s="216"/>
      <c r="J1066" s="216"/>
      <c r="K1066" s="216"/>
      <c r="L1066" s="216"/>
      <c r="M1066" s="216"/>
      <c r="N1066" s="216"/>
      <c r="O1066" s="216"/>
      <c r="P1066" s="216"/>
      <c r="Q1066" s="216"/>
      <c r="R1066" s="216"/>
      <c r="S1066" s="216"/>
      <c r="T1066" s="216"/>
      <c r="U1066" s="216"/>
      <c r="V1066" s="216"/>
      <c r="W1066" s="216"/>
      <c r="X1066" s="216"/>
      <c r="Y1066" s="216"/>
      <c r="Z1066" s="216"/>
    </row>
    <row r="1067" spans="1:26" ht="15" customHeight="1">
      <c r="A1067" s="134" t="s">
        <v>6722</v>
      </c>
      <c r="B1067" s="133" t="s">
        <v>105</v>
      </c>
      <c r="C1067" s="133" t="s">
        <v>9030</v>
      </c>
      <c r="D1067" s="116" t="s">
        <v>7778</v>
      </c>
      <c r="E1067" s="528">
        <f>48/3*2</f>
        <v>32</v>
      </c>
      <c r="F1067" s="528">
        <f t="shared" si="130"/>
        <v>32</v>
      </c>
      <c r="G1067" s="338" t="s">
        <v>104</v>
      </c>
      <c r="H1067" s="216"/>
      <c r="I1067" s="216"/>
      <c r="J1067" s="216"/>
      <c r="K1067" s="216"/>
      <c r="L1067" s="216"/>
      <c r="M1067" s="216"/>
      <c r="N1067" s="216"/>
      <c r="O1067" s="216"/>
      <c r="P1067" s="216"/>
      <c r="Q1067" s="216"/>
      <c r="R1067" s="216"/>
      <c r="S1067" s="216"/>
      <c r="T1067" s="216"/>
      <c r="U1067" s="216"/>
      <c r="V1067" s="216"/>
      <c r="W1067" s="216"/>
      <c r="X1067" s="216"/>
      <c r="Y1067" s="216"/>
      <c r="Z1067" s="216"/>
    </row>
    <row r="1068" spans="1:26" ht="15" customHeight="1">
      <c r="A1068" s="134" t="s">
        <v>6722</v>
      </c>
      <c r="B1068" s="133" t="s">
        <v>105</v>
      </c>
      <c r="C1068" s="133" t="s">
        <v>9031</v>
      </c>
      <c r="D1068" s="116" t="s">
        <v>7778</v>
      </c>
      <c r="E1068" s="528">
        <f>24/3*3</f>
        <v>24</v>
      </c>
      <c r="F1068" s="528">
        <f t="shared" si="130"/>
        <v>24</v>
      </c>
      <c r="G1068" s="338" t="s">
        <v>104</v>
      </c>
      <c r="H1068" s="216"/>
      <c r="I1068" s="216"/>
      <c r="J1068" s="216"/>
      <c r="K1068" s="216"/>
      <c r="L1068" s="216"/>
      <c r="M1068" s="216"/>
      <c r="N1068" s="216"/>
      <c r="O1068" s="216"/>
      <c r="P1068" s="216"/>
      <c r="Q1068" s="216"/>
      <c r="R1068" s="216"/>
      <c r="S1068" s="216"/>
      <c r="T1068" s="216"/>
      <c r="U1068" s="216"/>
      <c r="V1068" s="216"/>
      <c r="W1068" s="216"/>
      <c r="X1068" s="216"/>
      <c r="Y1068" s="216"/>
      <c r="Z1068" s="216"/>
    </row>
    <row r="1069" spans="1:26" ht="15" customHeight="1">
      <c r="A1069" s="134" t="s">
        <v>6722</v>
      </c>
      <c r="B1069" s="133" t="s">
        <v>105</v>
      </c>
      <c r="C1069" s="133" t="s">
        <v>9032</v>
      </c>
      <c r="D1069" s="116" t="s">
        <v>7778</v>
      </c>
      <c r="E1069" s="528">
        <f>14/3*3</f>
        <v>14</v>
      </c>
      <c r="F1069" s="528">
        <f t="shared" si="130"/>
        <v>14</v>
      </c>
      <c r="G1069" s="338" t="s">
        <v>104</v>
      </c>
      <c r="H1069" s="216"/>
      <c r="I1069" s="216"/>
      <c r="J1069" s="216"/>
      <c r="K1069" s="216"/>
      <c r="L1069" s="216"/>
      <c r="M1069" s="216"/>
      <c r="N1069" s="216"/>
      <c r="O1069" s="216"/>
      <c r="P1069" s="216"/>
      <c r="Q1069" s="216"/>
      <c r="R1069" s="216"/>
      <c r="S1069" s="216"/>
      <c r="T1069" s="216"/>
      <c r="U1069" s="216"/>
      <c r="V1069" s="216"/>
      <c r="W1069" s="216"/>
      <c r="X1069" s="216"/>
      <c r="Y1069" s="216"/>
      <c r="Z1069" s="216"/>
    </row>
    <row r="1070" spans="1:26" ht="15" customHeight="1">
      <c r="A1070" s="134" t="s">
        <v>6722</v>
      </c>
      <c r="B1070" s="133" t="s">
        <v>105</v>
      </c>
      <c r="C1070" s="133" t="s">
        <v>9033</v>
      </c>
      <c r="D1070" s="116" t="s">
        <v>7778</v>
      </c>
      <c r="E1070" s="528">
        <v>9</v>
      </c>
      <c r="F1070" s="528">
        <v>9</v>
      </c>
      <c r="G1070" s="338" t="s">
        <v>104</v>
      </c>
      <c r="H1070" s="216"/>
      <c r="I1070" s="216"/>
      <c r="J1070" s="216"/>
      <c r="K1070" s="216"/>
      <c r="L1070" s="216"/>
      <c r="M1070" s="216"/>
      <c r="N1070" s="216"/>
      <c r="O1070" s="216"/>
      <c r="P1070" s="216"/>
      <c r="Q1070" s="216"/>
      <c r="R1070" s="216"/>
      <c r="S1070" s="216"/>
      <c r="T1070" s="216"/>
      <c r="U1070" s="216"/>
      <c r="V1070" s="216"/>
      <c r="W1070" s="216"/>
      <c r="X1070" s="216"/>
      <c r="Y1070" s="216"/>
      <c r="Z1070" s="216"/>
    </row>
    <row r="1071" spans="1:26" ht="15" customHeight="1">
      <c r="A1071" s="134" t="s">
        <v>132</v>
      </c>
      <c r="B1071" s="133" t="s">
        <v>8972</v>
      </c>
      <c r="C1071" s="133" t="s">
        <v>9034</v>
      </c>
      <c r="D1071" s="116" t="s">
        <v>7778</v>
      </c>
      <c r="E1071" s="528">
        <f t="shared" ref="E1071:E1076" si="131">12/3</f>
        <v>4</v>
      </c>
      <c r="F1071" s="528">
        <f t="shared" ref="F1071:F1083" si="132">E1071</f>
        <v>4</v>
      </c>
      <c r="G1071" s="338" t="s">
        <v>132</v>
      </c>
      <c r="H1071" s="216"/>
      <c r="I1071" s="216"/>
      <c r="J1071" s="216"/>
      <c r="K1071" s="216"/>
      <c r="L1071" s="216"/>
      <c r="M1071" s="216"/>
      <c r="N1071" s="216"/>
      <c r="O1071" s="216"/>
      <c r="P1071" s="216"/>
      <c r="Q1071" s="216"/>
      <c r="R1071" s="216"/>
      <c r="S1071" s="216"/>
      <c r="T1071" s="216"/>
      <c r="U1071" s="216"/>
      <c r="V1071" s="216"/>
      <c r="W1071" s="216"/>
      <c r="X1071" s="216"/>
      <c r="Y1071" s="216"/>
      <c r="Z1071" s="216"/>
    </row>
    <row r="1072" spans="1:26" ht="15" customHeight="1">
      <c r="A1072" s="134" t="s">
        <v>132</v>
      </c>
      <c r="B1072" s="133" t="s">
        <v>8972</v>
      </c>
      <c r="C1072" s="133" t="s">
        <v>9035</v>
      </c>
      <c r="D1072" s="116" t="s">
        <v>7778</v>
      </c>
      <c r="E1072" s="528">
        <f t="shared" si="131"/>
        <v>4</v>
      </c>
      <c r="F1072" s="528">
        <f t="shared" si="132"/>
        <v>4</v>
      </c>
      <c r="G1072" s="338" t="s">
        <v>132</v>
      </c>
      <c r="H1072" s="216"/>
      <c r="I1072" s="216"/>
      <c r="J1072" s="216"/>
      <c r="K1072" s="216"/>
      <c r="L1072" s="216"/>
      <c r="M1072" s="216"/>
      <c r="N1072" s="216"/>
      <c r="O1072" s="216"/>
      <c r="P1072" s="216"/>
      <c r="Q1072" s="216"/>
      <c r="R1072" s="216"/>
      <c r="S1072" s="216"/>
      <c r="T1072" s="216"/>
      <c r="U1072" s="216"/>
      <c r="V1072" s="216"/>
      <c r="W1072" s="216"/>
      <c r="X1072" s="216"/>
      <c r="Y1072" s="216"/>
      <c r="Z1072" s="216"/>
    </row>
    <row r="1073" spans="1:26" ht="15" customHeight="1">
      <c r="A1073" s="134" t="s">
        <v>132</v>
      </c>
      <c r="B1073" s="133" t="s">
        <v>8972</v>
      </c>
      <c r="C1073" s="133" t="s">
        <v>9036</v>
      </c>
      <c r="D1073" s="116" t="s">
        <v>7778</v>
      </c>
      <c r="E1073" s="528">
        <f t="shared" si="131"/>
        <v>4</v>
      </c>
      <c r="F1073" s="528">
        <f t="shared" si="132"/>
        <v>4</v>
      </c>
      <c r="G1073" s="338" t="s">
        <v>132</v>
      </c>
      <c r="H1073" s="216"/>
      <c r="I1073" s="216"/>
      <c r="J1073" s="216"/>
      <c r="K1073" s="216"/>
      <c r="L1073" s="216"/>
      <c r="M1073" s="216"/>
      <c r="N1073" s="216"/>
      <c r="O1073" s="216"/>
      <c r="P1073" s="216"/>
      <c r="Q1073" s="216"/>
      <c r="R1073" s="216"/>
      <c r="S1073" s="216"/>
      <c r="T1073" s="216"/>
      <c r="U1073" s="216"/>
      <c r="V1073" s="216"/>
      <c r="W1073" s="216"/>
      <c r="X1073" s="216"/>
      <c r="Y1073" s="216"/>
      <c r="Z1073" s="216"/>
    </row>
    <row r="1074" spans="1:26" ht="15" customHeight="1">
      <c r="A1074" s="134" t="s">
        <v>132</v>
      </c>
      <c r="B1074" s="133" t="s">
        <v>8972</v>
      </c>
      <c r="C1074" s="133" t="s">
        <v>9037</v>
      </c>
      <c r="D1074" s="116" t="s">
        <v>7778</v>
      </c>
      <c r="E1074" s="528">
        <f t="shared" si="131"/>
        <v>4</v>
      </c>
      <c r="F1074" s="528">
        <f t="shared" si="132"/>
        <v>4</v>
      </c>
      <c r="G1074" s="338" t="s">
        <v>132</v>
      </c>
      <c r="H1074" s="216"/>
      <c r="I1074" s="216"/>
      <c r="J1074" s="216"/>
      <c r="K1074" s="216"/>
      <c r="L1074" s="216"/>
      <c r="M1074" s="216"/>
      <c r="N1074" s="216"/>
      <c r="O1074" s="216"/>
      <c r="P1074" s="216"/>
      <c r="Q1074" s="216"/>
      <c r="R1074" s="216"/>
      <c r="S1074" s="216"/>
      <c r="T1074" s="216"/>
      <c r="U1074" s="216"/>
      <c r="V1074" s="216"/>
      <c r="W1074" s="216"/>
      <c r="X1074" s="216"/>
      <c r="Y1074" s="216"/>
      <c r="Z1074" s="216"/>
    </row>
    <row r="1075" spans="1:26" ht="15" customHeight="1">
      <c r="A1075" s="134" t="s">
        <v>132</v>
      </c>
      <c r="B1075" s="133" t="s">
        <v>8972</v>
      </c>
      <c r="C1075" s="133" t="s">
        <v>9038</v>
      </c>
      <c r="D1075" s="116" t="s">
        <v>7778</v>
      </c>
      <c r="E1075" s="528">
        <f t="shared" si="131"/>
        <v>4</v>
      </c>
      <c r="F1075" s="528">
        <f t="shared" si="132"/>
        <v>4</v>
      </c>
      <c r="G1075" s="338" t="s">
        <v>132</v>
      </c>
      <c r="H1075" s="216"/>
      <c r="I1075" s="216"/>
      <c r="J1075" s="216"/>
      <c r="K1075" s="216"/>
      <c r="L1075" s="216"/>
      <c r="M1075" s="216"/>
      <c r="N1075" s="216"/>
      <c r="O1075" s="216"/>
      <c r="P1075" s="216"/>
      <c r="Q1075" s="216"/>
      <c r="R1075" s="216"/>
      <c r="S1075" s="216"/>
      <c r="T1075" s="216"/>
      <c r="U1075" s="216"/>
      <c r="V1075" s="216"/>
      <c r="W1075" s="216"/>
      <c r="X1075" s="216"/>
      <c r="Y1075" s="216"/>
      <c r="Z1075" s="216"/>
    </row>
    <row r="1076" spans="1:26" ht="15" customHeight="1">
      <c r="A1076" s="134" t="s">
        <v>132</v>
      </c>
      <c r="B1076" s="133" t="s">
        <v>8972</v>
      </c>
      <c r="C1076" s="133" t="s">
        <v>9039</v>
      </c>
      <c r="D1076" s="116" t="s">
        <v>7778</v>
      </c>
      <c r="E1076" s="528">
        <f t="shared" si="131"/>
        <v>4</v>
      </c>
      <c r="F1076" s="528">
        <f t="shared" si="132"/>
        <v>4</v>
      </c>
      <c r="G1076" s="338" t="s">
        <v>132</v>
      </c>
      <c r="H1076" s="216"/>
      <c r="I1076" s="216"/>
      <c r="J1076" s="216"/>
      <c r="K1076" s="216"/>
      <c r="L1076" s="216"/>
      <c r="M1076" s="216"/>
      <c r="N1076" s="216"/>
      <c r="O1076" s="216"/>
      <c r="P1076" s="216"/>
      <c r="Q1076" s="216"/>
      <c r="R1076" s="216"/>
      <c r="S1076" s="216"/>
      <c r="T1076" s="216"/>
      <c r="U1076" s="216"/>
      <c r="V1076" s="216"/>
      <c r="W1076" s="216"/>
      <c r="X1076" s="216"/>
      <c r="Y1076" s="216"/>
      <c r="Z1076" s="216"/>
    </row>
    <row r="1077" spans="1:26" ht="15" customHeight="1">
      <c r="A1077" s="134" t="s">
        <v>132</v>
      </c>
      <c r="B1077" s="133" t="s">
        <v>8972</v>
      </c>
      <c r="C1077" s="133" t="s">
        <v>9040</v>
      </c>
      <c r="D1077" s="116" t="s">
        <v>7778</v>
      </c>
      <c r="E1077" s="528">
        <f t="shared" ref="E1077:E1078" si="133">14/3</f>
        <v>4.666666666666667</v>
      </c>
      <c r="F1077" s="528">
        <f t="shared" si="132"/>
        <v>4.666666666666667</v>
      </c>
      <c r="G1077" s="338" t="s">
        <v>132</v>
      </c>
      <c r="H1077" s="216"/>
      <c r="I1077" s="216"/>
      <c r="J1077" s="216"/>
      <c r="K1077" s="216"/>
      <c r="L1077" s="216"/>
      <c r="M1077" s="216"/>
      <c r="N1077" s="216"/>
      <c r="O1077" s="216"/>
      <c r="P1077" s="216"/>
      <c r="Q1077" s="216"/>
      <c r="R1077" s="216"/>
      <c r="S1077" s="216"/>
      <c r="T1077" s="216"/>
      <c r="U1077" s="216"/>
      <c r="V1077" s="216"/>
      <c r="W1077" s="216"/>
      <c r="X1077" s="216"/>
      <c r="Y1077" s="216"/>
      <c r="Z1077" s="216"/>
    </row>
    <row r="1078" spans="1:26" ht="15" customHeight="1">
      <c r="A1078" s="134" t="s">
        <v>132</v>
      </c>
      <c r="B1078" s="133" t="s">
        <v>8972</v>
      </c>
      <c r="C1078" s="133" t="s">
        <v>9041</v>
      </c>
      <c r="D1078" s="116" t="s">
        <v>7778</v>
      </c>
      <c r="E1078" s="528">
        <f t="shared" si="133"/>
        <v>4.666666666666667</v>
      </c>
      <c r="F1078" s="528">
        <f t="shared" si="132"/>
        <v>4.666666666666667</v>
      </c>
      <c r="G1078" s="338" t="s">
        <v>132</v>
      </c>
      <c r="H1078" s="216"/>
      <c r="I1078" s="216"/>
      <c r="J1078" s="216"/>
      <c r="K1078" s="216"/>
      <c r="L1078" s="216"/>
      <c r="M1078" s="216"/>
      <c r="N1078" s="216"/>
      <c r="O1078" s="216"/>
      <c r="P1078" s="216"/>
      <c r="Q1078" s="216"/>
      <c r="R1078" s="216"/>
      <c r="S1078" s="216"/>
      <c r="T1078" s="216"/>
      <c r="U1078" s="216"/>
      <c r="V1078" s="216"/>
      <c r="W1078" s="216"/>
      <c r="X1078" s="216"/>
      <c r="Y1078" s="216"/>
      <c r="Z1078" s="216"/>
    </row>
    <row r="1079" spans="1:26" ht="15" customHeight="1">
      <c r="A1079" s="134" t="s">
        <v>132</v>
      </c>
      <c r="B1079" s="133" t="s">
        <v>8972</v>
      </c>
      <c r="C1079" s="133" t="s">
        <v>9042</v>
      </c>
      <c r="D1079" s="116" t="s">
        <v>7790</v>
      </c>
      <c r="E1079" s="528">
        <f>16/3*0.5</f>
        <v>2.6666666666666665</v>
      </c>
      <c r="F1079" s="528">
        <f t="shared" si="132"/>
        <v>2.6666666666666665</v>
      </c>
      <c r="G1079" s="338" t="s">
        <v>132</v>
      </c>
      <c r="H1079" s="216"/>
      <c r="I1079" s="216"/>
      <c r="J1079" s="216"/>
      <c r="K1079" s="216"/>
      <c r="L1079" s="216"/>
      <c r="M1079" s="216"/>
      <c r="N1079" s="216"/>
      <c r="O1079" s="216"/>
      <c r="P1079" s="216"/>
      <c r="Q1079" s="216"/>
      <c r="R1079" s="216"/>
      <c r="S1079" s="216"/>
      <c r="T1079" s="216"/>
      <c r="U1079" s="216"/>
      <c r="V1079" s="216"/>
      <c r="W1079" s="216"/>
      <c r="X1079" s="216"/>
      <c r="Y1079" s="216"/>
      <c r="Z1079" s="216"/>
    </row>
    <row r="1080" spans="1:26" ht="15" customHeight="1">
      <c r="A1080" s="134" t="s">
        <v>132</v>
      </c>
      <c r="B1080" s="133" t="s">
        <v>8972</v>
      </c>
      <c r="C1080" s="133" t="s">
        <v>9043</v>
      </c>
      <c r="D1080" s="116" t="s">
        <v>7778</v>
      </c>
      <c r="E1080" s="528">
        <f>16/3</f>
        <v>5.333333333333333</v>
      </c>
      <c r="F1080" s="528">
        <f t="shared" si="132"/>
        <v>5.333333333333333</v>
      </c>
      <c r="G1080" s="338" t="s">
        <v>132</v>
      </c>
      <c r="H1080" s="216"/>
      <c r="I1080" s="216"/>
      <c r="J1080" s="216"/>
      <c r="K1080" s="216"/>
      <c r="L1080" s="216"/>
      <c r="M1080" s="216"/>
      <c r="N1080" s="216"/>
      <c r="O1080" s="216"/>
      <c r="P1080" s="216"/>
      <c r="Q1080" s="216"/>
      <c r="R1080" s="216"/>
      <c r="S1080" s="216"/>
      <c r="T1080" s="216"/>
      <c r="U1080" s="216"/>
      <c r="V1080" s="216"/>
      <c r="W1080" s="216"/>
      <c r="X1080" s="216"/>
      <c r="Y1080" s="216"/>
      <c r="Z1080" s="216"/>
    </row>
    <row r="1081" spans="1:26" ht="15" customHeight="1">
      <c r="A1081" s="134" t="s">
        <v>132</v>
      </c>
      <c r="B1081" s="133" t="s">
        <v>8972</v>
      </c>
      <c r="C1081" s="133" t="s">
        <v>9044</v>
      </c>
      <c r="D1081" s="116" t="s">
        <v>7790</v>
      </c>
      <c r="E1081" s="528">
        <f>47/3*0.5</f>
        <v>7.833333333333333</v>
      </c>
      <c r="F1081" s="528">
        <f t="shared" si="132"/>
        <v>7.833333333333333</v>
      </c>
      <c r="G1081" s="338" t="s">
        <v>132</v>
      </c>
      <c r="H1081" s="216"/>
      <c r="I1081" s="216"/>
      <c r="J1081" s="216"/>
      <c r="K1081" s="216"/>
      <c r="L1081" s="216"/>
      <c r="M1081" s="216"/>
      <c r="N1081" s="216"/>
      <c r="O1081" s="216"/>
      <c r="P1081" s="216"/>
      <c r="Q1081" s="216"/>
      <c r="R1081" s="216"/>
      <c r="S1081" s="216"/>
      <c r="T1081" s="216"/>
      <c r="U1081" s="216"/>
      <c r="V1081" s="216"/>
      <c r="W1081" s="216"/>
      <c r="X1081" s="216"/>
      <c r="Y1081" s="216"/>
      <c r="Z1081" s="216"/>
    </row>
    <row r="1082" spans="1:26" ht="15" customHeight="1">
      <c r="A1082" s="134" t="s">
        <v>132</v>
      </c>
      <c r="B1082" s="133" t="s">
        <v>8972</v>
      </c>
      <c r="C1082" s="133" t="s">
        <v>9045</v>
      </c>
      <c r="D1082" s="116" t="s">
        <v>7778</v>
      </c>
      <c r="E1082" s="528">
        <f>47/3</f>
        <v>15.666666666666666</v>
      </c>
      <c r="F1082" s="528">
        <f t="shared" si="132"/>
        <v>15.666666666666666</v>
      </c>
      <c r="G1082" s="338" t="s">
        <v>132</v>
      </c>
      <c r="H1082" s="216"/>
      <c r="I1082" s="216"/>
      <c r="J1082" s="216"/>
      <c r="K1082" s="216"/>
      <c r="L1082" s="216"/>
      <c r="M1082" s="216"/>
      <c r="N1082" s="216"/>
      <c r="O1082" s="216"/>
      <c r="P1082" s="216"/>
      <c r="Q1082" s="216"/>
      <c r="R1082" s="216"/>
      <c r="S1082" s="216"/>
      <c r="T1082" s="216"/>
      <c r="U1082" s="216"/>
      <c r="V1082" s="216"/>
      <c r="W1082" s="216"/>
      <c r="X1082" s="216"/>
      <c r="Y1082" s="216"/>
      <c r="Z1082" s="216"/>
    </row>
    <row r="1083" spans="1:26" ht="15" customHeight="1">
      <c r="A1083" s="134" t="s">
        <v>132</v>
      </c>
      <c r="B1083" s="133" t="s">
        <v>8972</v>
      </c>
      <c r="C1083" s="133" t="s">
        <v>9046</v>
      </c>
      <c r="D1083" s="116" t="s">
        <v>7778</v>
      </c>
      <c r="E1083" s="528">
        <f>74/3*2</f>
        <v>49.333333333333336</v>
      </c>
      <c r="F1083" s="528">
        <f t="shared" si="132"/>
        <v>49.333333333333336</v>
      </c>
      <c r="G1083" s="338" t="s">
        <v>132</v>
      </c>
      <c r="H1083" s="216"/>
      <c r="I1083" s="216"/>
      <c r="J1083" s="216"/>
      <c r="K1083" s="216"/>
      <c r="L1083" s="216"/>
      <c r="M1083" s="216"/>
      <c r="N1083" s="216"/>
      <c r="O1083" s="216"/>
      <c r="P1083" s="216"/>
      <c r="Q1083" s="216"/>
      <c r="R1083" s="216"/>
      <c r="S1083" s="216"/>
      <c r="T1083" s="216"/>
      <c r="U1083" s="216"/>
      <c r="V1083" s="216"/>
      <c r="W1083" s="216"/>
      <c r="X1083" s="216"/>
      <c r="Y1083" s="216"/>
      <c r="Z1083" s="216"/>
    </row>
    <row r="1084" spans="1:26" ht="15" customHeight="1">
      <c r="A1084" s="134" t="s">
        <v>7262</v>
      </c>
      <c r="B1084" s="133" t="s">
        <v>3753</v>
      </c>
      <c r="C1084" s="133" t="s">
        <v>9047</v>
      </c>
      <c r="D1084" s="116" t="s">
        <v>7778</v>
      </c>
      <c r="E1084" s="100" t="s">
        <v>7943</v>
      </c>
      <c r="F1084" s="528">
        <v>19.670000000000002</v>
      </c>
      <c r="G1084" s="338" t="s">
        <v>971</v>
      </c>
      <c r="H1084" s="216"/>
      <c r="I1084" s="216"/>
      <c r="J1084" s="216"/>
      <c r="K1084" s="216"/>
      <c r="L1084" s="216"/>
      <c r="M1084" s="216"/>
      <c r="N1084" s="216"/>
      <c r="O1084" s="216"/>
      <c r="P1084" s="216"/>
      <c r="Q1084" s="216"/>
      <c r="R1084" s="216"/>
      <c r="S1084" s="216"/>
      <c r="T1084" s="216"/>
      <c r="U1084" s="216"/>
      <c r="V1084" s="216"/>
      <c r="W1084" s="216"/>
      <c r="X1084" s="216"/>
      <c r="Y1084" s="216"/>
      <c r="Z1084" s="216"/>
    </row>
    <row r="1085" spans="1:26" ht="15" customHeight="1">
      <c r="A1085" s="134" t="s">
        <v>7262</v>
      </c>
      <c r="B1085" s="133" t="s">
        <v>3753</v>
      </c>
      <c r="C1085" s="133" t="s">
        <v>9048</v>
      </c>
      <c r="D1085" s="116" t="s">
        <v>7778</v>
      </c>
      <c r="E1085" s="100" t="s">
        <v>7943</v>
      </c>
      <c r="F1085" s="528">
        <v>19.670000000000002</v>
      </c>
      <c r="G1085" s="338" t="s">
        <v>971</v>
      </c>
      <c r="H1085" s="216"/>
      <c r="I1085" s="216"/>
      <c r="J1085" s="216"/>
      <c r="K1085" s="216"/>
      <c r="L1085" s="216"/>
      <c r="M1085" s="216"/>
      <c r="N1085" s="216"/>
      <c r="O1085" s="216"/>
      <c r="P1085" s="216"/>
      <c r="Q1085" s="216"/>
      <c r="R1085" s="216"/>
      <c r="S1085" s="216"/>
      <c r="T1085" s="216"/>
      <c r="U1085" s="216"/>
      <c r="V1085" s="216"/>
      <c r="W1085" s="216"/>
      <c r="X1085" s="216"/>
      <c r="Y1085" s="216"/>
      <c r="Z1085" s="216"/>
    </row>
    <row r="1086" spans="1:26" ht="15" customHeight="1">
      <c r="A1086" s="134" t="s">
        <v>7262</v>
      </c>
      <c r="B1086" s="133" t="s">
        <v>3753</v>
      </c>
      <c r="C1086" s="133" t="s">
        <v>9049</v>
      </c>
      <c r="D1086" s="116" t="s">
        <v>7778</v>
      </c>
      <c r="E1086" s="100" t="s">
        <v>7943</v>
      </c>
      <c r="F1086" s="528">
        <v>10</v>
      </c>
      <c r="G1086" s="338" t="s">
        <v>971</v>
      </c>
      <c r="H1086" s="216"/>
      <c r="I1086" s="216"/>
      <c r="J1086" s="216"/>
      <c r="K1086" s="216"/>
      <c r="L1086" s="216"/>
      <c r="M1086" s="216"/>
      <c r="N1086" s="216"/>
      <c r="O1086" s="216"/>
      <c r="P1086" s="216"/>
      <c r="Q1086" s="216"/>
      <c r="R1086" s="216"/>
      <c r="S1086" s="216"/>
      <c r="T1086" s="216"/>
      <c r="U1086" s="216"/>
      <c r="V1086" s="216"/>
      <c r="W1086" s="216"/>
      <c r="X1086" s="216"/>
      <c r="Y1086" s="216"/>
      <c r="Z1086" s="216"/>
    </row>
    <row r="1087" spans="1:26" ht="15" customHeight="1">
      <c r="A1087" s="134" t="s">
        <v>7262</v>
      </c>
      <c r="B1087" s="133" t="s">
        <v>3753</v>
      </c>
      <c r="C1087" s="133" t="s">
        <v>9050</v>
      </c>
      <c r="D1087" s="116" t="s">
        <v>7778</v>
      </c>
      <c r="E1087" s="100" t="s">
        <v>7943</v>
      </c>
      <c r="F1087" s="528">
        <v>10</v>
      </c>
      <c r="G1087" s="338" t="s">
        <v>971</v>
      </c>
      <c r="H1087" s="216"/>
      <c r="I1087" s="216"/>
      <c r="J1087" s="216"/>
      <c r="K1087" s="216"/>
      <c r="L1087" s="216"/>
      <c r="M1087" s="216"/>
      <c r="N1087" s="216"/>
      <c r="O1087" s="216"/>
      <c r="P1087" s="216"/>
      <c r="Q1087" s="216"/>
      <c r="R1087" s="216"/>
      <c r="S1087" s="216"/>
      <c r="T1087" s="216"/>
      <c r="U1087" s="216"/>
      <c r="V1087" s="216"/>
      <c r="W1087" s="216"/>
      <c r="X1087" s="216"/>
      <c r="Y1087" s="216"/>
      <c r="Z1087" s="216"/>
    </row>
    <row r="1088" spans="1:26" ht="15" customHeight="1">
      <c r="A1088" s="134" t="s">
        <v>7262</v>
      </c>
      <c r="B1088" s="133" t="s">
        <v>3753</v>
      </c>
      <c r="C1088" s="133" t="s">
        <v>9051</v>
      </c>
      <c r="D1088" s="116" t="s">
        <v>7778</v>
      </c>
      <c r="E1088" s="100" t="s">
        <v>7943</v>
      </c>
      <c r="F1088" s="528">
        <v>9</v>
      </c>
      <c r="G1088" s="338" t="s">
        <v>971</v>
      </c>
      <c r="H1088" s="216"/>
      <c r="I1088" s="216"/>
      <c r="J1088" s="216"/>
      <c r="K1088" s="216"/>
      <c r="L1088" s="216"/>
      <c r="M1088" s="216"/>
      <c r="N1088" s="216"/>
      <c r="O1088" s="216"/>
      <c r="P1088" s="216"/>
      <c r="Q1088" s="216"/>
      <c r="R1088" s="216"/>
      <c r="S1088" s="216"/>
      <c r="T1088" s="216"/>
      <c r="U1088" s="216"/>
      <c r="V1088" s="216"/>
      <c r="W1088" s="216"/>
      <c r="X1088" s="216"/>
      <c r="Y1088" s="216"/>
      <c r="Z1088" s="216"/>
    </row>
    <row r="1089" spans="1:26" ht="15" customHeight="1">
      <c r="A1089" s="134" t="s">
        <v>7262</v>
      </c>
      <c r="B1089" s="133" t="s">
        <v>3753</v>
      </c>
      <c r="C1089" s="133" t="s">
        <v>9052</v>
      </c>
      <c r="D1089" s="116" t="s">
        <v>7778</v>
      </c>
      <c r="E1089" s="100" t="s">
        <v>7943</v>
      </c>
      <c r="F1089" s="528">
        <v>9</v>
      </c>
      <c r="G1089" s="338" t="s">
        <v>971</v>
      </c>
      <c r="H1089" s="216"/>
      <c r="I1089" s="216"/>
      <c r="J1089" s="216"/>
      <c r="K1089" s="216"/>
      <c r="L1089" s="216"/>
      <c r="M1089" s="216"/>
      <c r="N1089" s="216"/>
      <c r="O1089" s="216"/>
      <c r="P1089" s="216"/>
      <c r="Q1089" s="216"/>
      <c r="R1089" s="216"/>
      <c r="S1089" s="216"/>
      <c r="T1089" s="216"/>
      <c r="U1089" s="216"/>
      <c r="V1089" s="216"/>
      <c r="W1089" s="216"/>
      <c r="X1089" s="216"/>
      <c r="Y1089" s="216"/>
      <c r="Z1089" s="216"/>
    </row>
    <row r="1090" spans="1:26" ht="15" customHeight="1">
      <c r="A1090" s="134" t="s">
        <v>7262</v>
      </c>
      <c r="B1090" s="133" t="s">
        <v>3753</v>
      </c>
      <c r="C1090" s="133" t="s">
        <v>9053</v>
      </c>
      <c r="D1090" s="116" t="s">
        <v>7778</v>
      </c>
      <c r="E1090" s="100" t="s">
        <v>7943</v>
      </c>
      <c r="F1090" s="528">
        <v>6</v>
      </c>
      <c r="G1090" s="338" t="s">
        <v>971</v>
      </c>
      <c r="H1090" s="216"/>
      <c r="I1090" s="216"/>
      <c r="J1090" s="216"/>
      <c r="K1090" s="216"/>
      <c r="L1090" s="216"/>
      <c r="M1090" s="216"/>
      <c r="N1090" s="216"/>
      <c r="O1090" s="216"/>
      <c r="P1090" s="216"/>
      <c r="Q1090" s="216"/>
      <c r="R1090" s="216"/>
      <c r="S1090" s="216"/>
      <c r="T1090" s="216"/>
      <c r="U1090" s="216"/>
      <c r="V1090" s="216"/>
      <c r="W1090" s="216"/>
      <c r="X1090" s="216"/>
      <c r="Y1090" s="216"/>
      <c r="Z1090" s="216"/>
    </row>
    <row r="1091" spans="1:26" ht="15" customHeight="1">
      <c r="A1091" s="134" t="s">
        <v>7262</v>
      </c>
      <c r="B1091" s="133" t="s">
        <v>3753</v>
      </c>
      <c r="C1091" s="133" t="s">
        <v>9054</v>
      </c>
      <c r="D1091" s="116" t="s">
        <v>7778</v>
      </c>
      <c r="E1091" s="100" t="s">
        <v>7943</v>
      </c>
      <c r="F1091" s="528">
        <v>6</v>
      </c>
      <c r="G1091" s="338" t="s">
        <v>971</v>
      </c>
      <c r="H1091" s="216"/>
      <c r="I1091" s="216"/>
      <c r="J1091" s="216"/>
      <c r="K1091" s="216"/>
      <c r="L1091" s="216"/>
      <c r="M1091" s="216"/>
      <c r="N1091" s="216"/>
      <c r="O1091" s="216"/>
      <c r="P1091" s="216"/>
      <c r="Q1091" s="216"/>
      <c r="R1091" s="216"/>
      <c r="S1091" s="216"/>
      <c r="T1091" s="216"/>
      <c r="U1091" s="216"/>
      <c r="V1091" s="216"/>
      <c r="W1091" s="216"/>
      <c r="X1091" s="216"/>
      <c r="Y1091" s="216"/>
      <c r="Z1091" s="216"/>
    </row>
    <row r="1092" spans="1:26" ht="15" customHeight="1">
      <c r="A1092" s="134" t="s">
        <v>7262</v>
      </c>
      <c r="B1092" s="133" t="s">
        <v>3753</v>
      </c>
      <c r="C1092" s="133" t="s">
        <v>9055</v>
      </c>
      <c r="D1092" s="116" t="s">
        <v>7778</v>
      </c>
      <c r="E1092" s="100" t="s">
        <v>7943</v>
      </c>
      <c r="F1092" s="528">
        <v>4.67</v>
      </c>
      <c r="G1092" s="338" t="s">
        <v>971</v>
      </c>
      <c r="H1092" s="216"/>
      <c r="I1092" s="216"/>
      <c r="J1092" s="216"/>
      <c r="K1092" s="216"/>
      <c r="L1092" s="216"/>
      <c r="M1092" s="216"/>
      <c r="N1092" s="216"/>
      <c r="O1092" s="216"/>
      <c r="P1092" s="216"/>
      <c r="Q1092" s="216"/>
      <c r="R1092" s="216"/>
      <c r="S1092" s="216"/>
      <c r="T1092" s="216"/>
      <c r="U1092" s="216"/>
      <c r="V1092" s="216"/>
      <c r="W1092" s="216"/>
      <c r="X1092" s="216"/>
      <c r="Y1092" s="216"/>
      <c r="Z1092" s="216"/>
    </row>
    <row r="1093" spans="1:26" ht="15" customHeight="1">
      <c r="A1093" s="134" t="s">
        <v>7262</v>
      </c>
      <c r="B1093" s="133" t="s">
        <v>3753</v>
      </c>
      <c r="C1093" s="133" t="s">
        <v>9056</v>
      </c>
      <c r="D1093" s="116" t="s">
        <v>7778</v>
      </c>
      <c r="E1093" s="100" t="s">
        <v>7943</v>
      </c>
      <c r="F1093" s="528">
        <v>4.67</v>
      </c>
      <c r="G1093" s="338" t="s">
        <v>971</v>
      </c>
      <c r="H1093" s="216"/>
      <c r="I1093" s="216"/>
      <c r="J1093" s="216"/>
      <c r="K1093" s="216"/>
      <c r="L1093" s="216"/>
      <c r="M1093" s="216"/>
      <c r="N1093" s="216"/>
      <c r="O1093" s="216"/>
      <c r="P1093" s="216"/>
      <c r="Q1093" s="216"/>
      <c r="R1093" s="216"/>
      <c r="S1093" s="216"/>
      <c r="T1093" s="216"/>
      <c r="U1093" s="216"/>
      <c r="V1093" s="216"/>
      <c r="W1093" s="216"/>
      <c r="X1093" s="216"/>
      <c r="Y1093" s="216"/>
      <c r="Z1093" s="216"/>
    </row>
    <row r="1094" spans="1:26" ht="15" customHeight="1">
      <c r="A1094" s="134" t="s">
        <v>7262</v>
      </c>
      <c r="B1094" s="133" t="s">
        <v>3753</v>
      </c>
      <c r="C1094" s="133" t="s">
        <v>9057</v>
      </c>
      <c r="D1094" s="116" t="s">
        <v>7778</v>
      </c>
      <c r="E1094" s="100" t="s">
        <v>7943</v>
      </c>
      <c r="F1094" s="528">
        <v>4.67</v>
      </c>
      <c r="G1094" s="338" t="s">
        <v>971</v>
      </c>
      <c r="H1094" s="216"/>
      <c r="I1094" s="216"/>
      <c r="J1094" s="216"/>
      <c r="K1094" s="216"/>
      <c r="L1094" s="216"/>
      <c r="M1094" s="216"/>
      <c r="N1094" s="216"/>
      <c r="O1094" s="216"/>
      <c r="P1094" s="216"/>
      <c r="Q1094" s="216"/>
      <c r="R1094" s="216"/>
      <c r="S1094" s="216"/>
      <c r="T1094" s="216"/>
      <c r="U1094" s="216"/>
      <c r="V1094" s="216"/>
      <c r="W1094" s="216"/>
      <c r="X1094" s="216"/>
      <c r="Y1094" s="216"/>
      <c r="Z1094" s="216"/>
    </row>
    <row r="1095" spans="1:26" ht="15" customHeight="1">
      <c r="A1095" s="134" t="s">
        <v>7262</v>
      </c>
      <c r="B1095" s="133" t="s">
        <v>3753</v>
      </c>
      <c r="C1095" s="133" t="s">
        <v>9058</v>
      </c>
      <c r="D1095" s="116" t="s">
        <v>7778</v>
      </c>
      <c r="E1095" s="100" t="s">
        <v>7943</v>
      </c>
      <c r="F1095" s="528">
        <v>4.67</v>
      </c>
      <c r="G1095" s="338" t="s">
        <v>971</v>
      </c>
      <c r="H1095" s="216"/>
      <c r="I1095" s="216"/>
      <c r="J1095" s="216"/>
      <c r="K1095" s="216"/>
      <c r="L1095" s="216"/>
      <c r="M1095" s="216"/>
      <c r="N1095" s="216"/>
      <c r="O1095" s="216"/>
      <c r="P1095" s="216"/>
      <c r="Q1095" s="216"/>
      <c r="R1095" s="216"/>
      <c r="S1095" s="216"/>
      <c r="T1095" s="216"/>
      <c r="U1095" s="216"/>
      <c r="V1095" s="216"/>
      <c r="W1095" s="216"/>
      <c r="X1095" s="216"/>
      <c r="Y1095" s="216"/>
      <c r="Z1095" s="216"/>
    </row>
    <row r="1096" spans="1:26" ht="15" customHeight="1">
      <c r="A1096" s="134" t="s">
        <v>7262</v>
      </c>
      <c r="B1096" s="133" t="s">
        <v>3753</v>
      </c>
      <c r="C1096" s="133" t="s">
        <v>9059</v>
      </c>
      <c r="D1096" s="116" t="s">
        <v>7778</v>
      </c>
      <c r="E1096" s="100" t="s">
        <v>9060</v>
      </c>
      <c r="F1096" s="528">
        <v>4.92</v>
      </c>
      <c r="G1096" s="338" t="s">
        <v>971</v>
      </c>
      <c r="H1096" s="216"/>
      <c r="I1096" s="216"/>
      <c r="J1096" s="216"/>
      <c r="K1096" s="216"/>
      <c r="L1096" s="216"/>
      <c r="M1096" s="216"/>
      <c r="N1096" s="216"/>
      <c r="O1096" s="216"/>
      <c r="P1096" s="216"/>
      <c r="Q1096" s="216"/>
      <c r="R1096" s="216"/>
      <c r="S1096" s="216"/>
      <c r="T1096" s="216"/>
      <c r="U1096" s="216"/>
      <c r="V1096" s="216"/>
      <c r="W1096" s="216"/>
      <c r="X1096" s="216"/>
      <c r="Y1096" s="216"/>
      <c r="Z1096" s="216"/>
    </row>
    <row r="1097" spans="1:26" ht="15" customHeight="1">
      <c r="A1097" s="134" t="s">
        <v>7262</v>
      </c>
      <c r="B1097" s="133" t="s">
        <v>3753</v>
      </c>
      <c r="C1097" s="133" t="s">
        <v>9061</v>
      </c>
      <c r="D1097" s="116" t="s">
        <v>7778</v>
      </c>
      <c r="E1097" s="100" t="s">
        <v>9060</v>
      </c>
      <c r="F1097" s="528">
        <v>4.25</v>
      </c>
      <c r="G1097" s="338" t="s">
        <v>971</v>
      </c>
      <c r="H1097" s="216"/>
      <c r="I1097" s="216"/>
      <c r="J1097" s="216"/>
      <c r="K1097" s="216"/>
      <c r="L1097" s="216"/>
      <c r="M1097" s="216"/>
      <c r="N1097" s="216"/>
      <c r="O1097" s="216"/>
      <c r="P1097" s="216"/>
      <c r="Q1097" s="216"/>
      <c r="R1097" s="216"/>
      <c r="S1097" s="216"/>
      <c r="T1097" s="216"/>
      <c r="U1097" s="216"/>
      <c r="V1097" s="216"/>
      <c r="W1097" s="216"/>
      <c r="X1097" s="216"/>
      <c r="Y1097" s="216"/>
      <c r="Z1097" s="216"/>
    </row>
    <row r="1098" spans="1:26" ht="15" customHeight="1">
      <c r="A1098" s="134" t="s">
        <v>7262</v>
      </c>
      <c r="B1098" s="133" t="s">
        <v>3753</v>
      </c>
      <c r="C1098" s="133" t="s">
        <v>9062</v>
      </c>
      <c r="D1098" s="116" t="s">
        <v>7778</v>
      </c>
      <c r="E1098" s="100" t="s">
        <v>9060</v>
      </c>
      <c r="F1098" s="528">
        <v>2.25</v>
      </c>
      <c r="G1098" s="338" t="s">
        <v>971</v>
      </c>
      <c r="H1098" s="216"/>
      <c r="I1098" s="216"/>
      <c r="J1098" s="216"/>
      <c r="K1098" s="216"/>
      <c r="L1098" s="216"/>
      <c r="M1098" s="216"/>
      <c r="N1098" s="216"/>
      <c r="O1098" s="216"/>
      <c r="P1098" s="216"/>
      <c r="Q1098" s="216"/>
      <c r="R1098" s="216"/>
      <c r="S1098" s="216"/>
      <c r="T1098" s="216"/>
      <c r="U1098" s="216"/>
      <c r="V1098" s="216"/>
      <c r="W1098" s="216"/>
      <c r="X1098" s="216"/>
      <c r="Y1098" s="216"/>
      <c r="Z1098" s="216"/>
    </row>
    <row r="1099" spans="1:26" ht="15" customHeight="1">
      <c r="A1099" s="134" t="s">
        <v>7262</v>
      </c>
      <c r="B1099" s="133" t="s">
        <v>3753</v>
      </c>
      <c r="C1099" s="133" t="s">
        <v>9063</v>
      </c>
      <c r="D1099" s="116" t="s">
        <v>7778</v>
      </c>
      <c r="E1099" s="100" t="s">
        <v>9060</v>
      </c>
      <c r="F1099" s="528">
        <v>1.5</v>
      </c>
      <c r="G1099" s="338" t="s">
        <v>971</v>
      </c>
      <c r="H1099" s="216"/>
      <c r="I1099" s="216"/>
      <c r="J1099" s="216"/>
      <c r="K1099" s="216"/>
      <c r="L1099" s="216"/>
      <c r="M1099" s="216"/>
      <c r="N1099" s="216"/>
      <c r="O1099" s="216"/>
      <c r="P1099" s="216"/>
      <c r="Q1099" s="216"/>
      <c r="R1099" s="216"/>
      <c r="S1099" s="216"/>
      <c r="T1099" s="216"/>
      <c r="U1099" s="216"/>
      <c r="V1099" s="216"/>
      <c r="W1099" s="216"/>
      <c r="X1099" s="216"/>
      <c r="Y1099" s="216"/>
      <c r="Z1099" s="216"/>
    </row>
    <row r="1100" spans="1:26" ht="15" customHeight="1">
      <c r="A1100" s="134" t="s">
        <v>7262</v>
      </c>
      <c r="B1100" s="133" t="s">
        <v>105</v>
      </c>
      <c r="C1100" s="133" t="s">
        <v>8908</v>
      </c>
      <c r="D1100" s="116" t="s">
        <v>7778</v>
      </c>
      <c r="E1100" s="186" t="s">
        <v>9064</v>
      </c>
      <c r="F1100" s="528">
        <v>22.67</v>
      </c>
      <c r="G1100" s="338" t="s">
        <v>971</v>
      </c>
      <c r="H1100" s="216"/>
      <c r="I1100" s="216"/>
      <c r="J1100" s="216"/>
      <c r="K1100" s="216"/>
      <c r="L1100" s="216"/>
      <c r="M1100" s="216"/>
      <c r="N1100" s="216"/>
      <c r="O1100" s="216"/>
      <c r="P1100" s="216"/>
      <c r="Q1100" s="216"/>
      <c r="R1100" s="216"/>
      <c r="S1100" s="216"/>
      <c r="T1100" s="216"/>
      <c r="U1100" s="216"/>
      <c r="V1100" s="216"/>
      <c r="W1100" s="216"/>
      <c r="X1100" s="216"/>
      <c r="Y1100" s="216"/>
      <c r="Z1100" s="216"/>
    </row>
    <row r="1101" spans="1:26" ht="15" customHeight="1">
      <c r="A1101" s="134" t="s">
        <v>7262</v>
      </c>
      <c r="B1101" s="133" t="s">
        <v>105</v>
      </c>
      <c r="C1101" s="133" t="s">
        <v>8971</v>
      </c>
      <c r="D1101" s="116" t="s">
        <v>7778</v>
      </c>
      <c r="E1101" s="186" t="s">
        <v>9064</v>
      </c>
      <c r="F1101" s="528">
        <v>14.67</v>
      </c>
      <c r="G1101" s="338" t="s">
        <v>971</v>
      </c>
      <c r="H1101" s="216"/>
      <c r="I1101" s="216"/>
      <c r="J1101" s="216"/>
      <c r="K1101" s="216"/>
      <c r="L1101" s="216"/>
      <c r="M1101" s="216"/>
      <c r="N1101" s="216"/>
      <c r="O1101" s="216"/>
      <c r="P1101" s="216"/>
      <c r="Q1101" s="216"/>
      <c r="R1101" s="216"/>
      <c r="S1101" s="216"/>
      <c r="T1101" s="216"/>
      <c r="U1101" s="216"/>
      <c r="V1101" s="216"/>
      <c r="W1101" s="216"/>
      <c r="X1101" s="216"/>
      <c r="Y1101" s="216"/>
      <c r="Z1101" s="216"/>
    </row>
    <row r="1102" spans="1:26" ht="15" customHeight="1">
      <c r="A1102" s="134" t="s">
        <v>7628</v>
      </c>
      <c r="B1102" s="133" t="s">
        <v>105</v>
      </c>
      <c r="C1102" s="133" t="s">
        <v>9065</v>
      </c>
      <c r="D1102" s="116" t="s">
        <v>7778</v>
      </c>
      <c r="E1102" s="528">
        <f>83/3</f>
        <v>27.666666666666668</v>
      </c>
      <c r="F1102" s="528">
        <f t="shared" ref="F1102:F1126" si="134">E1102</f>
        <v>27.666666666666668</v>
      </c>
      <c r="G1102" s="338" t="s">
        <v>124</v>
      </c>
      <c r="H1102" s="216"/>
      <c r="I1102" s="216"/>
      <c r="J1102" s="216"/>
      <c r="K1102" s="216"/>
      <c r="L1102" s="216"/>
      <c r="M1102" s="216"/>
      <c r="N1102" s="216"/>
      <c r="O1102" s="216"/>
      <c r="P1102" s="216"/>
      <c r="Q1102" s="216"/>
      <c r="R1102" s="216"/>
      <c r="S1102" s="216"/>
      <c r="T1102" s="216"/>
      <c r="U1102" s="216"/>
      <c r="V1102" s="216"/>
      <c r="W1102" s="216"/>
      <c r="X1102" s="216"/>
      <c r="Y1102" s="216"/>
      <c r="Z1102" s="216"/>
    </row>
    <row r="1103" spans="1:26" ht="15" customHeight="1">
      <c r="A1103" s="134" t="s">
        <v>7628</v>
      </c>
      <c r="B1103" s="133" t="s">
        <v>105</v>
      </c>
      <c r="C1103" s="133" t="s">
        <v>9066</v>
      </c>
      <c r="D1103" s="116" t="s">
        <v>7778</v>
      </c>
      <c r="E1103" s="528">
        <f t="shared" ref="E1103:E1104" si="135">32/3</f>
        <v>10.666666666666666</v>
      </c>
      <c r="F1103" s="528">
        <f t="shared" si="134"/>
        <v>10.666666666666666</v>
      </c>
      <c r="G1103" s="338" t="s">
        <v>124</v>
      </c>
      <c r="H1103" s="216"/>
      <c r="I1103" s="216"/>
      <c r="J1103" s="216"/>
      <c r="K1103" s="216"/>
      <c r="L1103" s="216"/>
      <c r="M1103" s="216"/>
      <c r="N1103" s="216"/>
      <c r="O1103" s="216"/>
      <c r="P1103" s="216"/>
      <c r="Q1103" s="216"/>
      <c r="R1103" s="216"/>
      <c r="S1103" s="216"/>
      <c r="T1103" s="216"/>
      <c r="U1103" s="216"/>
      <c r="V1103" s="216"/>
      <c r="W1103" s="216"/>
      <c r="X1103" s="216"/>
      <c r="Y1103" s="216"/>
      <c r="Z1103" s="216"/>
    </row>
    <row r="1104" spans="1:26" ht="15" customHeight="1">
      <c r="A1104" s="134" t="s">
        <v>7628</v>
      </c>
      <c r="B1104" s="133" t="s">
        <v>105</v>
      </c>
      <c r="C1104" s="133" t="s">
        <v>9067</v>
      </c>
      <c r="D1104" s="116" t="s">
        <v>7778</v>
      </c>
      <c r="E1104" s="528">
        <f t="shared" si="135"/>
        <v>10.666666666666666</v>
      </c>
      <c r="F1104" s="528">
        <f t="shared" si="134"/>
        <v>10.666666666666666</v>
      </c>
      <c r="G1104" s="338" t="s">
        <v>124</v>
      </c>
      <c r="H1104" s="216"/>
      <c r="I1104" s="216"/>
      <c r="J1104" s="216"/>
      <c r="K1104" s="216"/>
      <c r="L1104" s="216"/>
      <c r="M1104" s="216"/>
      <c r="N1104" s="216"/>
      <c r="O1104" s="216"/>
      <c r="P1104" s="216"/>
      <c r="Q1104" s="216"/>
      <c r="R1104" s="216"/>
      <c r="S1104" s="216"/>
      <c r="T1104" s="216"/>
      <c r="U1104" s="216"/>
      <c r="V1104" s="216"/>
      <c r="W1104" s="216"/>
      <c r="X1104" s="216"/>
      <c r="Y1104" s="216"/>
      <c r="Z1104" s="216"/>
    </row>
    <row r="1105" spans="1:26" ht="15" customHeight="1">
      <c r="A1105" s="134" t="s">
        <v>7628</v>
      </c>
      <c r="B1105" s="133" t="s">
        <v>105</v>
      </c>
      <c r="C1105" s="133" t="s">
        <v>9068</v>
      </c>
      <c r="D1105" s="116" t="s">
        <v>7778</v>
      </c>
      <c r="E1105" s="528">
        <f>53/3</f>
        <v>17.666666666666668</v>
      </c>
      <c r="F1105" s="528">
        <f t="shared" si="134"/>
        <v>17.666666666666668</v>
      </c>
      <c r="G1105" s="338" t="s">
        <v>124</v>
      </c>
      <c r="H1105" s="216"/>
      <c r="I1105" s="216"/>
      <c r="J1105" s="216"/>
      <c r="K1105" s="216"/>
      <c r="L1105" s="216"/>
      <c r="M1105" s="216"/>
      <c r="N1105" s="216"/>
      <c r="O1105" s="216"/>
      <c r="P1105" s="216"/>
      <c r="Q1105" s="216"/>
      <c r="R1105" s="216"/>
      <c r="S1105" s="216"/>
      <c r="T1105" s="216"/>
      <c r="U1105" s="216"/>
      <c r="V1105" s="216"/>
      <c r="W1105" s="216"/>
      <c r="X1105" s="216"/>
      <c r="Y1105" s="216"/>
      <c r="Z1105" s="216"/>
    </row>
    <row r="1106" spans="1:26" ht="15" customHeight="1">
      <c r="A1106" s="134" t="s">
        <v>7628</v>
      </c>
      <c r="B1106" s="133" t="s">
        <v>105</v>
      </c>
      <c r="C1106" s="133" t="s">
        <v>9069</v>
      </c>
      <c r="D1106" s="116" t="s">
        <v>7778</v>
      </c>
      <c r="E1106" s="528">
        <f>44/3</f>
        <v>14.666666666666666</v>
      </c>
      <c r="F1106" s="528">
        <f t="shared" si="134"/>
        <v>14.666666666666666</v>
      </c>
      <c r="G1106" s="338" t="s">
        <v>124</v>
      </c>
      <c r="H1106" s="216"/>
      <c r="I1106" s="216"/>
      <c r="J1106" s="216"/>
      <c r="K1106" s="216"/>
      <c r="L1106" s="216"/>
      <c r="M1106" s="216"/>
      <c r="N1106" s="216"/>
      <c r="O1106" s="216"/>
      <c r="P1106" s="216"/>
      <c r="Q1106" s="216"/>
      <c r="R1106" s="216"/>
      <c r="S1106" s="216"/>
      <c r="T1106" s="216"/>
      <c r="U1106" s="216"/>
      <c r="V1106" s="216"/>
      <c r="W1106" s="216"/>
      <c r="X1106" s="216"/>
      <c r="Y1106" s="216"/>
      <c r="Z1106" s="216"/>
    </row>
    <row r="1107" spans="1:26" ht="15" customHeight="1">
      <c r="A1107" s="134" t="s">
        <v>7628</v>
      </c>
      <c r="B1107" s="133" t="s">
        <v>105</v>
      </c>
      <c r="C1107" s="133" t="s">
        <v>9070</v>
      </c>
      <c r="D1107" s="116" t="s">
        <v>7778</v>
      </c>
      <c r="E1107" s="528">
        <f>83/3</f>
        <v>27.666666666666668</v>
      </c>
      <c r="F1107" s="528">
        <f t="shared" si="134"/>
        <v>27.666666666666668</v>
      </c>
      <c r="G1107" s="338" t="s">
        <v>124</v>
      </c>
      <c r="H1107" s="216"/>
      <c r="I1107" s="216"/>
      <c r="J1107" s="216"/>
      <c r="K1107" s="216"/>
      <c r="L1107" s="216"/>
      <c r="M1107" s="216"/>
      <c r="N1107" s="216"/>
      <c r="O1107" s="216"/>
      <c r="P1107" s="216"/>
      <c r="Q1107" s="216"/>
      <c r="R1107" s="216"/>
      <c r="S1107" s="216"/>
      <c r="T1107" s="216"/>
      <c r="U1107" s="216"/>
      <c r="V1107" s="216"/>
      <c r="W1107" s="216"/>
      <c r="X1107" s="216"/>
      <c r="Y1107" s="216"/>
      <c r="Z1107" s="216"/>
    </row>
    <row r="1108" spans="1:26" ht="15" customHeight="1">
      <c r="A1108" s="134" t="s">
        <v>7628</v>
      </c>
      <c r="B1108" s="133" t="s">
        <v>105</v>
      </c>
      <c r="C1108" s="133" t="s">
        <v>9071</v>
      </c>
      <c r="D1108" s="116" t="s">
        <v>7778</v>
      </c>
      <c r="E1108" s="528">
        <f>40/3</f>
        <v>13.333333333333334</v>
      </c>
      <c r="F1108" s="528">
        <f t="shared" si="134"/>
        <v>13.333333333333334</v>
      </c>
      <c r="G1108" s="338" t="s">
        <v>124</v>
      </c>
      <c r="H1108" s="216"/>
      <c r="I1108" s="216"/>
      <c r="J1108" s="216"/>
      <c r="K1108" s="216"/>
      <c r="L1108" s="216"/>
      <c r="M1108" s="216"/>
      <c r="N1108" s="216"/>
      <c r="O1108" s="216"/>
      <c r="P1108" s="216"/>
      <c r="Q1108" s="216"/>
      <c r="R1108" s="216"/>
      <c r="S1108" s="216"/>
      <c r="T1108" s="216"/>
      <c r="U1108" s="216"/>
      <c r="V1108" s="216"/>
      <c r="W1108" s="216"/>
      <c r="X1108" s="216"/>
      <c r="Y1108" s="216"/>
      <c r="Z1108" s="216"/>
    </row>
    <row r="1109" spans="1:26" ht="15" customHeight="1">
      <c r="A1109" s="134" t="s">
        <v>7628</v>
      </c>
      <c r="B1109" s="133" t="s">
        <v>105</v>
      </c>
      <c r="C1109" s="133" t="s">
        <v>9072</v>
      </c>
      <c r="D1109" s="116" t="s">
        <v>7778</v>
      </c>
      <c r="E1109" s="528">
        <f>83/3</f>
        <v>27.666666666666668</v>
      </c>
      <c r="F1109" s="528">
        <f t="shared" si="134"/>
        <v>27.666666666666668</v>
      </c>
      <c r="G1109" s="338" t="s">
        <v>124</v>
      </c>
      <c r="H1109" s="216"/>
      <c r="I1109" s="216"/>
      <c r="J1109" s="216"/>
      <c r="K1109" s="216"/>
      <c r="L1109" s="216"/>
      <c r="M1109" s="216"/>
      <c r="N1109" s="216"/>
      <c r="O1109" s="216"/>
      <c r="P1109" s="216"/>
      <c r="Q1109" s="216"/>
      <c r="R1109" s="216"/>
      <c r="S1109" s="216"/>
      <c r="T1109" s="216"/>
      <c r="U1109" s="216"/>
      <c r="V1109" s="216"/>
      <c r="W1109" s="216"/>
      <c r="X1109" s="216"/>
      <c r="Y1109" s="216"/>
      <c r="Z1109" s="216"/>
    </row>
    <row r="1110" spans="1:26" ht="15" customHeight="1">
      <c r="A1110" s="134" t="s">
        <v>7628</v>
      </c>
      <c r="B1110" s="133" t="s">
        <v>105</v>
      </c>
      <c r="C1110" s="133" t="s">
        <v>9073</v>
      </c>
      <c r="D1110" s="116" t="s">
        <v>7778</v>
      </c>
      <c r="E1110" s="528">
        <f>32/3</f>
        <v>10.666666666666666</v>
      </c>
      <c r="F1110" s="528">
        <f t="shared" si="134"/>
        <v>10.666666666666666</v>
      </c>
      <c r="G1110" s="338" t="s">
        <v>124</v>
      </c>
      <c r="H1110" s="216"/>
      <c r="I1110" s="216"/>
      <c r="J1110" s="216"/>
      <c r="K1110" s="216"/>
      <c r="L1110" s="216"/>
      <c r="M1110" s="216"/>
      <c r="N1110" s="216"/>
      <c r="O1110" s="216"/>
      <c r="P1110" s="216"/>
      <c r="Q1110" s="216"/>
      <c r="R1110" s="216"/>
      <c r="S1110" s="216"/>
      <c r="T1110" s="216"/>
      <c r="U1110" s="216"/>
      <c r="V1110" s="216"/>
      <c r="W1110" s="216"/>
      <c r="X1110" s="216"/>
      <c r="Y1110" s="216"/>
      <c r="Z1110" s="216"/>
    </row>
    <row r="1111" spans="1:26" ht="15" customHeight="1">
      <c r="A1111" s="134" t="s">
        <v>7628</v>
      </c>
      <c r="B1111" s="133" t="s">
        <v>105</v>
      </c>
      <c r="C1111" s="133" t="s">
        <v>9074</v>
      </c>
      <c r="D1111" s="116" t="s">
        <v>7778</v>
      </c>
      <c r="E1111" s="528">
        <f>53/3</f>
        <v>17.666666666666668</v>
      </c>
      <c r="F1111" s="528">
        <f t="shared" si="134"/>
        <v>17.666666666666668</v>
      </c>
      <c r="G1111" s="338" t="s">
        <v>124</v>
      </c>
      <c r="H1111" s="216"/>
      <c r="I1111" s="216"/>
      <c r="J1111" s="216"/>
      <c r="K1111" s="216"/>
      <c r="L1111" s="216"/>
      <c r="M1111" s="216"/>
      <c r="N1111" s="216"/>
      <c r="O1111" s="216"/>
      <c r="P1111" s="216"/>
      <c r="Q1111" s="216"/>
      <c r="R1111" s="216"/>
      <c r="S1111" s="216"/>
      <c r="T1111" s="216"/>
      <c r="U1111" s="216"/>
      <c r="V1111" s="216"/>
      <c r="W1111" s="216"/>
      <c r="X1111" s="216"/>
      <c r="Y1111" s="216"/>
      <c r="Z1111" s="216"/>
    </row>
    <row r="1112" spans="1:26" ht="15" customHeight="1">
      <c r="A1112" s="134" t="s">
        <v>7628</v>
      </c>
      <c r="B1112" s="133" t="s">
        <v>105</v>
      </c>
      <c r="C1112" s="133" t="s">
        <v>9075</v>
      </c>
      <c r="D1112" s="116" t="s">
        <v>7778</v>
      </c>
      <c r="E1112" s="528">
        <f>44/3</f>
        <v>14.666666666666666</v>
      </c>
      <c r="F1112" s="528">
        <f t="shared" si="134"/>
        <v>14.666666666666666</v>
      </c>
      <c r="G1112" s="338" t="s">
        <v>124</v>
      </c>
      <c r="H1112" s="216"/>
      <c r="I1112" s="216"/>
      <c r="J1112" s="216"/>
      <c r="K1112" s="216"/>
      <c r="L1112" s="216"/>
      <c r="M1112" s="216"/>
      <c r="N1112" s="216"/>
      <c r="O1112" s="216"/>
      <c r="P1112" s="216"/>
      <c r="Q1112" s="216"/>
      <c r="R1112" s="216"/>
      <c r="S1112" s="216"/>
      <c r="T1112" s="216"/>
      <c r="U1112" s="216"/>
      <c r="V1112" s="216"/>
      <c r="W1112" s="216"/>
      <c r="X1112" s="216"/>
      <c r="Y1112" s="216"/>
      <c r="Z1112" s="216"/>
    </row>
    <row r="1113" spans="1:26" ht="15" customHeight="1">
      <c r="A1113" s="134" t="s">
        <v>7628</v>
      </c>
      <c r="B1113" s="133" t="s">
        <v>105</v>
      </c>
      <c r="C1113" s="133" t="s">
        <v>9076</v>
      </c>
      <c r="D1113" s="116" t="s">
        <v>7778</v>
      </c>
      <c r="E1113" s="528">
        <f>83/3</f>
        <v>27.666666666666668</v>
      </c>
      <c r="F1113" s="528">
        <f t="shared" si="134"/>
        <v>27.666666666666668</v>
      </c>
      <c r="G1113" s="338" t="s">
        <v>124</v>
      </c>
      <c r="H1113" s="216"/>
      <c r="I1113" s="216"/>
      <c r="J1113" s="216"/>
      <c r="K1113" s="216"/>
      <c r="L1113" s="216"/>
      <c r="M1113" s="216"/>
      <c r="N1113" s="216"/>
      <c r="O1113" s="216"/>
      <c r="P1113" s="216"/>
      <c r="Q1113" s="216"/>
      <c r="R1113" s="216"/>
      <c r="S1113" s="216"/>
      <c r="T1113" s="216"/>
      <c r="U1113" s="216"/>
      <c r="V1113" s="216"/>
      <c r="W1113" s="216"/>
      <c r="X1113" s="216"/>
      <c r="Y1113" s="216"/>
      <c r="Z1113" s="216"/>
    </row>
    <row r="1114" spans="1:26" ht="15" customHeight="1">
      <c r="A1114" s="134" t="s">
        <v>7628</v>
      </c>
      <c r="B1114" s="133" t="s">
        <v>105</v>
      </c>
      <c r="C1114" s="133" t="s">
        <v>9077</v>
      </c>
      <c r="D1114" s="116" t="s">
        <v>7778</v>
      </c>
      <c r="E1114" s="528">
        <f>40/3</f>
        <v>13.333333333333334</v>
      </c>
      <c r="F1114" s="528">
        <f t="shared" si="134"/>
        <v>13.333333333333334</v>
      </c>
      <c r="G1114" s="338" t="s">
        <v>124</v>
      </c>
      <c r="H1114" s="216"/>
      <c r="I1114" s="216"/>
      <c r="J1114" s="216"/>
      <c r="K1114" s="216"/>
      <c r="L1114" s="216"/>
      <c r="M1114" s="216"/>
      <c r="N1114" s="216"/>
      <c r="O1114" s="216"/>
      <c r="P1114" s="216"/>
      <c r="Q1114" s="216"/>
      <c r="R1114" s="216"/>
      <c r="S1114" s="216"/>
      <c r="T1114" s="216"/>
      <c r="U1114" s="216"/>
      <c r="V1114" s="216"/>
      <c r="W1114" s="216"/>
      <c r="X1114" s="216"/>
      <c r="Y1114" s="216"/>
      <c r="Z1114" s="216"/>
    </row>
    <row r="1115" spans="1:26" ht="15" customHeight="1">
      <c r="A1115" s="134" t="s">
        <v>7628</v>
      </c>
      <c r="B1115" s="133" t="s">
        <v>105</v>
      </c>
      <c r="C1115" s="133" t="s">
        <v>9078</v>
      </c>
      <c r="D1115" s="116" t="s">
        <v>7778</v>
      </c>
      <c r="E1115" s="528">
        <f>83*0.25/3</f>
        <v>6.916666666666667</v>
      </c>
      <c r="F1115" s="528">
        <f t="shared" si="134"/>
        <v>6.916666666666667</v>
      </c>
      <c r="G1115" s="338" t="s">
        <v>124</v>
      </c>
      <c r="H1115" s="216"/>
      <c r="I1115" s="216"/>
      <c r="J1115" s="216"/>
      <c r="K1115" s="216"/>
      <c r="L1115" s="216"/>
      <c r="M1115" s="216"/>
      <c r="N1115" s="216"/>
      <c r="O1115" s="216"/>
      <c r="P1115" s="216"/>
      <c r="Q1115" s="216"/>
      <c r="R1115" s="216"/>
      <c r="S1115" s="216"/>
      <c r="T1115" s="216"/>
      <c r="U1115" s="216"/>
      <c r="V1115" s="216"/>
      <c r="W1115" s="216"/>
      <c r="X1115" s="216"/>
      <c r="Y1115" s="216"/>
      <c r="Z1115" s="216"/>
    </row>
    <row r="1116" spans="1:26" ht="15" customHeight="1">
      <c r="A1116" s="134" t="s">
        <v>7628</v>
      </c>
      <c r="B1116" s="133" t="s">
        <v>105</v>
      </c>
      <c r="C1116" s="133" t="s">
        <v>9079</v>
      </c>
      <c r="D1116" s="116" t="s">
        <v>7778</v>
      </c>
      <c r="E1116" s="528">
        <f>32*0.25/3</f>
        <v>2.6666666666666665</v>
      </c>
      <c r="F1116" s="528">
        <f t="shared" si="134"/>
        <v>2.6666666666666665</v>
      </c>
      <c r="G1116" s="338" t="s">
        <v>124</v>
      </c>
      <c r="H1116" s="216"/>
      <c r="I1116" s="216"/>
      <c r="J1116" s="216"/>
      <c r="K1116" s="216"/>
      <c r="L1116" s="216"/>
      <c r="M1116" s="216"/>
      <c r="N1116" s="216"/>
      <c r="O1116" s="216"/>
      <c r="P1116" s="216"/>
      <c r="Q1116" s="216"/>
      <c r="R1116" s="216"/>
      <c r="S1116" s="216"/>
      <c r="T1116" s="216"/>
      <c r="U1116" s="216"/>
      <c r="V1116" s="216"/>
      <c r="W1116" s="216"/>
      <c r="X1116" s="216"/>
      <c r="Y1116" s="216"/>
      <c r="Z1116" s="216"/>
    </row>
    <row r="1117" spans="1:26" ht="15" customHeight="1">
      <c r="A1117" s="134" t="s">
        <v>7628</v>
      </c>
      <c r="B1117" s="133" t="s">
        <v>105</v>
      </c>
      <c r="C1117" s="133" t="s">
        <v>9080</v>
      </c>
      <c r="D1117" s="116" t="s">
        <v>7778</v>
      </c>
      <c r="E1117" s="528">
        <f>53*0.25/3</f>
        <v>4.416666666666667</v>
      </c>
      <c r="F1117" s="528">
        <f t="shared" si="134"/>
        <v>4.416666666666667</v>
      </c>
      <c r="G1117" s="338" t="s">
        <v>124</v>
      </c>
      <c r="H1117" s="216"/>
      <c r="I1117" s="216"/>
      <c r="J1117" s="216"/>
      <c r="K1117" s="216"/>
      <c r="L1117" s="216"/>
      <c r="M1117" s="216"/>
      <c r="N1117" s="216"/>
      <c r="O1117" s="216"/>
      <c r="P1117" s="216"/>
      <c r="Q1117" s="216"/>
      <c r="R1117" s="216"/>
      <c r="S1117" s="216"/>
      <c r="T1117" s="216"/>
      <c r="U1117" s="216"/>
      <c r="V1117" s="216"/>
      <c r="W1117" s="216"/>
      <c r="X1117" s="216"/>
      <c r="Y1117" s="216"/>
      <c r="Z1117" s="216"/>
    </row>
    <row r="1118" spans="1:26" ht="15" customHeight="1">
      <c r="A1118" s="134" t="s">
        <v>7628</v>
      </c>
      <c r="B1118" s="133" t="s">
        <v>105</v>
      </c>
      <c r="C1118" s="133" t="s">
        <v>9081</v>
      </c>
      <c r="D1118" s="116" t="s">
        <v>7778</v>
      </c>
      <c r="E1118" s="528">
        <f>44*0.25/3</f>
        <v>3.6666666666666665</v>
      </c>
      <c r="F1118" s="528">
        <f t="shared" si="134"/>
        <v>3.6666666666666665</v>
      </c>
      <c r="G1118" s="338" t="s">
        <v>124</v>
      </c>
      <c r="H1118" s="216"/>
      <c r="I1118" s="216"/>
      <c r="J1118" s="216"/>
      <c r="K1118" s="216"/>
      <c r="L1118" s="216"/>
      <c r="M1118" s="216"/>
      <c r="N1118" s="216"/>
      <c r="O1118" s="216"/>
      <c r="P1118" s="216"/>
      <c r="Q1118" s="216"/>
      <c r="R1118" s="216"/>
      <c r="S1118" s="216"/>
      <c r="T1118" s="216"/>
      <c r="U1118" s="216"/>
      <c r="V1118" s="216"/>
      <c r="W1118" s="216"/>
      <c r="X1118" s="216"/>
      <c r="Y1118" s="216"/>
      <c r="Z1118" s="216"/>
    </row>
    <row r="1119" spans="1:26" ht="15" customHeight="1">
      <c r="A1119" s="134" t="s">
        <v>7628</v>
      </c>
      <c r="B1119" s="133" t="s">
        <v>105</v>
      </c>
      <c r="C1119" s="133" t="s">
        <v>9082</v>
      </c>
      <c r="D1119" s="116" t="s">
        <v>7778</v>
      </c>
      <c r="E1119" s="528">
        <f>83*0.25/3</f>
        <v>6.916666666666667</v>
      </c>
      <c r="F1119" s="528">
        <f t="shared" si="134"/>
        <v>6.916666666666667</v>
      </c>
      <c r="G1119" s="338" t="s">
        <v>124</v>
      </c>
      <c r="H1119" s="216"/>
      <c r="I1119" s="216"/>
      <c r="J1119" s="216"/>
      <c r="K1119" s="216"/>
      <c r="L1119" s="216"/>
      <c r="M1119" s="216"/>
      <c r="N1119" s="216"/>
      <c r="O1119" s="216"/>
      <c r="P1119" s="216"/>
      <c r="Q1119" s="216"/>
      <c r="R1119" s="216"/>
      <c r="S1119" s="216"/>
      <c r="T1119" s="216"/>
      <c r="U1119" s="216"/>
      <c r="V1119" s="216"/>
      <c r="W1119" s="216"/>
      <c r="X1119" s="216"/>
      <c r="Y1119" s="216"/>
      <c r="Z1119" s="216"/>
    </row>
    <row r="1120" spans="1:26" ht="15" customHeight="1">
      <c r="A1120" s="134" t="s">
        <v>7628</v>
      </c>
      <c r="B1120" s="133" t="s">
        <v>105</v>
      </c>
      <c r="C1120" s="133" t="s">
        <v>9083</v>
      </c>
      <c r="D1120" s="116" t="s">
        <v>7778</v>
      </c>
      <c r="E1120" s="528">
        <f>40*0.25/3</f>
        <v>3.3333333333333335</v>
      </c>
      <c r="F1120" s="528">
        <f t="shared" si="134"/>
        <v>3.3333333333333335</v>
      </c>
      <c r="G1120" s="338" t="s">
        <v>124</v>
      </c>
      <c r="H1120" s="216"/>
      <c r="I1120" s="216"/>
      <c r="J1120" s="216"/>
      <c r="K1120" s="216"/>
      <c r="L1120" s="216"/>
      <c r="M1120" s="216"/>
      <c r="N1120" s="216"/>
      <c r="O1120" s="216"/>
      <c r="P1120" s="216"/>
      <c r="Q1120" s="216"/>
      <c r="R1120" s="216"/>
      <c r="S1120" s="216"/>
      <c r="T1120" s="216"/>
      <c r="U1120" s="216"/>
      <c r="V1120" s="216"/>
      <c r="W1120" s="216"/>
      <c r="X1120" s="216"/>
      <c r="Y1120" s="216"/>
      <c r="Z1120" s="216"/>
    </row>
    <row r="1121" spans="1:26" ht="15" customHeight="1">
      <c r="A1121" s="134" t="s">
        <v>7628</v>
      </c>
      <c r="B1121" s="133" t="s">
        <v>105</v>
      </c>
      <c r="C1121" s="133" t="s">
        <v>9084</v>
      </c>
      <c r="D1121" s="116" t="s">
        <v>7778</v>
      </c>
      <c r="E1121" s="528">
        <f>83*0.1/3</f>
        <v>2.7666666666666671</v>
      </c>
      <c r="F1121" s="528">
        <f t="shared" si="134"/>
        <v>2.7666666666666671</v>
      </c>
      <c r="G1121" s="338" t="s">
        <v>124</v>
      </c>
      <c r="H1121" s="216"/>
      <c r="I1121" s="216"/>
      <c r="J1121" s="216"/>
      <c r="K1121" s="216"/>
      <c r="L1121" s="216"/>
      <c r="M1121" s="216"/>
      <c r="N1121" s="216"/>
      <c r="O1121" s="216"/>
      <c r="P1121" s="216"/>
      <c r="Q1121" s="216"/>
      <c r="R1121" s="216"/>
      <c r="S1121" s="216"/>
      <c r="T1121" s="216"/>
      <c r="U1121" s="216"/>
      <c r="V1121" s="216"/>
      <c r="W1121" s="216"/>
      <c r="X1121" s="216"/>
      <c r="Y1121" s="216"/>
      <c r="Z1121" s="216"/>
    </row>
    <row r="1122" spans="1:26" ht="15" customHeight="1">
      <c r="A1122" s="134" t="s">
        <v>7628</v>
      </c>
      <c r="B1122" s="133" t="s">
        <v>105</v>
      </c>
      <c r="C1122" s="133" t="s">
        <v>9085</v>
      </c>
      <c r="D1122" s="116" t="s">
        <v>7778</v>
      </c>
      <c r="E1122" s="528">
        <f>32*0.1/3</f>
        <v>1.0666666666666667</v>
      </c>
      <c r="F1122" s="528">
        <f t="shared" si="134"/>
        <v>1.0666666666666667</v>
      </c>
      <c r="G1122" s="338" t="s">
        <v>124</v>
      </c>
      <c r="H1122" s="216"/>
      <c r="I1122" s="216"/>
      <c r="J1122" s="216"/>
      <c r="K1122" s="216"/>
      <c r="L1122" s="216"/>
      <c r="M1122" s="216"/>
      <c r="N1122" s="216"/>
      <c r="O1122" s="216"/>
      <c r="P1122" s="216"/>
      <c r="Q1122" s="216"/>
      <c r="R1122" s="216"/>
      <c r="S1122" s="216"/>
      <c r="T1122" s="216"/>
      <c r="U1122" s="216"/>
      <c r="V1122" s="216"/>
      <c r="W1122" s="216"/>
      <c r="X1122" s="216"/>
      <c r="Y1122" s="216"/>
      <c r="Z1122" s="216"/>
    </row>
    <row r="1123" spans="1:26" ht="15" customHeight="1">
      <c r="A1123" s="134" t="s">
        <v>7628</v>
      </c>
      <c r="B1123" s="133" t="s">
        <v>105</v>
      </c>
      <c r="C1123" s="133" t="s">
        <v>9086</v>
      </c>
      <c r="D1123" s="116" t="s">
        <v>7778</v>
      </c>
      <c r="E1123" s="528">
        <f>53*0.1/3</f>
        <v>1.7666666666666668</v>
      </c>
      <c r="F1123" s="528">
        <f t="shared" si="134"/>
        <v>1.7666666666666668</v>
      </c>
      <c r="G1123" s="338" t="s">
        <v>124</v>
      </c>
      <c r="H1123" s="216"/>
      <c r="I1123" s="216"/>
      <c r="J1123" s="216"/>
      <c r="K1123" s="216"/>
      <c r="L1123" s="216"/>
      <c r="M1123" s="216"/>
      <c r="N1123" s="216"/>
      <c r="O1123" s="216"/>
      <c r="P1123" s="216"/>
      <c r="Q1123" s="216"/>
      <c r="R1123" s="216"/>
      <c r="S1123" s="216"/>
      <c r="T1123" s="216"/>
      <c r="U1123" s="216"/>
      <c r="V1123" s="216"/>
      <c r="W1123" s="216"/>
      <c r="X1123" s="216"/>
      <c r="Y1123" s="216"/>
      <c r="Z1123" s="216"/>
    </row>
    <row r="1124" spans="1:26" ht="15" customHeight="1">
      <c r="A1124" s="134" t="s">
        <v>7628</v>
      </c>
      <c r="B1124" s="133" t="s">
        <v>105</v>
      </c>
      <c r="C1124" s="133" t="s">
        <v>9087</v>
      </c>
      <c r="D1124" s="116" t="s">
        <v>7778</v>
      </c>
      <c r="E1124" s="528">
        <f>44*0.1/3</f>
        <v>1.4666666666666668</v>
      </c>
      <c r="F1124" s="528">
        <f t="shared" si="134"/>
        <v>1.4666666666666668</v>
      </c>
      <c r="G1124" s="338" t="s">
        <v>124</v>
      </c>
      <c r="H1124" s="216"/>
      <c r="I1124" s="216"/>
      <c r="J1124" s="216"/>
      <c r="K1124" s="216"/>
      <c r="L1124" s="216"/>
      <c r="M1124" s="216"/>
      <c r="N1124" s="216"/>
      <c r="O1124" s="216"/>
      <c r="P1124" s="216"/>
      <c r="Q1124" s="216"/>
      <c r="R1124" s="216"/>
      <c r="S1124" s="216"/>
      <c r="T1124" s="216"/>
      <c r="U1124" s="216"/>
      <c r="V1124" s="216"/>
      <c r="W1124" s="216"/>
      <c r="X1124" s="216"/>
      <c r="Y1124" s="216"/>
      <c r="Z1124" s="216"/>
    </row>
    <row r="1125" spans="1:26" ht="15" customHeight="1">
      <c r="A1125" s="134" t="s">
        <v>7628</v>
      </c>
      <c r="B1125" s="133" t="s">
        <v>105</v>
      </c>
      <c r="C1125" s="133" t="s">
        <v>9088</v>
      </c>
      <c r="D1125" s="116" t="s">
        <v>7778</v>
      </c>
      <c r="E1125" s="528">
        <f>83*0.1/3</f>
        <v>2.7666666666666671</v>
      </c>
      <c r="F1125" s="528">
        <f t="shared" si="134"/>
        <v>2.7666666666666671</v>
      </c>
      <c r="G1125" s="338" t="s">
        <v>124</v>
      </c>
      <c r="H1125" s="216"/>
      <c r="I1125" s="216"/>
      <c r="J1125" s="216"/>
      <c r="K1125" s="216"/>
      <c r="L1125" s="216"/>
      <c r="M1125" s="216"/>
      <c r="N1125" s="216"/>
      <c r="O1125" s="216"/>
      <c r="P1125" s="216"/>
      <c r="Q1125" s="216"/>
      <c r="R1125" s="216"/>
      <c r="S1125" s="216"/>
      <c r="T1125" s="216"/>
      <c r="U1125" s="216"/>
      <c r="V1125" s="216"/>
      <c r="W1125" s="216"/>
      <c r="X1125" s="216"/>
      <c r="Y1125" s="216"/>
      <c r="Z1125" s="216"/>
    </row>
    <row r="1126" spans="1:26" ht="15" customHeight="1">
      <c r="A1126" s="134" t="s">
        <v>7628</v>
      </c>
      <c r="B1126" s="133" t="s">
        <v>105</v>
      </c>
      <c r="C1126" s="133" t="s">
        <v>9089</v>
      </c>
      <c r="D1126" s="116" t="s">
        <v>7778</v>
      </c>
      <c r="E1126" s="528">
        <f>40*0.1/3</f>
        <v>1.3333333333333333</v>
      </c>
      <c r="F1126" s="528">
        <f t="shared" si="134"/>
        <v>1.3333333333333333</v>
      </c>
      <c r="G1126" s="338" t="s">
        <v>124</v>
      </c>
      <c r="H1126" s="216"/>
      <c r="I1126" s="216"/>
      <c r="J1126" s="216"/>
      <c r="K1126" s="216"/>
      <c r="L1126" s="216"/>
      <c r="M1126" s="216"/>
      <c r="N1126" s="216"/>
      <c r="O1126" s="216"/>
      <c r="P1126" s="216"/>
      <c r="Q1126" s="216"/>
      <c r="R1126" s="216"/>
      <c r="S1126" s="216"/>
      <c r="T1126" s="216"/>
      <c r="U1126" s="216"/>
      <c r="V1126" s="216"/>
      <c r="W1126" s="216"/>
      <c r="X1126" s="216"/>
      <c r="Y1126" s="216"/>
      <c r="Z1126" s="216"/>
    </row>
    <row r="1127" spans="1:26" ht="15" customHeight="1">
      <c r="A1127" s="134" t="s">
        <v>7263</v>
      </c>
      <c r="B1127" s="133" t="s">
        <v>105</v>
      </c>
      <c r="C1127" s="301" t="s">
        <v>9090</v>
      </c>
      <c r="D1127" s="100" t="s">
        <v>7778</v>
      </c>
      <c r="E1127" s="186">
        <v>3.67</v>
      </c>
      <c r="F1127" s="528">
        <v>3.67</v>
      </c>
      <c r="G1127" s="338" t="s">
        <v>125</v>
      </c>
      <c r="H1127" s="216"/>
      <c r="I1127" s="216"/>
      <c r="J1127" s="216"/>
      <c r="K1127" s="216"/>
      <c r="L1127" s="216"/>
      <c r="M1127" s="216"/>
      <c r="N1127" s="216"/>
      <c r="O1127" s="216"/>
      <c r="P1127" s="216"/>
      <c r="Q1127" s="216"/>
      <c r="R1127" s="216"/>
      <c r="S1127" s="216"/>
      <c r="T1127" s="216"/>
      <c r="U1127" s="216"/>
      <c r="V1127" s="216"/>
      <c r="W1127" s="216"/>
      <c r="X1127" s="216"/>
      <c r="Y1127" s="216"/>
      <c r="Z1127" s="216"/>
    </row>
    <row r="1128" spans="1:26" ht="15" customHeight="1">
      <c r="A1128" s="134" t="s">
        <v>7263</v>
      </c>
      <c r="B1128" s="133" t="s">
        <v>105</v>
      </c>
      <c r="C1128" s="301" t="s">
        <v>9091</v>
      </c>
      <c r="D1128" s="100" t="s">
        <v>7778</v>
      </c>
      <c r="E1128" s="186">
        <v>3.67</v>
      </c>
      <c r="F1128" s="528">
        <v>3.67</v>
      </c>
      <c r="G1128" s="338" t="s">
        <v>125</v>
      </c>
      <c r="H1128" s="216"/>
      <c r="I1128" s="216"/>
      <c r="J1128" s="216"/>
      <c r="K1128" s="216"/>
      <c r="L1128" s="216"/>
      <c r="M1128" s="216"/>
      <c r="N1128" s="216"/>
      <c r="O1128" s="216"/>
      <c r="P1128" s="216"/>
      <c r="Q1128" s="216"/>
      <c r="R1128" s="216"/>
      <c r="S1128" s="216"/>
      <c r="T1128" s="216"/>
      <c r="U1128" s="216"/>
      <c r="V1128" s="216"/>
      <c r="W1128" s="216"/>
      <c r="X1128" s="216"/>
      <c r="Y1128" s="216"/>
      <c r="Z1128" s="216"/>
    </row>
    <row r="1129" spans="1:26" ht="15" customHeight="1">
      <c r="A1129" s="134" t="s">
        <v>7263</v>
      </c>
      <c r="B1129" s="133" t="s">
        <v>105</v>
      </c>
      <c r="C1129" s="301" t="s">
        <v>9092</v>
      </c>
      <c r="D1129" s="100" t="s">
        <v>7778</v>
      </c>
      <c r="E1129" s="186">
        <v>0.91</v>
      </c>
      <c r="F1129" s="528">
        <v>0.91</v>
      </c>
      <c r="G1129" s="338" t="s">
        <v>125</v>
      </c>
      <c r="H1129" s="216"/>
      <c r="I1129" s="216"/>
      <c r="J1129" s="216"/>
      <c r="K1129" s="216"/>
      <c r="L1129" s="216"/>
      <c r="M1129" s="216"/>
      <c r="N1129" s="216"/>
      <c r="O1129" s="216"/>
      <c r="P1129" s="216"/>
      <c r="Q1129" s="216"/>
      <c r="R1129" s="216"/>
      <c r="S1129" s="216"/>
      <c r="T1129" s="216"/>
      <c r="U1129" s="216"/>
      <c r="V1129" s="216"/>
      <c r="W1129" s="216"/>
      <c r="X1129" s="216"/>
      <c r="Y1129" s="216"/>
      <c r="Z1129" s="216"/>
    </row>
    <row r="1130" spans="1:26" ht="15" customHeight="1">
      <c r="A1130" s="134" t="s">
        <v>7263</v>
      </c>
      <c r="B1130" s="133" t="s">
        <v>105</v>
      </c>
      <c r="C1130" s="301" t="s">
        <v>9093</v>
      </c>
      <c r="D1130" s="100" t="s">
        <v>7778</v>
      </c>
      <c r="E1130" s="186">
        <v>6.33</v>
      </c>
      <c r="F1130" s="528">
        <v>6.33</v>
      </c>
      <c r="G1130" s="338" t="s">
        <v>125</v>
      </c>
      <c r="H1130" s="216"/>
      <c r="I1130" s="216"/>
      <c r="J1130" s="216"/>
      <c r="K1130" s="216"/>
      <c r="L1130" s="216"/>
      <c r="M1130" s="216"/>
      <c r="N1130" s="216"/>
      <c r="O1130" s="216"/>
      <c r="P1130" s="216"/>
      <c r="Q1130" s="216"/>
      <c r="R1130" s="216"/>
      <c r="S1130" s="216"/>
      <c r="T1130" s="216"/>
      <c r="U1130" s="216"/>
      <c r="V1130" s="216"/>
      <c r="W1130" s="216"/>
      <c r="X1130" s="216"/>
      <c r="Y1130" s="216"/>
      <c r="Z1130" s="216"/>
    </row>
    <row r="1131" spans="1:26" ht="15" customHeight="1">
      <c r="A1131" s="134" t="s">
        <v>7263</v>
      </c>
      <c r="B1131" s="133" t="s">
        <v>105</v>
      </c>
      <c r="C1131" s="301" t="s">
        <v>9094</v>
      </c>
      <c r="D1131" s="100" t="s">
        <v>7778</v>
      </c>
      <c r="E1131" s="186">
        <v>6.33</v>
      </c>
      <c r="F1131" s="528">
        <v>6.33</v>
      </c>
      <c r="G1131" s="338" t="s">
        <v>125</v>
      </c>
      <c r="H1131" s="216"/>
      <c r="I1131" s="216"/>
      <c r="J1131" s="216"/>
      <c r="K1131" s="216"/>
      <c r="L1131" s="216"/>
      <c r="M1131" s="216"/>
      <c r="N1131" s="216"/>
      <c r="O1131" s="216"/>
      <c r="P1131" s="216"/>
      <c r="Q1131" s="216"/>
      <c r="R1131" s="216"/>
      <c r="S1131" s="216"/>
      <c r="T1131" s="216"/>
      <c r="U1131" s="216"/>
      <c r="V1131" s="216"/>
      <c r="W1131" s="216"/>
      <c r="X1131" s="216"/>
      <c r="Y1131" s="216"/>
      <c r="Z1131" s="216"/>
    </row>
    <row r="1132" spans="1:26" ht="15" customHeight="1">
      <c r="A1132" s="134" t="s">
        <v>7263</v>
      </c>
      <c r="B1132" s="133" t="s">
        <v>105</v>
      </c>
      <c r="C1132" s="301" t="s">
        <v>9095</v>
      </c>
      <c r="D1132" s="100" t="s">
        <v>7778</v>
      </c>
      <c r="E1132" s="186">
        <v>3.67</v>
      </c>
      <c r="F1132" s="528">
        <v>3.67</v>
      </c>
      <c r="G1132" s="338" t="s">
        <v>125</v>
      </c>
      <c r="H1132" s="216"/>
      <c r="I1132" s="216"/>
      <c r="J1132" s="216"/>
      <c r="K1132" s="216"/>
      <c r="L1132" s="216"/>
      <c r="M1132" s="216"/>
      <c r="N1132" s="216"/>
      <c r="O1132" s="216"/>
      <c r="P1132" s="216"/>
      <c r="Q1132" s="216"/>
      <c r="R1132" s="216"/>
      <c r="S1132" s="216"/>
      <c r="T1132" s="216"/>
      <c r="U1132" s="216"/>
      <c r="V1132" s="216"/>
      <c r="W1132" s="216"/>
      <c r="X1132" s="216"/>
      <c r="Y1132" s="216"/>
      <c r="Z1132" s="216"/>
    </row>
    <row r="1133" spans="1:26" ht="15" customHeight="1">
      <c r="A1133" s="134" t="s">
        <v>7263</v>
      </c>
      <c r="B1133" s="133" t="s">
        <v>105</v>
      </c>
      <c r="C1133" s="301" t="s">
        <v>9096</v>
      </c>
      <c r="D1133" s="100" t="s">
        <v>7778</v>
      </c>
      <c r="E1133" s="186">
        <v>3.67</v>
      </c>
      <c r="F1133" s="528">
        <v>3.67</v>
      </c>
      <c r="G1133" s="338" t="s">
        <v>125</v>
      </c>
      <c r="H1133" s="216"/>
      <c r="I1133" s="216"/>
      <c r="J1133" s="216"/>
      <c r="K1133" s="216"/>
      <c r="L1133" s="216"/>
      <c r="M1133" s="216"/>
      <c r="N1133" s="216"/>
      <c r="O1133" s="216"/>
      <c r="P1133" s="216"/>
      <c r="Q1133" s="216"/>
      <c r="R1133" s="216"/>
      <c r="S1133" s="216"/>
      <c r="T1133" s="216"/>
      <c r="U1133" s="216"/>
      <c r="V1133" s="216"/>
      <c r="W1133" s="216"/>
      <c r="X1133" s="216"/>
      <c r="Y1133" s="216"/>
      <c r="Z1133" s="216"/>
    </row>
    <row r="1134" spans="1:26" ht="15" customHeight="1">
      <c r="A1134" s="134" t="s">
        <v>7263</v>
      </c>
      <c r="B1134" s="133" t="s">
        <v>105</v>
      </c>
      <c r="C1134" s="301" t="s">
        <v>9097</v>
      </c>
      <c r="D1134" s="100" t="s">
        <v>7778</v>
      </c>
      <c r="E1134" s="186">
        <v>0.92</v>
      </c>
      <c r="F1134" s="528">
        <v>0.92</v>
      </c>
      <c r="G1134" s="338" t="s">
        <v>125</v>
      </c>
      <c r="H1134" s="216"/>
      <c r="I1134" s="216"/>
      <c r="J1134" s="216"/>
      <c r="K1134" s="216"/>
      <c r="L1134" s="216"/>
      <c r="M1134" s="216"/>
      <c r="N1134" s="216"/>
      <c r="O1134" s="216"/>
      <c r="P1134" s="216"/>
      <c r="Q1134" s="216"/>
      <c r="R1134" s="216"/>
      <c r="S1134" s="216"/>
      <c r="T1134" s="216"/>
      <c r="U1134" s="216"/>
      <c r="V1134" s="216"/>
      <c r="W1134" s="216"/>
      <c r="X1134" s="216"/>
      <c r="Y1134" s="216"/>
      <c r="Z1134" s="216"/>
    </row>
    <row r="1135" spans="1:26" ht="15" customHeight="1">
      <c r="A1135" s="134" t="s">
        <v>7263</v>
      </c>
      <c r="B1135" s="133" t="s">
        <v>105</v>
      </c>
      <c r="C1135" s="301" t="s">
        <v>9098</v>
      </c>
      <c r="D1135" s="100" t="s">
        <v>7778</v>
      </c>
      <c r="E1135" s="186">
        <v>6.33</v>
      </c>
      <c r="F1135" s="528">
        <v>6.33</v>
      </c>
      <c r="G1135" s="338" t="s">
        <v>125</v>
      </c>
      <c r="H1135" s="216"/>
      <c r="I1135" s="216"/>
      <c r="J1135" s="216"/>
      <c r="K1135" s="216"/>
      <c r="L1135" s="216"/>
      <c r="M1135" s="216"/>
      <c r="N1135" s="216"/>
      <c r="O1135" s="216"/>
      <c r="P1135" s="216"/>
      <c r="Q1135" s="216"/>
      <c r="R1135" s="216"/>
      <c r="S1135" s="216"/>
      <c r="T1135" s="216"/>
      <c r="U1135" s="216"/>
      <c r="V1135" s="216"/>
      <c r="W1135" s="216"/>
      <c r="X1135" s="216"/>
      <c r="Y1135" s="216"/>
      <c r="Z1135" s="216"/>
    </row>
    <row r="1136" spans="1:26" ht="15" customHeight="1">
      <c r="A1136" s="134" t="s">
        <v>7263</v>
      </c>
      <c r="B1136" s="133" t="s">
        <v>105</v>
      </c>
      <c r="C1136" s="301" t="s">
        <v>9099</v>
      </c>
      <c r="D1136" s="100" t="s">
        <v>7778</v>
      </c>
      <c r="E1136" s="186">
        <v>6.33</v>
      </c>
      <c r="F1136" s="528">
        <v>6.33</v>
      </c>
      <c r="G1136" s="338" t="s">
        <v>125</v>
      </c>
      <c r="H1136" s="216"/>
      <c r="I1136" s="216"/>
      <c r="J1136" s="216"/>
      <c r="K1136" s="216"/>
      <c r="L1136" s="216"/>
      <c r="M1136" s="216"/>
      <c r="N1136" s="216"/>
      <c r="O1136" s="216"/>
      <c r="P1136" s="216"/>
      <c r="Q1136" s="216"/>
      <c r="R1136" s="216"/>
      <c r="S1136" s="216"/>
      <c r="T1136" s="216"/>
      <c r="U1136" s="216"/>
      <c r="V1136" s="216"/>
      <c r="W1136" s="216"/>
      <c r="X1136" s="216"/>
      <c r="Y1136" s="216"/>
      <c r="Z1136" s="216"/>
    </row>
    <row r="1137" spans="1:26" ht="15" customHeight="1">
      <c r="A1137" s="134" t="s">
        <v>7263</v>
      </c>
      <c r="B1137" s="133" t="s">
        <v>105</v>
      </c>
      <c r="C1137" s="301" t="s">
        <v>9100</v>
      </c>
      <c r="D1137" s="100" t="s">
        <v>7778</v>
      </c>
      <c r="E1137" s="186">
        <v>1.58</v>
      </c>
      <c r="F1137" s="528">
        <v>1.58</v>
      </c>
      <c r="G1137" s="338" t="s">
        <v>125</v>
      </c>
      <c r="H1137" s="216"/>
      <c r="I1137" s="216"/>
      <c r="J1137" s="216"/>
      <c r="K1137" s="216"/>
      <c r="L1137" s="216"/>
      <c r="M1137" s="216"/>
      <c r="N1137" s="216"/>
      <c r="O1137" s="216"/>
      <c r="P1137" s="216"/>
      <c r="Q1137" s="216"/>
      <c r="R1137" s="216"/>
      <c r="S1137" s="216"/>
      <c r="T1137" s="216"/>
      <c r="U1137" s="216"/>
      <c r="V1137" s="216"/>
      <c r="W1137" s="216"/>
      <c r="X1137" s="216"/>
      <c r="Y1137" s="216"/>
      <c r="Z1137" s="216"/>
    </row>
    <row r="1138" spans="1:26" ht="15" customHeight="1">
      <c r="A1138" s="134" t="s">
        <v>7263</v>
      </c>
      <c r="B1138" s="133" t="s">
        <v>105</v>
      </c>
      <c r="C1138" s="301" t="s">
        <v>9101</v>
      </c>
      <c r="D1138" s="100" t="s">
        <v>7778</v>
      </c>
      <c r="E1138" s="186">
        <v>5.66</v>
      </c>
      <c r="F1138" s="528">
        <v>5.66</v>
      </c>
      <c r="G1138" s="338" t="s">
        <v>125</v>
      </c>
      <c r="H1138" s="216"/>
      <c r="I1138" s="216"/>
      <c r="J1138" s="216"/>
      <c r="K1138" s="216"/>
      <c r="L1138" s="216"/>
      <c r="M1138" s="216"/>
      <c r="N1138" s="216"/>
      <c r="O1138" s="216"/>
      <c r="P1138" s="216"/>
      <c r="Q1138" s="216"/>
      <c r="R1138" s="216"/>
      <c r="S1138" s="216"/>
      <c r="T1138" s="216"/>
      <c r="U1138" s="216"/>
      <c r="V1138" s="216"/>
      <c r="W1138" s="216"/>
      <c r="X1138" s="216"/>
      <c r="Y1138" s="216"/>
      <c r="Z1138" s="216"/>
    </row>
    <row r="1139" spans="1:26" ht="15" customHeight="1">
      <c r="A1139" s="134" t="s">
        <v>7263</v>
      </c>
      <c r="B1139" s="133" t="s">
        <v>105</v>
      </c>
      <c r="C1139" s="301" t="s">
        <v>9102</v>
      </c>
      <c r="D1139" s="100" t="s">
        <v>7778</v>
      </c>
      <c r="E1139" s="186">
        <v>5.66</v>
      </c>
      <c r="F1139" s="528">
        <v>5.66</v>
      </c>
      <c r="G1139" s="338" t="s">
        <v>125</v>
      </c>
      <c r="H1139" s="216"/>
      <c r="I1139" s="216"/>
      <c r="J1139" s="216"/>
      <c r="K1139" s="216"/>
      <c r="L1139" s="216"/>
      <c r="M1139" s="216"/>
      <c r="N1139" s="216"/>
      <c r="O1139" s="216"/>
      <c r="P1139" s="216"/>
      <c r="Q1139" s="216"/>
      <c r="R1139" s="216"/>
      <c r="S1139" s="216"/>
      <c r="T1139" s="216"/>
      <c r="U1139" s="216"/>
      <c r="V1139" s="216"/>
      <c r="W1139" s="216"/>
      <c r="X1139" s="216"/>
      <c r="Y1139" s="216"/>
      <c r="Z1139" s="216"/>
    </row>
    <row r="1140" spans="1:26" ht="15" customHeight="1">
      <c r="A1140" s="134" t="s">
        <v>7263</v>
      </c>
      <c r="B1140" s="133" t="s">
        <v>105</v>
      </c>
      <c r="C1140" s="301" t="s">
        <v>9103</v>
      </c>
      <c r="D1140" s="100" t="s">
        <v>7778</v>
      </c>
      <c r="E1140" s="186">
        <v>1.41</v>
      </c>
      <c r="F1140" s="528">
        <v>1.41</v>
      </c>
      <c r="G1140" s="338" t="s">
        <v>125</v>
      </c>
      <c r="H1140" s="216"/>
      <c r="I1140" s="216"/>
      <c r="J1140" s="216"/>
      <c r="K1140" s="216"/>
      <c r="L1140" s="216"/>
      <c r="M1140" s="216"/>
      <c r="N1140" s="216"/>
      <c r="O1140" s="216"/>
      <c r="P1140" s="216"/>
      <c r="Q1140" s="216"/>
      <c r="R1140" s="216"/>
      <c r="S1140" s="216"/>
      <c r="T1140" s="216"/>
      <c r="U1140" s="216"/>
      <c r="V1140" s="216"/>
      <c r="W1140" s="216"/>
      <c r="X1140" s="216"/>
      <c r="Y1140" s="216"/>
      <c r="Z1140" s="216"/>
    </row>
    <row r="1141" spans="1:26" ht="15" customHeight="1">
      <c r="A1141" s="134" t="s">
        <v>7263</v>
      </c>
      <c r="B1141" s="133" t="s">
        <v>105</v>
      </c>
      <c r="C1141" s="301" t="s">
        <v>9104</v>
      </c>
      <c r="D1141" s="100" t="s">
        <v>7778</v>
      </c>
      <c r="E1141" s="186">
        <v>0.56000000000000005</v>
      </c>
      <c r="F1141" s="528">
        <v>0.56000000000000005</v>
      </c>
      <c r="G1141" s="338" t="s">
        <v>125</v>
      </c>
      <c r="H1141" s="216"/>
      <c r="I1141" s="216"/>
      <c r="J1141" s="216"/>
      <c r="K1141" s="216"/>
      <c r="L1141" s="216"/>
      <c r="M1141" s="216"/>
      <c r="N1141" s="216"/>
      <c r="O1141" s="216"/>
      <c r="P1141" s="216"/>
      <c r="Q1141" s="216"/>
      <c r="R1141" s="216"/>
      <c r="S1141" s="216"/>
      <c r="T1141" s="216"/>
      <c r="U1141" s="216"/>
      <c r="V1141" s="216"/>
      <c r="W1141" s="216"/>
      <c r="X1141" s="216"/>
      <c r="Y1141" s="216"/>
      <c r="Z1141" s="216"/>
    </row>
    <row r="1142" spans="1:26" ht="15" customHeight="1">
      <c r="A1142" s="134" t="s">
        <v>7263</v>
      </c>
      <c r="B1142" s="133"/>
      <c r="C1142" s="301" t="s">
        <v>9105</v>
      </c>
      <c r="D1142" s="100" t="s">
        <v>7790</v>
      </c>
      <c r="E1142" s="186">
        <v>5.67</v>
      </c>
      <c r="F1142" s="528">
        <v>5.67</v>
      </c>
      <c r="G1142" s="338" t="s">
        <v>125</v>
      </c>
      <c r="H1142" s="216"/>
      <c r="I1142" s="216"/>
      <c r="J1142" s="216"/>
      <c r="K1142" s="216"/>
      <c r="L1142" s="216"/>
      <c r="M1142" s="216"/>
      <c r="N1142" s="216"/>
      <c r="O1142" s="216"/>
      <c r="P1142" s="216"/>
      <c r="Q1142" s="216"/>
      <c r="R1142" s="216"/>
      <c r="S1142" s="216"/>
      <c r="T1142" s="216"/>
      <c r="U1142" s="216"/>
      <c r="V1142" s="216"/>
      <c r="W1142" s="216"/>
      <c r="X1142" s="216"/>
      <c r="Y1142" s="216"/>
      <c r="Z1142" s="216"/>
    </row>
    <row r="1143" spans="1:26" ht="15" customHeight="1">
      <c r="A1143" s="134" t="s">
        <v>7263</v>
      </c>
      <c r="B1143" s="133" t="s">
        <v>105</v>
      </c>
      <c r="C1143" s="301" t="s">
        <v>9106</v>
      </c>
      <c r="D1143" s="100" t="s">
        <v>7778</v>
      </c>
      <c r="E1143" s="186">
        <v>5.66</v>
      </c>
      <c r="F1143" s="528">
        <v>5.66</v>
      </c>
      <c r="G1143" s="338" t="s">
        <v>125</v>
      </c>
      <c r="H1143" s="216"/>
      <c r="I1143" s="216"/>
      <c r="J1143" s="216"/>
      <c r="K1143" s="216"/>
      <c r="L1143" s="216"/>
      <c r="M1143" s="216"/>
      <c r="N1143" s="216"/>
      <c r="O1143" s="216"/>
      <c r="P1143" s="216"/>
      <c r="Q1143" s="216"/>
      <c r="R1143" s="216"/>
      <c r="S1143" s="216"/>
      <c r="T1143" s="216"/>
      <c r="U1143" s="216"/>
      <c r="V1143" s="216"/>
      <c r="W1143" s="216"/>
      <c r="X1143" s="216"/>
      <c r="Y1143" s="216"/>
      <c r="Z1143" s="216"/>
    </row>
    <row r="1144" spans="1:26" ht="15" customHeight="1">
      <c r="A1144" s="134" t="s">
        <v>7263</v>
      </c>
      <c r="B1144" s="133" t="s">
        <v>105</v>
      </c>
      <c r="C1144" s="301" t="s">
        <v>9107</v>
      </c>
      <c r="D1144" s="100" t="s">
        <v>7778</v>
      </c>
      <c r="E1144" s="186">
        <v>5.66</v>
      </c>
      <c r="F1144" s="528">
        <v>5.66</v>
      </c>
      <c r="G1144" s="338" t="s">
        <v>125</v>
      </c>
      <c r="H1144" s="216"/>
      <c r="I1144" s="216"/>
      <c r="J1144" s="216"/>
      <c r="K1144" s="216"/>
      <c r="L1144" s="216"/>
      <c r="M1144" s="216"/>
      <c r="N1144" s="216"/>
      <c r="O1144" s="216"/>
      <c r="P1144" s="216"/>
      <c r="Q1144" s="216"/>
      <c r="R1144" s="216"/>
      <c r="S1144" s="216"/>
      <c r="T1144" s="216"/>
      <c r="U1144" s="216"/>
      <c r="V1144" s="216"/>
      <c r="W1144" s="216"/>
      <c r="X1144" s="216"/>
      <c r="Y1144" s="216"/>
      <c r="Z1144" s="216"/>
    </row>
    <row r="1145" spans="1:26" ht="15" customHeight="1">
      <c r="A1145" s="134" t="s">
        <v>7263</v>
      </c>
      <c r="B1145" s="133" t="s">
        <v>105</v>
      </c>
      <c r="C1145" s="301" t="s">
        <v>9108</v>
      </c>
      <c r="D1145" s="100" t="s">
        <v>7778</v>
      </c>
      <c r="E1145" s="186">
        <v>5.66</v>
      </c>
      <c r="F1145" s="528">
        <v>5.66</v>
      </c>
      <c r="G1145" s="338" t="s">
        <v>125</v>
      </c>
      <c r="H1145" s="216"/>
      <c r="I1145" s="216"/>
      <c r="J1145" s="216"/>
      <c r="K1145" s="216"/>
      <c r="L1145" s="216"/>
      <c r="M1145" s="216"/>
      <c r="N1145" s="216"/>
      <c r="O1145" s="216"/>
      <c r="P1145" s="216"/>
      <c r="Q1145" s="216"/>
      <c r="R1145" s="216"/>
      <c r="S1145" s="216"/>
      <c r="T1145" s="216"/>
      <c r="U1145" s="216"/>
      <c r="V1145" s="216"/>
      <c r="W1145" s="216"/>
      <c r="X1145" s="216"/>
      <c r="Y1145" s="216"/>
      <c r="Z1145" s="216"/>
    </row>
    <row r="1146" spans="1:26" ht="15" customHeight="1">
      <c r="A1146" s="134" t="s">
        <v>7263</v>
      </c>
      <c r="B1146" s="133" t="s">
        <v>105</v>
      </c>
      <c r="C1146" s="301" t="s">
        <v>9109</v>
      </c>
      <c r="D1146" s="100" t="s">
        <v>7778</v>
      </c>
      <c r="E1146" s="186">
        <v>5.66</v>
      </c>
      <c r="F1146" s="528">
        <v>5.66</v>
      </c>
      <c r="G1146" s="338" t="s">
        <v>125</v>
      </c>
      <c r="H1146" s="216"/>
      <c r="I1146" s="216"/>
      <c r="J1146" s="216"/>
      <c r="K1146" s="216"/>
      <c r="L1146" s="216"/>
      <c r="M1146" s="216"/>
      <c r="N1146" s="216"/>
      <c r="O1146" s="216"/>
      <c r="P1146" s="216"/>
      <c r="Q1146" s="216"/>
      <c r="R1146" s="216"/>
      <c r="S1146" s="216"/>
      <c r="T1146" s="216"/>
      <c r="U1146" s="216"/>
      <c r="V1146" s="216"/>
      <c r="W1146" s="216"/>
      <c r="X1146" s="216"/>
      <c r="Y1146" s="216"/>
      <c r="Z1146" s="216"/>
    </row>
    <row r="1147" spans="1:26" ht="15" customHeight="1">
      <c r="A1147" s="134" t="s">
        <v>7263</v>
      </c>
      <c r="B1147" s="133" t="s">
        <v>105</v>
      </c>
      <c r="C1147" s="301" t="s">
        <v>9110</v>
      </c>
      <c r="D1147" s="100" t="s">
        <v>7778</v>
      </c>
      <c r="E1147" s="186">
        <v>5.66</v>
      </c>
      <c r="F1147" s="528">
        <v>5.66</v>
      </c>
      <c r="G1147" s="338" t="s">
        <v>125</v>
      </c>
      <c r="H1147" s="216"/>
      <c r="I1147" s="216"/>
      <c r="J1147" s="216"/>
      <c r="K1147" s="216"/>
      <c r="L1147" s="216"/>
      <c r="M1147" s="216"/>
      <c r="N1147" s="216"/>
      <c r="O1147" s="216"/>
      <c r="P1147" s="216"/>
      <c r="Q1147" s="216"/>
      <c r="R1147" s="216"/>
      <c r="S1147" s="216"/>
      <c r="T1147" s="216"/>
      <c r="U1147" s="216"/>
      <c r="V1147" s="216"/>
      <c r="W1147" s="216"/>
      <c r="X1147" s="216"/>
      <c r="Y1147" s="216"/>
      <c r="Z1147" s="216"/>
    </row>
    <row r="1148" spans="1:26" ht="15" customHeight="1">
      <c r="A1148" s="134" t="s">
        <v>7263</v>
      </c>
      <c r="B1148" s="133" t="s">
        <v>105</v>
      </c>
      <c r="C1148" s="301" t="s">
        <v>9111</v>
      </c>
      <c r="D1148" s="100" t="s">
        <v>7778</v>
      </c>
      <c r="E1148" s="186">
        <v>5.66</v>
      </c>
      <c r="F1148" s="528">
        <v>5.66</v>
      </c>
      <c r="G1148" s="338" t="s">
        <v>125</v>
      </c>
      <c r="H1148" s="216"/>
      <c r="I1148" s="216"/>
      <c r="J1148" s="216"/>
      <c r="K1148" s="216"/>
      <c r="L1148" s="216"/>
      <c r="M1148" s="216"/>
      <c r="N1148" s="216"/>
      <c r="O1148" s="216"/>
      <c r="P1148" s="216"/>
      <c r="Q1148" s="216"/>
      <c r="R1148" s="216"/>
      <c r="S1148" s="216"/>
      <c r="T1148" s="216"/>
      <c r="U1148" s="216"/>
      <c r="V1148" s="216"/>
      <c r="W1148" s="216"/>
      <c r="X1148" s="216"/>
      <c r="Y1148" s="216"/>
      <c r="Z1148" s="216"/>
    </row>
    <row r="1149" spans="1:26" ht="15" customHeight="1">
      <c r="A1149" s="134" t="s">
        <v>7263</v>
      </c>
      <c r="B1149" s="133" t="s">
        <v>105</v>
      </c>
      <c r="C1149" s="301" t="s">
        <v>9112</v>
      </c>
      <c r="D1149" s="100" t="s">
        <v>7778</v>
      </c>
      <c r="E1149" s="186">
        <v>1.42</v>
      </c>
      <c r="F1149" s="528">
        <v>1.42</v>
      </c>
      <c r="G1149" s="338" t="s">
        <v>125</v>
      </c>
      <c r="H1149" s="216"/>
      <c r="I1149" s="216"/>
      <c r="J1149" s="216"/>
      <c r="K1149" s="216"/>
      <c r="L1149" s="216"/>
      <c r="M1149" s="216"/>
      <c r="N1149" s="216"/>
      <c r="O1149" s="216"/>
      <c r="P1149" s="216"/>
      <c r="Q1149" s="216"/>
      <c r="R1149" s="216"/>
      <c r="S1149" s="216"/>
      <c r="T1149" s="216"/>
      <c r="U1149" s="216"/>
      <c r="V1149" s="216"/>
      <c r="W1149" s="216"/>
      <c r="X1149" s="216"/>
      <c r="Y1149" s="216"/>
      <c r="Z1149" s="216"/>
    </row>
    <row r="1150" spans="1:26" ht="15" customHeight="1">
      <c r="A1150" s="134" t="s">
        <v>7263</v>
      </c>
      <c r="B1150" s="133" t="s">
        <v>105</v>
      </c>
      <c r="C1150" s="301" t="s">
        <v>9113</v>
      </c>
      <c r="D1150" s="100" t="s">
        <v>7778</v>
      </c>
      <c r="E1150" s="186">
        <v>5.66</v>
      </c>
      <c r="F1150" s="528">
        <v>5.66</v>
      </c>
      <c r="G1150" s="338" t="s">
        <v>125</v>
      </c>
      <c r="H1150" s="216"/>
      <c r="I1150" s="216"/>
      <c r="J1150" s="216"/>
      <c r="K1150" s="216"/>
      <c r="L1150" s="216"/>
      <c r="M1150" s="216"/>
      <c r="N1150" s="216"/>
      <c r="O1150" s="216"/>
      <c r="P1150" s="216"/>
      <c r="Q1150" s="216"/>
      <c r="R1150" s="216"/>
      <c r="S1150" s="216"/>
      <c r="T1150" s="216"/>
      <c r="U1150" s="216"/>
      <c r="V1150" s="216"/>
      <c r="W1150" s="216"/>
      <c r="X1150" s="216"/>
      <c r="Y1150" s="216"/>
      <c r="Z1150" s="216"/>
    </row>
    <row r="1151" spans="1:26" ht="15" customHeight="1">
      <c r="A1151" s="134" t="s">
        <v>7263</v>
      </c>
      <c r="B1151" s="133" t="s">
        <v>105</v>
      </c>
      <c r="C1151" s="301" t="s">
        <v>9114</v>
      </c>
      <c r="D1151" s="100" t="s">
        <v>7778</v>
      </c>
      <c r="E1151" s="186">
        <v>5.66</v>
      </c>
      <c r="F1151" s="528">
        <v>5.66</v>
      </c>
      <c r="G1151" s="338" t="s">
        <v>125</v>
      </c>
      <c r="H1151" s="216"/>
      <c r="I1151" s="216"/>
      <c r="J1151" s="216"/>
      <c r="K1151" s="216"/>
      <c r="L1151" s="216"/>
      <c r="M1151" s="216"/>
      <c r="N1151" s="216"/>
      <c r="O1151" s="216"/>
      <c r="P1151" s="216"/>
      <c r="Q1151" s="216"/>
      <c r="R1151" s="216"/>
      <c r="S1151" s="216"/>
      <c r="T1151" s="216"/>
      <c r="U1151" s="216"/>
      <c r="V1151" s="216"/>
      <c r="W1151" s="216"/>
      <c r="X1151" s="216"/>
      <c r="Y1151" s="216"/>
      <c r="Z1151" s="216"/>
    </row>
    <row r="1152" spans="1:26" ht="15" customHeight="1">
      <c r="A1152" s="134" t="s">
        <v>7263</v>
      </c>
      <c r="B1152" s="133" t="s">
        <v>105</v>
      </c>
      <c r="C1152" s="301" t="s">
        <v>9115</v>
      </c>
      <c r="D1152" s="100" t="s">
        <v>7778</v>
      </c>
      <c r="E1152" s="186">
        <v>1</v>
      </c>
      <c r="F1152" s="528">
        <v>1</v>
      </c>
      <c r="G1152" s="338" t="s">
        <v>125</v>
      </c>
      <c r="H1152" s="216"/>
      <c r="I1152" s="216"/>
      <c r="J1152" s="216"/>
      <c r="K1152" s="216"/>
      <c r="L1152" s="216"/>
      <c r="M1152" s="216"/>
      <c r="N1152" s="216"/>
      <c r="O1152" s="216"/>
      <c r="P1152" s="216"/>
      <c r="Q1152" s="216"/>
      <c r="R1152" s="216"/>
      <c r="S1152" s="216"/>
      <c r="T1152" s="216"/>
      <c r="U1152" s="216"/>
      <c r="V1152" s="216"/>
      <c r="W1152" s="216"/>
      <c r="X1152" s="216"/>
      <c r="Y1152" s="216"/>
      <c r="Z1152" s="216"/>
    </row>
    <row r="1153" spans="1:26" ht="15" customHeight="1">
      <c r="A1153" s="134" t="s">
        <v>7263</v>
      </c>
      <c r="B1153" s="133" t="s">
        <v>105</v>
      </c>
      <c r="C1153" s="301" t="s">
        <v>9116</v>
      </c>
      <c r="D1153" s="100" t="s">
        <v>7778</v>
      </c>
      <c r="E1153" s="186">
        <v>11.33</v>
      </c>
      <c r="F1153" s="528">
        <v>11.33</v>
      </c>
      <c r="G1153" s="338" t="s">
        <v>125</v>
      </c>
      <c r="H1153" s="216"/>
      <c r="I1153" s="216"/>
      <c r="J1153" s="216"/>
      <c r="K1153" s="216"/>
      <c r="L1153" s="216"/>
      <c r="M1153" s="216"/>
      <c r="N1153" s="216"/>
      <c r="O1153" s="216"/>
      <c r="P1153" s="216"/>
      <c r="Q1153" s="216"/>
      <c r="R1153" s="216"/>
      <c r="S1153" s="216"/>
      <c r="T1153" s="216"/>
      <c r="U1153" s="216"/>
      <c r="V1153" s="216"/>
      <c r="W1153" s="216"/>
      <c r="X1153" s="216"/>
      <c r="Y1153" s="216"/>
      <c r="Z1153" s="216"/>
    </row>
    <row r="1154" spans="1:26" ht="15" customHeight="1">
      <c r="A1154" s="134" t="s">
        <v>7266</v>
      </c>
      <c r="B1154" s="99" t="s">
        <v>105</v>
      </c>
      <c r="C1154" s="133" t="s">
        <v>9117</v>
      </c>
      <c r="D1154" s="116" t="s">
        <v>7778</v>
      </c>
      <c r="E1154" s="528">
        <v>2.66</v>
      </c>
      <c r="F1154" s="528">
        <v>2.66</v>
      </c>
      <c r="G1154" s="338" t="s">
        <v>118</v>
      </c>
      <c r="H1154" s="216"/>
      <c r="I1154" s="216"/>
      <c r="J1154" s="216"/>
      <c r="K1154" s="216"/>
      <c r="L1154" s="216"/>
      <c r="M1154" s="216"/>
      <c r="N1154" s="216"/>
      <c r="O1154" s="216"/>
      <c r="P1154" s="216"/>
      <c r="Q1154" s="216"/>
      <c r="R1154" s="216"/>
      <c r="S1154" s="216"/>
      <c r="T1154" s="216"/>
      <c r="U1154" s="216"/>
      <c r="V1154" s="216"/>
      <c r="W1154" s="216"/>
      <c r="X1154" s="216"/>
      <c r="Y1154" s="216"/>
      <c r="Z1154" s="216"/>
    </row>
    <row r="1155" spans="1:26" ht="15" customHeight="1">
      <c r="A1155" s="134" t="s">
        <v>7266</v>
      </c>
      <c r="B1155" s="99" t="s">
        <v>105</v>
      </c>
      <c r="C1155" s="133" t="s">
        <v>9118</v>
      </c>
      <c r="D1155" s="116" t="s">
        <v>7778</v>
      </c>
      <c r="E1155" s="1161" t="s">
        <v>9119</v>
      </c>
      <c r="F1155" s="528">
        <v>2.66</v>
      </c>
      <c r="G1155" s="338" t="s">
        <v>118</v>
      </c>
      <c r="H1155" s="216"/>
      <c r="I1155" s="216"/>
      <c r="J1155" s="216"/>
      <c r="K1155" s="216"/>
      <c r="L1155" s="216"/>
      <c r="M1155" s="216"/>
      <c r="N1155" s="216"/>
      <c r="O1155" s="216"/>
      <c r="P1155" s="216"/>
      <c r="Q1155" s="216"/>
      <c r="R1155" s="216"/>
      <c r="S1155" s="216"/>
      <c r="T1155" s="216"/>
      <c r="U1155" s="216"/>
      <c r="V1155" s="216"/>
      <c r="W1155" s="216"/>
      <c r="X1155" s="216"/>
      <c r="Y1155" s="216"/>
      <c r="Z1155" s="216"/>
    </row>
    <row r="1156" spans="1:26" ht="15" customHeight="1">
      <c r="A1156" s="134" t="s">
        <v>7266</v>
      </c>
      <c r="B1156" s="99" t="s">
        <v>105</v>
      </c>
      <c r="C1156" s="133" t="s">
        <v>9120</v>
      </c>
      <c r="D1156" s="116" t="s">
        <v>7778</v>
      </c>
      <c r="E1156" s="1162">
        <v>0.66</v>
      </c>
      <c r="F1156" s="528">
        <v>0.66</v>
      </c>
      <c r="G1156" s="338" t="s">
        <v>118</v>
      </c>
      <c r="H1156" s="216"/>
      <c r="I1156" s="216"/>
      <c r="J1156" s="216"/>
      <c r="K1156" s="216"/>
      <c r="L1156" s="216"/>
      <c r="M1156" s="216"/>
      <c r="N1156" s="216"/>
      <c r="O1156" s="216"/>
      <c r="P1156" s="216"/>
      <c r="Q1156" s="216"/>
      <c r="R1156" s="216"/>
      <c r="S1156" s="216"/>
      <c r="T1156" s="216"/>
      <c r="U1156" s="216"/>
      <c r="V1156" s="216"/>
      <c r="W1156" s="216"/>
      <c r="X1156" s="216"/>
      <c r="Y1156" s="216"/>
      <c r="Z1156" s="216"/>
    </row>
    <row r="1157" spans="1:26" ht="15" customHeight="1">
      <c r="A1157" s="134" t="s">
        <v>7266</v>
      </c>
      <c r="B1157" s="99" t="s">
        <v>105</v>
      </c>
      <c r="C1157" s="133" t="s">
        <v>9121</v>
      </c>
      <c r="D1157" s="116" t="s">
        <v>7778</v>
      </c>
      <c r="E1157" s="1162">
        <v>0.26</v>
      </c>
      <c r="F1157" s="528">
        <v>0.26</v>
      </c>
      <c r="G1157" s="338" t="s">
        <v>118</v>
      </c>
      <c r="H1157" s="216"/>
      <c r="I1157" s="216"/>
      <c r="J1157" s="216"/>
      <c r="K1157" s="216"/>
      <c r="L1157" s="216"/>
      <c r="M1157" s="216"/>
      <c r="N1157" s="216"/>
      <c r="O1157" s="216"/>
      <c r="P1157" s="216"/>
      <c r="Q1157" s="216"/>
      <c r="R1157" s="216"/>
      <c r="S1157" s="216"/>
      <c r="T1157" s="216"/>
      <c r="U1157" s="216"/>
      <c r="V1157" s="216"/>
      <c r="W1157" s="216"/>
      <c r="X1157" s="216"/>
      <c r="Y1157" s="216"/>
      <c r="Z1157" s="216"/>
    </row>
    <row r="1158" spans="1:26" ht="15" customHeight="1">
      <c r="A1158" s="134" t="s">
        <v>7266</v>
      </c>
      <c r="B1158" s="99" t="s">
        <v>105</v>
      </c>
      <c r="C1158" s="133" t="s">
        <v>9122</v>
      </c>
      <c r="D1158" s="116" t="s">
        <v>9123</v>
      </c>
      <c r="E1158" s="528">
        <v>5.66</v>
      </c>
      <c r="F1158" s="528">
        <v>5.66</v>
      </c>
      <c r="G1158" s="338" t="s">
        <v>118</v>
      </c>
      <c r="H1158" s="216"/>
      <c r="I1158" s="216"/>
      <c r="J1158" s="216"/>
      <c r="K1158" s="216"/>
      <c r="L1158" s="216"/>
      <c r="M1158" s="216"/>
      <c r="N1158" s="216"/>
      <c r="O1158" s="216"/>
      <c r="P1158" s="216"/>
      <c r="Q1158" s="216"/>
      <c r="R1158" s="216"/>
      <c r="S1158" s="216"/>
      <c r="T1158" s="216"/>
      <c r="U1158" s="216"/>
      <c r="V1158" s="216"/>
      <c r="W1158" s="216"/>
      <c r="X1158" s="216"/>
      <c r="Y1158" s="216"/>
      <c r="Z1158" s="216"/>
    </row>
    <row r="1159" spans="1:26" ht="15" customHeight="1">
      <c r="A1159" s="134" t="s">
        <v>7266</v>
      </c>
      <c r="B1159" s="99" t="s">
        <v>105</v>
      </c>
      <c r="C1159" s="133" t="s">
        <v>9124</v>
      </c>
      <c r="D1159" s="116" t="s">
        <v>9123</v>
      </c>
      <c r="E1159" s="528">
        <v>5.66</v>
      </c>
      <c r="F1159" s="528">
        <v>5.66</v>
      </c>
      <c r="G1159" s="338" t="s">
        <v>118</v>
      </c>
      <c r="H1159" s="216"/>
      <c r="I1159" s="216"/>
      <c r="J1159" s="216"/>
      <c r="K1159" s="216"/>
      <c r="L1159" s="216"/>
      <c r="M1159" s="216"/>
      <c r="N1159" s="216"/>
      <c r="O1159" s="216"/>
      <c r="P1159" s="216"/>
      <c r="Q1159" s="216"/>
      <c r="R1159" s="216"/>
      <c r="S1159" s="216"/>
      <c r="T1159" s="216"/>
      <c r="U1159" s="216"/>
      <c r="V1159" s="216"/>
      <c r="W1159" s="216"/>
      <c r="X1159" s="216"/>
      <c r="Y1159" s="216"/>
      <c r="Z1159" s="216"/>
    </row>
    <row r="1160" spans="1:26" ht="15" customHeight="1">
      <c r="A1160" s="134" t="s">
        <v>7266</v>
      </c>
      <c r="B1160" s="99" t="s">
        <v>105</v>
      </c>
      <c r="C1160" s="133" t="s">
        <v>9125</v>
      </c>
      <c r="D1160" s="116" t="s">
        <v>9123</v>
      </c>
      <c r="E1160" s="528">
        <v>1.41</v>
      </c>
      <c r="F1160" s="528">
        <v>1.41</v>
      </c>
      <c r="G1160" s="338" t="s">
        <v>118</v>
      </c>
      <c r="H1160" s="216"/>
      <c r="I1160" s="216"/>
      <c r="J1160" s="216"/>
      <c r="K1160" s="216"/>
      <c r="L1160" s="216"/>
      <c r="M1160" s="216"/>
      <c r="N1160" s="216"/>
      <c r="O1160" s="216"/>
      <c r="P1160" s="216"/>
      <c r="Q1160" s="216"/>
      <c r="R1160" s="216"/>
      <c r="S1160" s="216"/>
      <c r="T1160" s="216"/>
      <c r="U1160" s="216"/>
      <c r="V1160" s="216"/>
      <c r="W1160" s="216"/>
      <c r="X1160" s="216"/>
      <c r="Y1160" s="216"/>
      <c r="Z1160" s="216"/>
    </row>
    <row r="1161" spans="1:26" ht="15" customHeight="1">
      <c r="A1161" s="134" t="s">
        <v>7266</v>
      </c>
      <c r="B1161" s="99" t="s">
        <v>105</v>
      </c>
      <c r="C1161" s="133" t="s">
        <v>9126</v>
      </c>
      <c r="D1161" s="116" t="s">
        <v>9123</v>
      </c>
      <c r="E1161" s="528">
        <v>0.56000000000000005</v>
      </c>
      <c r="F1161" s="528">
        <v>0.56000000000000005</v>
      </c>
      <c r="G1161" s="338" t="s">
        <v>118</v>
      </c>
      <c r="H1161" s="216"/>
      <c r="I1161" s="216"/>
      <c r="J1161" s="216"/>
      <c r="K1161" s="216"/>
      <c r="L1161" s="216"/>
      <c r="M1161" s="216"/>
      <c r="N1161" s="216"/>
      <c r="O1161" s="216"/>
      <c r="P1161" s="216"/>
      <c r="Q1161" s="216"/>
      <c r="R1161" s="216"/>
      <c r="S1161" s="216"/>
      <c r="T1161" s="216"/>
      <c r="U1161" s="216"/>
      <c r="V1161" s="216"/>
      <c r="W1161" s="216"/>
      <c r="X1161" s="216"/>
      <c r="Y1161" s="216"/>
      <c r="Z1161" s="216"/>
    </row>
    <row r="1162" spans="1:26" ht="15" customHeight="1">
      <c r="A1162" s="134" t="s">
        <v>7266</v>
      </c>
      <c r="B1162" s="99" t="s">
        <v>105</v>
      </c>
      <c r="C1162" s="133" t="s">
        <v>9127</v>
      </c>
      <c r="D1162" s="116" t="s">
        <v>7778</v>
      </c>
      <c r="E1162" s="528">
        <v>7.66</v>
      </c>
      <c r="F1162" s="528">
        <v>7.66</v>
      </c>
      <c r="G1162" s="338" t="s">
        <v>118</v>
      </c>
      <c r="H1162" s="216"/>
      <c r="I1162" s="216"/>
      <c r="J1162" s="216"/>
      <c r="K1162" s="216"/>
      <c r="L1162" s="216"/>
      <c r="M1162" s="216"/>
      <c r="N1162" s="216"/>
      <c r="O1162" s="216"/>
      <c r="P1162" s="216"/>
      <c r="Q1162" s="216"/>
      <c r="R1162" s="216"/>
      <c r="S1162" s="216"/>
      <c r="T1162" s="216"/>
      <c r="U1162" s="216"/>
      <c r="V1162" s="216"/>
      <c r="W1162" s="216"/>
      <c r="X1162" s="216"/>
      <c r="Y1162" s="216"/>
      <c r="Z1162" s="216"/>
    </row>
    <row r="1163" spans="1:26" ht="15" customHeight="1">
      <c r="A1163" s="134" t="s">
        <v>7266</v>
      </c>
      <c r="B1163" s="99" t="s">
        <v>105</v>
      </c>
      <c r="C1163" s="133" t="s">
        <v>9128</v>
      </c>
      <c r="D1163" s="116" t="s">
        <v>7778</v>
      </c>
      <c r="E1163" s="528">
        <v>7.66</v>
      </c>
      <c r="F1163" s="528">
        <v>7.66</v>
      </c>
      <c r="G1163" s="338" t="s">
        <v>118</v>
      </c>
      <c r="H1163" s="216"/>
      <c r="I1163" s="216"/>
      <c r="J1163" s="216"/>
      <c r="K1163" s="216"/>
      <c r="L1163" s="216"/>
      <c r="M1163" s="216"/>
      <c r="N1163" s="216"/>
      <c r="O1163" s="216"/>
      <c r="P1163" s="216"/>
      <c r="Q1163" s="216"/>
      <c r="R1163" s="216"/>
      <c r="S1163" s="216"/>
      <c r="T1163" s="216"/>
      <c r="U1163" s="216"/>
      <c r="V1163" s="216"/>
      <c r="W1163" s="216"/>
      <c r="X1163" s="216"/>
      <c r="Y1163" s="216"/>
      <c r="Z1163" s="216"/>
    </row>
    <row r="1164" spans="1:26" ht="15" customHeight="1">
      <c r="A1164" s="134" t="s">
        <v>7266</v>
      </c>
      <c r="B1164" s="99" t="s">
        <v>105</v>
      </c>
      <c r="C1164" s="133" t="s">
        <v>9129</v>
      </c>
      <c r="D1164" s="116" t="s">
        <v>7778</v>
      </c>
      <c r="E1164" s="528">
        <v>1.91</v>
      </c>
      <c r="F1164" s="528">
        <v>1.91</v>
      </c>
      <c r="G1164" s="338" t="s">
        <v>118</v>
      </c>
      <c r="H1164" s="216"/>
      <c r="I1164" s="216"/>
      <c r="J1164" s="216"/>
      <c r="K1164" s="216"/>
      <c r="L1164" s="216"/>
      <c r="M1164" s="216"/>
      <c r="N1164" s="216"/>
      <c r="O1164" s="216"/>
      <c r="P1164" s="216"/>
      <c r="Q1164" s="216"/>
      <c r="R1164" s="216"/>
      <c r="S1164" s="216"/>
      <c r="T1164" s="216"/>
      <c r="U1164" s="216"/>
      <c r="V1164" s="216"/>
      <c r="W1164" s="216"/>
      <c r="X1164" s="216"/>
      <c r="Y1164" s="216"/>
      <c r="Z1164" s="216"/>
    </row>
    <row r="1165" spans="1:26" ht="15" customHeight="1">
      <c r="A1165" s="134" t="s">
        <v>7266</v>
      </c>
      <c r="B1165" s="99" t="s">
        <v>105</v>
      </c>
      <c r="C1165" s="133" t="s">
        <v>9130</v>
      </c>
      <c r="D1165" s="116" t="s">
        <v>7778</v>
      </c>
      <c r="E1165" s="528">
        <v>0.76</v>
      </c>
      <c r="F1165" s="528">
        <v>0.76</v>
      </c>
      <c r="G1165" s="338" t="s">
        <v>118</v>
      </c>
      <c r="H1165" s="216"/>
      <c r="I1165" s="216"/>
      <c r="J1165" s="216"/>
      <c r="K1165" s="216"/>
      <c r="L1165" s="216"/>
      <c r="M1165" s="216"/>
      <c r="N1165" s="216"/>
      <c r="O1165" s="216"/>
      <c r="P1165" s="216"/>
      <c r="Q1165" s="216"/>
      <c r="R1165" s="216"/>
      <c r="S1165" s="216"/>
      <c r="T1165" s="216"/>
      <c r="U1165" s="216"/>
      <c r="V1165" s="216"/>
      <c r="W1165" s="216"/>
      <c r="X1165" s="216"/>
      <c r="Y1165" s="216"/>
      <c r="Z1165" s="216"/>
    </row>
    <row r="1166" spans="1:26" ht="15" customHeight="1">
      <c r="A1166" s="134" t="s">
        <v>7266</v>
      </c>
      <c r="B1166" s="99" t="s">
        <v>105</v>
      </c>
      <c r="C1166" s="133" t="s">
        <v>9131</v>
      </c>
      <c r="D1166" s="116" t="s">
        <v>7778</v>
      </c>
      <c r="E1166" s="528">
        <v>5.66</v>
      </c>
      <c r="F1166" s="528">
        <v>5.66</v>
      </c>
      <c r="G1166" s="338" t="s">
        <v>118</v>
      </c>
      <c r="H1166" s="216"/>
      <c r="I1166" s="216"/>
      <c r="J1166" s="216"/>
      <c r="K1166" s="216"/>
      <c r="L1166" s="216"/>
      <c r="M1166" s="216"/>
      <c r="N1166" s="216"/>
      <c r="O1166" s="216"/>
      <c r="P1166" s="216"/>
      <c r="Q1166" s="216"/>
      <c r="R1166" s="216"/>
      <c r="S1166" s="216"/>
      <c r="T1166" s="216"/>
      <c r="U1166" s="216"/>
      <c r="V1166" s="216"/>
      <c r="W1166" s="216"/>
      <c r="X1166" s="216"/>
      <c r="Y1166" s="216"/>
      <c r="Z1166" s="216"/>
    </row>
    <row r="1167" spans="1:26" ht="15" customHeight="1">
      <c r="A1167" s="134" t="s">
        <v>7266</v>
      </c>
      <c r="B1167" s="99" t="s">
        <v>105</v>
      </c>
      <c r="C1167" s="133" t="s">
        <v>9132</v>
      </c>
      <c r="D1167" s="116" t="s">
        <v>7778</v>
      </c>
      <c r="E1167" s="528">
        <v>5.66</v>
      </c>
      <c r="F1167" s="528">
        <v>5.66</v>
      </c>
      <c r="G1167" s="338" t="s">
        <v>118</v>
      </c>
      <c r="H1167" s="216"/>
      <c r="I1167" s="216"/>
      <c r="J1167" s="216"/>
      <c r="K1167" s="216"/>
      <c r="L1167" s="216"/>
      <c r="M1167" s="216"/>
      <c r="N1167" s="216"/>
      <c r="O1167" s="216"/>
      <c r="P1167" s="216"/>
      <c r="Q1167" s="216"/>
      <c r="R1167" s="216"/>
      <c r="S1167" s="216"/>
      <c r="T1167" s="216"/>
      <c r="U1167" s="216"/>
      <c r="V1167" s="216"/>
      <c r="W1167" s="216"/>
      <c r="X1167" s="216"/>
      <c r="Y1167" s="216"/>
      <c r="Z1167" s="216"/>
    </row>
    <row r="1168" spans="1:26" ht="15" customHeight="1">
      <c r="A1168" s="134" t="s">
        <v>7266</v>
      </c>
      <c r="B1168" s="99" t="s">
        <v>105</v>
      </c>
      <c r="C1168" s="133" t="s">
        <v>9133</v>
      </c>
      <c r="D1168" s="116" t="s">
        <v>7778</v>
      </c>
      <c r="E1168" s="528">
        <v>1.41</v>
      </c>
      <c r="F1168" s="528">
        <v>1.41</v>
      </c>
      <c r="G1168" s="338" t="s">
        <v>118</v>
      </c>
      <c r="H1168" s="216"/>
      <c r="I1168" s="216"/>
      <c r="J1168" s="216"/>
      <c r="K1168" s="216"/>
      <c r="L1168" s="216"/>
      <c r="M1168" s="216"/>
      <c r="N1168" s="216"/>
      <c r="O1168" s="216"/>
      <c r="P1168" s="216"/>
      <c r="Q1168" s="216"/>
      <c r="R1168" s="216"/>
      <c r="S1168" s="216"/>
      <c r="T1168" s="216"/>
      <c r="U1168" s="216"/>
      <c r="V1168" s="216"/>
      <c r="W1168" s="216"/>
      <c r="X1168" s="216"/>
      <c r="Y1168" s="216"/>
      <c r="Z1168" s="216"/>
    </row>
    <row r="1169" spans="1:26" ht="15" customHeight="1">
      <c r="A1169" s="134" t="s">
        <v>7266</v>
      </c>
      <c r="B1169" s="99" t="s">
        <v>105</v>
      </c>
      <c r="C1169" s="133" t="s">
        <v>9134</v>
      </c>
      <c r="D1169" s="116" t="s">
        <v>7778</v>
      </c>
      <c r="E1169" s="528">
        <v>0.56000000000000005</v>
      </c>
      <c r="F1169" s="528">
        <v>0.56000000000000005</v>
      </c>
      <c r="G1169" s="338" t="s">
        <v>118</v>
      </c>
      <c r="H1169" s="216"/>
      <c r="I1169" s="216"/>
      <c r="J1169" s="216"/>
      <c r="K1169" s="216"/>
      <c r="L1169" s="216"/>
      <c r="M1169" s="216"/>
      <c r="N1169" s="216"/>
      <c r="O1169" s="216"/>
      <c r="P1169" s="216"/>
      <c r="Q1169" s="216"/>
      <c r="R1169" s="216"/>
      <c r="S1169" s="216"/>
      <c r="T1169" s="216"/>
      <c r="U1169" s="216"/>
      <c r="V1169" s="216"/>
      <c r="W1169" s="216"/>
      <c r="X1169" s="216"/>
      <c r="Y1169" s="216"/>
      <c r="Z1169" s="216"/>
    </row>
    <row r="1170" spans="1:26" ht="15" customHeight="1">
      <c r="A1170" s="134" t="s">
        <v>7266</v>
      </c>
      <c r="B1170" s="99" t="s">
        <v>105</v>
      </c>
      <c r="C1170" s="133" t="s">
        <v>9135</v>
      </c>
      <c r="D1170" s="116" t="s">
        <v>7778</v>
      </c>
      <c r="E1170" s="528">
        <v>7.66</v>
      </c>
      <c r="F1170" s="528">
        <v>7.66</v>
      </c>
      <c r="G1170" s="338" t="s">
        <v>118</v>
      </c>
      <c r="H1170" s="216"/>
      <c r="I1170" s="216"/>
      <c r="J1170" s="216"/>
      <c r="K1170" s="216"/>
      <c r="L1170" s="216"/>
      <c r="M1170" s="216"/>
      <c r="N1170" s="216"/>
      <c r="O1170" s="216"/>
      <c r="P1170" s="216"/>
      <c r="Q1170" s="216"/>
      <c r="R1170" s="216"/>
      <c r="S1170" s="216"/>
      <c r="T1170" s="216"/>
      <c r="U1170" s="216"/>
      <c r="V1170" s="216"/>
      <c r="W1170" s="216"/>
      <c r="X1170" s="216"/>
      <c r="Y1170" s="216"/>
      <c r="Z1170" s="216"/>
    </row>
    <row r="1171" spans="1:26" ht="15" customHeight="1">
      <c r="A1171" s="134" t="s">
        <v>7266</v>
      </c>
      <c r="B1171" s="99" t="s">
        <v>105</v>
      </c>
      <c r="C1171" s="133" t="s">
        <v>9136</v>
      </c>
      <c r="D1171" s="116" t="s">
        <v>7778</v>
      </c>
      <c r="E1171" s="528">
        <v>7.66</v>
      </c>
      <c r="F1171" s="528">
        <v>7.66</v>
      </c>
      <c r="G1171" s="338" t="s">
        <v>118</v>
      </c>
      <c r="H1171" s="216"/>
      <c r="I1171" s="216"/>
      <c r="J1171" s="216"/>
      <c r="K1171" s="216"/>
      <c r="L1171" s="216"/>
      <c r="M1171" s="216"/>
      <c r="N1171" s="216"/>
      <c r="O1171" s="216"/>
      <c r="P1171" s="216"/>
      <c r="Q1171" s="216"/>
      <c r="R1171" s="216"/>
      <c r="S1171" s="216"/>
      <c r="T1171" s="216"/>
      <c r="U1171" s="216"/>
      <c r="V1171" s="216"/>
      <c r="W1171" s="216"/>
      <c r="X1171" s="216"/>
      <c r="Y1171" s="216"/>
      <c r="Z1171" s="216"/>
    </row>
    <row r="1172" spans="1:26" ht="15" customHeight="1">
      <c r="A1172" s="134" t="s">
        <v>7266</v>
      </c>
      <c r="B1172" s="99" t="s">
        <v>105</v>
      </c>
      <c r="C1172" s="133" t="s">
        <v>9137</v>
      </c>
      <c r="D1172" s="116" t="s">
        <v>7778</v>
      </c>
      <c r="E1172" s="528">
        <v>1.91</v>
      </c>
      <c r="F1172" s="528">
        <v>1.91</v>
      </c>
      <c r="G1172" s="338" t="s">
        <v>118</v>
      </c>
      <c r="H1172" s="216"/>
      <c r="I1172" s="216"/>
      <c r="J1172" s="216"/>
      <c r="K1172" s="216"/>
      <c r="L1172" s="216"/>
      <c r="M1172" s="216"/>
      <c r="N1172" s="216"/>
      <c r="O1172" s="216"/>
      <c r="P1172" s="216"/>
      <c r="Q1172" s="216"/>
      <c r="R1172" s="216"/>
      <c r="S1172" s="216"/>
      <c r="T1172" s="216"/>
      <c r="U1172" s="216"/>
      <c r="V1172" s="216"/>
      <c r="W1172" s="216"/>
      <c r="X1172" s="216"/>
      <c r="Y1172" s="216"/>
      <c r="Z1172" s="216"/>
    </row>
    <row r="1173" spans="1:26" ht="15" customHeight="1">
      <c r="A1173" s="134" t="s">
        <v>7266</v>
      </c>
      <c r="B1173" s="99" t="s">
        <v>105</v>
      </c>
      <c r="C1173" s="133" t="s">
        <v>9138</v>
      </c>
      <c r="D1173" s="116" t="s">
        <v>7778</v>
      </c>
      <c r="E1173" s="528">
        <v>0.76</v>
      </c>
      <c r="F1173" s="528">
        <v>0.76</v>
      </c>
      <c r="G1173" s="338" t="s">
        <v>118</v>
      </c>
      <c r="H1173" s="216"/>
      <c r="I1173" s="216"/>
      <c r="J1173" s="216"/>
      <c r="K1173" s="216"/>
      <c r="L1173" s="216"/>
      <c r="M1173" s="216"/>
      <c r="N1173" s="216"/>
      <c r="O1173" s="216"/>
      <c r="P1173" s="216"/>
      <c r="Q1173" s="216"/>
      <c r="R1173" s="216"/>
      <c r="S1173" s="216"/>
      <c r="T1173" s="216"/>
      <c r="U1173" s="216"/>
      <c r="V1173" s="216"/>
      <c r="W1173" s="216"/>
      <c r="X1173" s="216"/>
      <c r="Y1173" s="216"/>
      <c r="Z1173" s="216"/>
    </row>
    <row r="1174" spans="1:26" ht="15" customHeight="1">
      <c r="A1174" s="134" t="s">
        <v>7266</v>
      </c>
      <c r="B1174" s="99" t="s">
        <v>105</v>
      </c>
      <c r="C1174" s="133" t="s">
        <v>9139</v>
      </c>
      <c r="D1174" s="116" t="s">
        <v>7778</v>
      </c>
      <c r="E1174" s="528">
        <v>11.33</v>
      </c>
      <c r="F1174" s="528">
        <v>11.33</v>
      </c>
      <c r="G1174" s="338" t="s">
        <v>118</v>
      </c>
      <c r="H1174" s="216"/>
      <c r="I1174" s="216"/>
      <c r="J1174" s="216"/>
      <c r="K1174" s="216"/>
      <c r="L1174" s="216"/>
      <c r="M1174" s="216"/>
      <c r="N1174" s="216"/>
      <c r="O1174" s="216"/>
      <c r="P1174" s="216"/>
      <c r="Q1174" s="216"/>
      <c r="R1174" s="216"/>
      <c r="S1174" s="216"/>
      <c r="T1174" s="216"/>
      <c r="U1174" s="216"/>
      <c r="V1174" s="216"/>
      <c r="W1174" s="216"/>
      <c r="X1174" s="216"/>
      <c r="Y1174" s="216"/>
      <c r="Z1174" s="216"/>
    </row>
    <row r="1175" spans="1:26" ht="15" customHeight="1">
      <c r="A1175" s="134" t="s">
        <v>7266</v>
      </c>
      <c r="B1175" s="99" t="s">
        <v>105</v>
      </c>
      <c r="C1175" s="133" t="s">
        <v>9140</v>
      </c>
      <c r="D1175" s="116" t="s">
        <v>9141</v>
      </c>
      <c r="E1175" s="528">
        <v>12.66</v>
      </c>
      <c r="F1175" s="528">
        <v>12.66</v>
      </c>
      <c r="G1175" s="338" t="s">
        <v>118</v>
      </c>
      <c r="H1175" s="216"/>
      <c r="I1175" s="216"/>
      <c r="J1175" s="216"/>
      <c r="K1175" s="216"/>
      <c r="L1175" s="216"/>
      <c r="M1175" s="216"/>
      <c r="N1175" s="216"/>
      <c r="O1175" s="216"/>
      <c r="P1175" s="216"/>
      <c r="Q1175" s="216"/>
      <c r="R1175" s="216"/>
      <c r="S1175" s="216"/>
      <c r="T1175" s="216"/>
      <c r="U1175" s="216"/>
      <c r="V1175" s="216"/>
      <c r="W1175" s="216"/>
      <c r="X1175" s="216"/>
      <c r="Y1175" s="216"/>
      <c r="Z1175" s="216"/>
    </row>
    <row r="1176" spans="1:26" ht="15" customHeight="1">
      <c r="A1176" s="134" t="s">
        <v>7632</v>
      </c>
      <c r="B1176" s="133" t="s">
        <v>8972</v>
      </c>
      <c r="C1176" s="133" t="s">
        <v>9142</v>
      </c>
      <c r="D1176" s="100" t="s">
        <v>7778</v>
      </c>
      <c r="E1176" s="186">
        <f>14/3</f>
        <v>4.666666666666667</v>
      </c>
      <c r="F1176" s="528">
        <f t="shared" ref="F1176:F1200" si="136">E1176</f>
        <v>4.666666666666667</v>
      </c>
      <c r="G1176" s="338" t="s">
        <v>126</v>
      </c>
      <c r="H1176" s="216"/>
      <c r="I1176" s="216"/>
      <c r="J1176" s="216"/>
      <c r="K1176" s="216"/>
      <c r="L1176" s="216"/>
      <c r="M1176" s="216"/>
      <c r="N1176" s="216"/>
      <c r="O1176" s="216"/>
      <c r="P1176" s="216"/>
      <c r="Q1176" s="216"/>
      <c r="R1176" s="216"/>
      <c r="S1176" s="216"/>
      <c r="T1176" s="216"/>
      <c r="U1176" s="216"/>
      <c r="V1176" s="216"/>
      <c r="W1176" s="216"/>
      <c r="X1176" s="216"/>
      <c r="Y1176" s="216"/>
      <c r="Z1176" s="216"/>
    </row>
    <row r="1177" spans="1:26" ht="15" customHeight="1">
      <c r="A1177" s="134" t="s">
        <v>7632</v>
      </c>
      <c r="B1177" s="133" t="s">
        <v>8972</v>
      </c>
      <c r="C1177" s="133" t="s">
        <v>9143</v>
      </c>
      <c r="D1177" s="100" t="s">
        <v>7778</v>
      </c>
      <c r="E1177" s="528">
        <f>0.25*E1176</f>
        <v>1.1666666666666667</v>
      </c>
      <c r="F1177" s="528">
        <f t="shared" si="136"/>
        <v>1.1666666666666667</v>
      </c>
      <c r="G1177" s="338" t="s">
        <v>126</v>
      </c>
      <c r="H1177" s="216"/>
      <c r="I1177" s="216"/>
      <c r="J1177" s="216"/>
      <c r="K1177" s="216"/>
      <c r="L1177" s="216"/>
      <c r="M1177" s="216"/>
      <c r="N1177" s="216"/>
      <c r="O1177" s="216"/>
      <c r="P1177" s="216"/>
      <c r="Q1177" s="216"/>
      <c r="R1177" s="216"/>
      <c r="S1177" s="216"/>
      <c r="T1177" s="216"/>
      <c r="U1177" s="216"/>
      <c r="V1177" s="216"/>
      <c r="W1177" s="216"/>
      <c r="X1177" s="216"/>
      <c r="Y1177" s="216"/>
      <c r="Z1177" s="216"/>
    </row>
    <row r="1178" spans="1:26" ht="15" customHeight="1">
      <c r="A1178" s="134" t="s">
        <v>7632</v>
      </c>
      <c r="B1178" s="133" t="s">
        <v>8972</v>
      </c>
      <c r="C1178" s="133" t="s">
        <v>9144</v>
      </c>
      <c r="D1178" s="100" t="s">
        <v>7778</v>
      </c>
      <c r="E1178" s="186">
        <f>0.1*E1176</f>
        <v>0.46666666666666673</v>
      </c>
      <c r="F1178" s="528">
        <f t="shared" si="136"/>
        <v>0.46666666666666673</v>
      </c>
      <c r="G1178" s="338" t="s">
        <v>126</v>
      </c>
      <c r="H1178" s="216"/>
      <c r="I1178" s="216"/>
      <c r="J1178" s="216"/>
      <c r="K1178" s="216"/>
      <c r="L1178" s="216"/>
      <c r="M1178" s="216"/>
      <c r="N1178" s="216"/>
      <c r="O1178" s="216"/>
      <c r="P1178" s="216"/>
      <c r="Q1178" s="216"/>
      <c r="R1178" s="216"/>
      <c r="S1178" s="216"/>
      <c r="T1178" s="216"/>
      <c r="U1178" s="216"/>
      <c r="V1178" s="216"/>
      <c r="W1178" s="216"/>
      <c r="X1178" s="216"/>
      <c r="Y1178" s="216"/>
      <c r="Z1178" s="216"/>
    </row>
    <row r="1179" spans="1:26" ht="15" customHeight="1">
      <c r="A1179" s="134" t="s">
        <v>7632</v>
      </c>
      <c r="B1179" s="133" t="s">
        <v>8972</v>
      </c>
      <c r="C1179" s="133" t="s">
        <v>9145</v>
      </c>
      <c r="D1179" s="100" t="s">
        <v>8645</v>
      </c>
      <c r="E1179" s="186">
        <f>14/3</f>
        <v>4.666666666666667</v>
      </c>
      <c r="F1179" s="528">
        <f t="shared" si="136"/>
        <v>4.666666666666667</v>
      </c>
      <c r="G1179" s="338" t="s">
        <v>126</v>
      </c>
      <c r="H1179" s="216"/>
      <c r="I1179" s="216"/>
      <c r="J1179" s="216"/>
      <c r="K1179" s="216"/>
      <c r="L1179" s="216"/>
      <c r="M1179" s="216"/>
      <c r="N1179" s="216"/>
      <c r="O1179" s="216"/>
      <c r="P1179" s="216"/>
      <c r="Q1179" s="216"/>
      <c r="R1179" s="216"/>
      <c r="S1179" s="216"/>
      <c r="T1179" s="216"/>
      <c r="U1179" s="216"/>
      <c r="V1179" s="216"/>
      <c r="W1179" s="216"/>
      <c r="X1179" s="216"/>
      <c r="Y1179" s="216"/>
      <c r="Z1179" s="216"/>
    </row>
    <row r="1180" spans="1:26" ht="15" customHeight="1">
      <c r="A1180" s="134" t="s">
        <v>7632</v>
      </c>
      <c r="B1180" s="133" t="s">
        <v>8972</v>
      </c>
      <c r="C1180" s="133" t="s">
        <v>9146</v>
      </c>
      <c r="D1180" s="100" t="s">
        <v>7778</v>
      </c>
      <c r="E1180" s="186">
        <f>47/3</f>
        <v>15.666666666666666</v>
      </c>
      <c r="F1180" s="528">
        <f t="shared" si="136"/>
        <v>15.666666666666666</v>
      </c>
      <c r="G1180" s="338" t="s">
        <v>126</v>
      </c>
      <c r="H1180" s="216"/>
      <c r="I1180" s="216"/>
      <c r="J1180" s="216"/>
      <c r="K1180" s="216"/>
      <c r="L1180" s="216"/>
      <c r="M1180" s="216"/>
      <c r="N1180" s="216"/>
      <c r="O1180" s="216"/>
      <c r="P1180" s="216"/>
      <c r="Q1180" s="216"/>
      <c r="R1180" s="216"/>
      <c r="S1180" s="216"/>
      <c r="T1180" s="216"/>
      <c r="U1180" s="216"/>
      <c r="V1180" s="216"/>
      <c r="W1180" s="216"/>
      <c r="X1180" s="216"/>
      <c r="Y1180" s="216"/>
      <c r="Z1180" s="216"/>
    </row>
    <row r="1181" spans="1:26" ht="15" customHeight="1">
      <c r="A1181" s="134" t="s">
        <v>7632</v>
      </c>
      <c r="B1181" s="133" t="s">
        <v>8972</v>
      </c>
      <c r="C1181" s="133" t="s">
        <v>9143</v>
      </c>
      <c r="D1181" s="100" t="s">
        <v>7778</v>
      </c>
      <c r="E1181" s="186">
        <f>0.25*E1180</f>
        <v>3.9166666666666665</v>
      </c>
      <c r="F1181" s="528">
        <f t="shared" si="136"/>
        <v>3.9166666666666665</v>
      </c>
      <c r="G1181" s="338" t="s">
        <v>126</v>
      </c>
      <c r="H1181" s="216"/>
      <c r="I1181" s="216"/>
      <c r="J1181" s="216"/>
      <c r="K1181" s="216"/>
      <c r="L1181" s="216"/>
      <c r="M1181" s="216"/>
      <c r="N1181" s="216"/>
      <c r="O1181" s="216"/>
      <c r="P1181" s="216"/>
      <c r="Q1181" s="216"/>
      <c r="R1181" s="216"/>
      <c r="S1181" s="216"/>
      <c r="T1181" s="216"/>
      <c r="U1181" s="216"/>
      <c r="V1181" s="216"/>
      <c r="W1181" s="216"/>
      <c r="X1181" s="216"/>
      <c r="Y1181" s="216"/>
      <c r="Z1181" s="216"/>
    </row>
    <row r="1182" spans="1:26" ht="15" customHeight="1">
      <c r="A1182" s="134" t="s">
        <v>7632</v>
      </c>
      <c r="B1182" s="133" t="s">
        <v>8972</v>
      </c>
      <c r="C1182" s="133" t="s">
        <v>9144</v>
      </c>
      <c r="D1182" s="100" t="s">
        <v>7778</v>
      </c>
      <c r="E1182" s="186">
        <f>0.1*E1180</f>
        <v>1.5666666666666667</v>
      </c>
      <c r="F1182" s="528">
        <f t="shared" si="136"/>
        <v>1.5666666666666667</v>
      </c>
      <c r="G1182" s="338" t="s">
        <v>126</v>
      </c>
      <c r="H1182" s="216"/>
      <c r="I1182" s="216"/>
      <c r="J1182" s="216"/>
      <c r="K1182" s="216"/>
      <c r="L1182" s="216"/>
      <c r="M1182" s="216"/>
      <c r="N1182" s="216"/>
      <c r="O1182" s="216"/>
      <c r="P1182" s="216"/>
      <c r="Q1182" s="216"/>
      <c r="R1182" s="216"/>
      <c r="S1182" s="216"/>
      <c r="T1182" s="216"/>
      <c r="U1182" s="216"/>
      <c r="V1182" s="216"/>
      <c r="W1182" s="216"/>
      <c r="X1182" s="216"/>
      <c r="Y1182" s="216"/>
      <c r="Z1182" s="216"/>
    </row>
    <row r="1183" spans="1:26" ht="15" customHeight="1">
      <c r="A1183" s="134" t="s">
        <v>7632</v>
      </c>
      <c r="B1183" s="133" t="s">
        <v>8972</v>
      </c>
      <c r="C1183" s="133" t="s">
        <v>9147</v>
      </c>
      <c r="D1183" s="100" t="s">
        <v>7778</v>
      </c>
      <c r="E1183" s="186">
        <f>47/3</f>
        <v>15.666666666666666</v>
      </c>
      <c r="F1183" s="528">
        <f t="shared" si="136"/>
        <v>15.666666666666666</v>
      </c>
      <c r="G1183" s="338" t="s">
        <v>126</v>
      </c>
      <c r="H1183" s="216"/>
      <c r="I1183" s="216"/>
      <c r="J1183" s="216"/>
      <c r="K1183" s="216"/>
      <c r="L1183" s="216"/>
      <c r="M1183" s="216"/>
      <c r="N1183" s="216"/>
      <c r="O1183" s="216"/>
      <c r="P1183" s="216"/>
      <c r="Q1183" s="216"/>
      <c r="R1183" s="216"/>
      <c r="S1183" s="216"/>
      <c r="T1183" s="216"/>
      <c r="U1183" s="216"/>
      <c r="V1183" s="216"/>
      <c r="W1183" s="216"/>
      <c r="X1183" s="216"/>
      <c r="Y1183" s="216"/>
      <c r="Z1183" s="216"/>
    </row>
    <row r="1184" spans="1:26" ht="15" customHeight="1">
      <c r="A1184" s="134" t="s">
        <v>7632</v>
      </c>
      <c r="B1184" s="133" t="s">
        <v>8972</v>
      </c>
      <c r="C1184" s="133" t="s">
        <v>9148</v>
      </c>
      <c r="D1184" s="100" t="s">
        <v>7778</v>
      </c>
      <c r="E1184" s="186">
        <f>9/3</f>
        <v>3</v>
      </c>
      <c r="F1184" s="528">
        <f t="shared" si="136"/>
        <v>3</v>
      </c>
      <c r="G1184" s="338" t="s">
        <v>126</v>
      </c>
      <c r="H1184" s="216"/>
      <c r="I1184" s="216"/>
      <c r="J1184" s="216"/>
      <c r="K1184" s="216"/>
      <c r="L1184" s="216"/>
      <c r="M1184" s="216"/>
      <c r="N1184" s="216"/>
      <c r="O1184" s="216"/>
      <c r="P1184" s="216"/>
      <c r="Q1184" s="216"/>
      <c r="R1184" s="216"/>
      <c r="S1184" s="216"/>
      <c r="T1184" s="216"/>
      <c r="U1184" s="216"/>
      <c r="V1184" s="216"/>
      <c r="W1184" s="216"/>
      <c r="X1184" s="216"/>
      <c r="Y1184" s="216"/>
      <c r="Z1184" s="216"/>
    </row>
    <row r="1185" spans="1:26" ht="15" customHeight="1">
      <c r="A1185" s="134" t="s">
        <v>7632</v>
      </c>
      <c r="B1185" s="133" t="s">
        <v>8972</v>
      </c>
      <c r="C1185" s="133" t="s">
        <v>9143</v>
      </c>
      <c r="D1185" s="100" t="s">
        <v>7778</v>
      </c>
      <c r="E1185" s="528">
        <f>0.25*E1184</f>
        <v>0.75</v>
      </c>
      <c r="F1185" s="528">
        <f t="shared" si="136"/>
        <v>0.75</v>
      </c>
      <c r="G1185" s="338" t="s">
        <v>126</v>
      </c>
      <c r="H1185" s="216"/>
      <c r="I1185" s="216"/>
      <c r="J1185" s="216"/>
      <c r="K1185" s="216"/>
      <c r="L1185" s="216"/>
      <c r="M1185" s="216"/>
      <c r="N1185" s="216"/>
      <c r="O1185" s="216"/>
      <c r="P1185" s="216"/>
      <c r="Q1185" s="216"/>
      <c r="R1185" s="216"/>
      <c r="S1185" s="216"/>
      <c r="T1185" s="216"/>
      <c r="U1185" s="216"/>
      <c r="V1185" s="216"/>
      <c r="W1185" s="216"/>
      <c r="X1185" s="216"/>
      <c r="Y1185" s="216"/>
      <c r="Z1185" s="216"/>
    </row>
    <row r="1186" spans="1:26" ht="15" customHeight="1">
      <c r="A1186" s="134" t="s">
        <v>7632</v>
      </c>
      <c r="B1186" s="133" t="s">
        <v>8972</v>
      </c>
      <c r="C1186" s="133" t="s">
        <v>9144</v>
      </c>
      <c r="D1186" s="100" t="s">
        <v>7778</v>
      </c>
      <c r="E1186" s="186">
        <f>0.1*E1184</f>
        <v>0.30000000000000004</v>
      </c>
      <c r="F1186" s="528">
        <f t="shared" si="136"/>
        <v>0.30000000000000004</v>
      </c>
      <c r="G1186" s="338" t="s">
        <v>126</v>
      </c>
      <c r="H1186" s="216"/>
      <c r="I1186" s="216"/>
      <c r="J1186" s="216"/>
      <c r="K1186" s="216"/>
      <c r="L1186" s="216"/>
      <c r="M1186" s="216"/>
      <c r="N1186" s="216"/>
      <c r="O1186" s="216"/>
      <c r="P1186" s="216"/>
      <c r="Q1186" s="216"/>
      <c r="R1186" s="216"/>
      <c r="S1186" s="216"/>
      <c r="T1186" s="216"/>
      <c r="U1186" s="216"/>
      <c r="V1186" s="216"/>
      <c r="W1186" s="216"/>
      <c r="X1186" s="216"/>
      <c r="Y1186" s="216"/>
      <c r="Z1186" s="216"/>
    </row>
    <row r="1187" spans="1:26" ht="15" customHeight="1">
      <c r="A1187" s="134" t="s">
        <v>7632</v>
      </c>
      <c r="B1187" s="133" t="s">
        <v>8972</v>
      </c>
      <c r="C1187" s="133" t="s">
        <v>9149</v>
      </c>
      <c r="D1187" s="100" t="s">
        <v>7778</v>
      </c>
      <c r="E1187" s="186">
        <f>9/3</f>
        <v>3</v>
      </c>
      <c r="F1187" s="528">
        <f t="shared" si="136"/>
        <v>3</v>
      </c>
      <c r="G1187" s="338" t="s">
        <v>126</v>
      </c>
      <c r="H1187" s="216"/>
      <c r="I1187" s="216"/>
      <c r="J1187" s="216"/>
      <c r="K1187" s="216"/>
      <c r="L1187" s="216"/>
      <c r="M1187" s="216"/>
      <c r="N1187" s="216"/>
      <c r="O1187" s="216"/>
      <c r="P1187" s="216"/>
      <c r="Q1187" s="216"/>
      <c r="R1187" s="216"/>
      <c r="S1187" s="216"/>
      <c r="T1187" s="216"/>
      <c r="U1187" s="216"/>
      <c r="V1187" s="216"/>
      <c r="W1187" s="216"/>
      <c r="X1187" s="216"/>
      <c r="Y1187" s="216"/>
      <c r="Z1187" s="216"/>
    </row>
    <row r="1188" spans="1:26" ht="15" customHeight="1">
      <c r="A1188" s="134" t="s">
        <v>7632</v>
      </c>
      <c r="B1188" s="133" t="s">
        <v>8972</v>
      </c>
      <c r="C1188" s="133" t="s">
        <v>9150</v>
      </c>
      <c r="D1188" s="100" t="s">
        <v>7778</v>
      </c>
      <c r="E1188" s="186">
        <f>47/3</f>
        <v>15.666666666666666</v>
      </c>
      <c r="F1188" s="528">
        <f t="shared" si="136"/>
        <v>15.666666666666666</v>
      </c>
      <c r="G1188" s="338" t="s">
        <v>126</v>
      </c>
      <c r="H1188" s="216"/>
      <c r="I1188" s="216"/>
      <c r="J1188" s="216"/>
      <c r="K1188" s="216"/>
      <c r="L1188" s="216"/>
      <c r="M1188" s="216"/>
      <c r="N1188" s="216"/>
      <c r="O1188" s="216"/>
      <c r="P1188" s="216"/>
      <c r="Q1188" s="216"/>
      <c r="R1188" s="216"/>
      <c r="S1188" s="216"/>
      <c r="T1188" s="216"/>
      <c r="U1188" s="216"/>
      <c r="V1188" s="216"/>
      <c r="W1188" s="216"/>
      <c r="X1188" s="216"/>
      <c r="Y1188" s="216"/>
      <c r="Z1188" s="216"/>
    </row>
    <row r="1189" spans="1:26" ht="15" customHeight="1">
      <c r="A1189" s="134" t="s">
        <v>7632</v>
      </c>
      <c r="B1189" s="133" t="s">
        <v>8972</v>
      </c>
      <c r="C1189" s="133" t="s">
        <v>9143</v>
      </c>
      <c r="D1189" s="100" t="s">
        <v>7778</v>
      </c>
      <c r="E1189" s="186">
        <f>0.25*E1188</f>
        <v>3.9166666666666665</v>
      </c>
      <c r="F1189" s="528">
        <f t="shared" si="136"/>
        <v>3.9166666666666665</v>
      </c>
      <c r="G1189" s="338" t="s">
        <v>126</v>
      </c>
      <c r="H1189" s="216"/>
      <c r="I1189" s="216"/>
      <c r="J1189" s="216"/>
      <c r="K1189" s="216"/>
      <c r="L1189" s="216"/>
      <c r="M1189" s="216"/>
      <c r="N1189" s="216"/>
      <c r="O1189" s="216"/>
      <c r="P1189" s="216"/>
      <c r="Q1189" s="216"/>
      <c r="R1189" s="216"/>
      <c r="S1189" s="216"/>
      <c r="T1189" s="216"/>
      <c r="U1189" s="216"/>
      <c r="V1189" s="216"/>
      <c r="W1189" s="216"/>
      <c r="X1189" s="216"/>
      <c r="Y1189" s="216"/>
      <c r="Z1189" s="216"/>
    </row>
    <row r="1190" spans="1:26" ht="15" customHeight="1">
      <c r="A1190" s="134" t="s">
        <v>7632</v>
      </c>
      <c r="B1190" s="133" t="s">
        <v>8972</v>
      </c>
      <c r="C1190" s="133" t="s">
        <v>9144</v>
      </c>
      <c r="D1190" s="100" t="s">
        <v>7778</v>
      </c>
      <c r="E1190" s="186">
        <f>0.1*E1188</f>
        <v>1.5666666666666667</v>
      </c>
      <c r="F1190" s="528">
        <f t="shared" si="136"/>
        <v>1.5666666666666667</v>
      </c>
      <c r="G1190" s="338" t="s">
        <v>126</v>
      </c>
      <c r="H1190" s="216"/>
      <c r="I1190" s="216"/>
      <c r="J1190" s="216"/>
      <c r="K1190" s="216"/>
      <c r="L1190" s="216"/>
      <c r="M1190" s="216"/>
      <c r="N1190" s="216"/>
      <c r="O1190" s="216"/>
      <c r="P1190" s="216"/>
      <c r="Q1190" s="216"/>
      <c r="R1190" s="216"/>
      <c r="S1190" s="216"/>
      <c r="T1190" s="216"/>
      <c r="U1190" s="216"/>
      <c r="V1190" s="216"/>
      <c r="W1190" s="216"/>
      <c r="X1190" s="216"/>
      <c r="Y1190" s="216"/>
      <c r="Z1190" s="216"/>
    </row>
    <row r="1191" spans="1:26" ht="15" customHeight="1">
      <c r="A1191" s="134" t="s">
        <v>7632</v>
      </c>
      <c r="B1191" s="133" t="s">
        <v>8972</v>
      </c>
      <c r="C1191" s="133" t="s">
        <v>9151</v>
      </c>
      <c r="D1191" s="100" t="s">
        <v>7778</v>
      </c>
      <c r="E1191" s="186">
        <f>47/3</f>
        <v>15.666666666666666</v>
      </c>
      <c r="F1191" s="528">
        <f t="shared" si="136"/>
        <v>15.666666666666666</v>
      </c>
      <c r="G1191" s="338" t="s">
        <v>126</v>
      </c>
      <c r="H1191" s="216"/>
      <c r="I1191" s="216"/>
      <c r="J1191" s="216"/>
      <c r="K1191" s="216"/>
      <c r="L1191" s="216"/>
      <c r="M1191" s="216"/>
      <c r="N1191" s="216"/>
      <c r="O1191" s="216"/>
      <c r="P1191" s="216"/>
      <c r="Q1191" s="216"/>
      <c r="R1191" s="216"/>
      <c r="S1191" s="216"/>
      <c r="T1191" s="216"/>
      <c r="U1191" s="216"/>
      <c r="V1191" s="216"/>
      <c r="W1191" s="216"/>
      <c r="X1191" s="216"/>
      <c r="Y1191" s="216"/>
      <c r="Z1191" s="216"/>
    </row>
    <row r="1192" spans="1:26" ht="15" customHeight="1">
      <c r="A1192" s="134" t="s">
        <v>7632</v>
      </c>
      <c r="B1192" s="133" t="s">
        <v>8972</v>
      </c>
      <c r="C1192" s="133" t="s">
        <v>9152</v>
      </c>
      <c r="D1192" s="100" t="s">
        <v>7778</v>
      </c>
      <c r="E1192" s="186">
        <f>12/3</f>
        <v>4</v>
      </c>
      <c r="F1192" s="528">
        <f t="shared" si="136"/>
        <v>4</v>
      </c>
      <c r="G1192" s="338" t="s">
        <v>126</v>
      </c>
      <c r="H1192" s="216"/>
      <c r="I1192" s="216"/>
      <c r="J1192" s="216"/>
      <c r="K1192" s="216"/>
      <c r="L1192" s="216"/>
      <c r="M1192" s="216"/>
      <c r="N1192" s="216"/>
      <c r="O1192" s="216"/>
      <c r="P1192" s="216"/>
      <c r="Q1192" s="216"/>
      <c r="R1192" s="216"/>
      <c r="S1192" s="216"/>
      <c r="T1192" s="216"/>
      <c r="U1192" s="216"/>
      <c r="V1192" s="216"/>
      <c r="W1192" s="216"/>
      <c r="X1192" s="216"/>
      <c r="Y1192" s="216"/>
      <c r="Z1192" s="216"/>
    </row>
    <row r="1193" spans="1:26" ht="15" customHeight="1">
      <c r="A1193" s="134" t="s">
        <v>7632</v>
      </c>
      <c r="B1193" s="133" t="s">
        <v>8972</v>
      </c>
      <c r="C1193" s="133" t="s">
        <v>9143</v>
      </c>
      <c r="D1193" s="100" t="s">
        <v>7778</v>
      </c>
      <c r="E1193" s="186">
        <f>0.25*E1192</f>
        <v>1</v>
      </c>
      <c r="F1193" s="528">
        <f t="shared" si="136"/>
        <v>1</v>
      </c>
      <c r="G1193" s="338" t="s">
        <v>126</v>
      </c>
      <c r="H1193" s="216"/>
      <c r="I1193" s="216"/>
      <c r="J1193" s="216"/>
      <c r="K1193" s="216"/>
      <c r="L1193" s="216"/>
      <c r="M1193" s="216"/>
      <c r="N1193" s="216"/>
      <c r="O1193" s="216"/>
      <c r="P1193" s="216"/>
      <c r="Q1193" s="216"/>
      <c r="R1193" s="216"/>
      <c r="S1193" s="216"/>
      <c r="T1193" s="216"/>
      <c r="U1193" s="216"/>
      <c r="V1193" s="216"/>
      <c r="W1193" s="216"/>
      <c r="X1193" s="216"/>
      <c r="Y1193" s="216"/>
      <c r="Z1193" s="216"/>
    </row>
    <row r="1194" spans="1:26" ht="15" customHeight="1">
      <c r="A1194" s="134" t="s">
        <v>7632</v>
      </c>
      <c r="B1194" s="133" t="s">
        <v>8972</v>
      </c>
      <c r="C1194" s="133" t="s">
        <v>9144</v>
      </c>
      <c r="D1194" s="100" t="s">
        <v>7778</v>
      </c>
      <c r="E1194" s="186">
        <f>0.1*E1192</f>
        <v>0.4</v>
      </c>
      <c r="F1194" s="528">
        <f t="shared" si="136"/>
        <v>0.4</v>
      </c>
      <c r="G1194" s="338" t="s">
        <v>126</v>
      </c>
      <c r="H1194" s="216"/>
      <c r="I1194" s="216"/>
      <c r="J1194" s="216"/>
      <c r="K1194" s="216"/>
      <c r="L1194" s="216"/>
      <c r="M1194" s="216"/>
      <c r="N1194" s="216"/>
      <c r="O1194" s="216"/>
      <c r="P1194" s="216"/>
      <c r="Q1194" s="216"/>
      <c r="R1194" s="216"/>
      <c r="S1194" s="216"/>
      <c r="T1194" s="216"/>
      <c r="U1194" s="216"/>
      <c r="V1194" s="216"/>
      <c r="W1194" s="216"/>
      <c r="X1194" s="216"/>
      <c r="Y1194" s="216"/>
      <c r="Z1194" s="216"/>
    </row>
    <row r="1195" spans="1:26" ht="15" customHeight="1">
      <c r="A1195" s="134" t="s">
        <v>7632</v>
      </c>
      <c r="B1195" s="133" t="s">
        <v>8972</v>
      </c>
      <c r="C1195" s="133" t="s">
        <v>9153</v>
      </c>
      <c r="D1195" s="100" t="s">
        <v>7778</v>
      </c>
      <c r="E1195" s="186">
        <f>12/3</f>
        <v>4</v>
      </c>
      <c r="F1195" s="528">
        <f t="shared" si="136"/>
        <v>4</v>
      </c>
      <c r="G1195" s="338" t="s">
        <v>126</v>
      </c>
      <c r="H1195" s="216"/>
      <c r="I1195" s="216"/>
      <c r="J1195" s="216"/>
      <c r="K1195" s="216"/>
      <c r="L1195" s="216"/>
      <c r="M1195" s="216"/>
      <c r="N1195" s="216"/>
      <c r="O1195" s="216"/>
      <c r="P1195" s="216"/>
      <c r="Q1195" s="216"/>
      <c r="R1195" s="216"/>
      <c r="S1195" s="216"/>
      <c r="T1195" s="216"/>
      <c r="U1195" s="216"/>
      <c r="V1195" s="216"/>
      <c r="W1195" s="216"/>
      <c r="X1195" s="216"/>
      <c r="Y1195" s="216"/>
      <c r="Z1195" s="216"/>
    </row>
    <row r="1196" spans="1:26" ht="15" customHeight="1">
      <c r="A1196" s="134" t="s">
        <v>7632</v>
      </c>
      <c r="B1196" s="133" t="s">
        <v>8972</v>
      </c>
      <c r="C1196" s="133" t="s">
        <v>8993</v>
      </c>
      <c r="D1196" s="100" t="s">
        <v>7778</v>
      </c>
      <c r="E1196" s="186">
        <f>56/3*2</f>
        <v>37.333333333333336</v>
      </c>
      <c r="F1196" s="528">
        <f t="shared" si="136"/>
        <v>37.333333333333336</v>
      </c>
      <c r="G1196" s="338" t="s">
        <v>126</v>
      </c>
      <c r="H1196" s="216"/>
      <c r="I1196" s="216"/>
      <c r="J1196" s="216"/>
      <c r="K1196" s="216"/>
      <c r="L1196" s="216"/>
      <c r="M1196" s="216"/>
      <c r="N1196" s="216"/>
      <c r="O1196" s="216"/>
      <c r="P1196" s="216"/>
      <c r="Q1196" s="216"/>
      <c r="R1196" s="216"/>
      <c r="S1196" s="216"/>
      <c r="T1196" s="216"/>
      <c r="U1196" s="216"/>
      <c r="V1196" s="216"/>
      <c r="W1196" s="216"/>
      <c r="X1196" s="216"/>
      <c r="Y1196" s="216"/>
      <c r="Z1196" s="216"/>
    </row>
    <row r="1197" spans="1:26" ht="15" customHeight="1">
      <c r="A1197" s="134" t="s">
        <v>7632</v>
      </c>
      <c r="B1197" s="133" t="s">
        <v>8972</v>
      </c>
      <c r="C1197" s="133" t="s">
        <v>9154</v>
      </c>
      <c r="D1197" s="100" t="s">
        <v>7778</v>
      </c>
      <c r="E1197" s="528">
        <f>44/3*2</f>
        <v>29.333333333333332</v>
      </c>
      <c r="F1197" s="528">
        <f t="shared" si="136"/>
        <v>29.333333333333332</v>
      </c>
      <c r="G1197" s="338" t="s">
        <v>126</v>
      </c>
      <c r="H1197" s="216"/>
      <c r="I1197" s="216"/>
      <c r="J1197" s="216"/>
      <c r="K1197" s="216"/>
      <c r="L1197" s="216"/>
      <c r="M1197" s="216"/>
      <c r="N1197" s="216"/>
      <c r="O1197" s="216"/>
      <c r="P1197" s="216"/>
      <c r="Q1197" s="216"/>
      <c r="R1197" s="216"/>
      <c r="S1197" s="216"/>
      <c r="T1197" s="216"/>
      <c r="U1197" s="216"/>
      <c r="V1197" s="216"/>
      <c r="W1197" s="216"/>
      <c r="X1197" s="216"/>
      <c r="Y1197" s="216"/>
      <c r="Z1197" s="216"/>
    </row>
    <row r="1198" spans="1:26" ht="15" customHeight="1">
      <c r="A1198" s="134" t="s">
        <v>7632</v>
      </c>
      <c r="B1198" s="133" t="s">
        <v>8972</v>
      </c>
      <c r="C1198" s="133" t="s">
        <v>9155</v>
      </c>
      <c r="D1198" s="100" t="s">
        <v>7778</v>
      </c>
      <c r="E1198" s="528">
        <f t="shared" ref="E1198:E1199" si="137">4/3*2</f>
        <v>2.6666666666666665</v>
      </c>
      <c r="F1198" s="528">
        <f t="shared" si="136"/>
        <v>2.6666666666666665</v>
      </c>
      <c r="G1198" s="338" t="s">
        <v>126</v>
      </c>
      <c r="H1198" s="216"/>
      <c r="I1198" s="216"/>
      <c r="J1198" s="216"/>
      <c r="K1198" s="216"/>
      <c r="L1198" s="216"/>
      <c r="M1198" s="216"/>
      <c r="N1198" s="216"/>
      <c r="O1198" s="216"/>
      <c r="P1198" s="216"/>
      <c r="Q1198" s="216"/>
      <c r="R1198" s="216"/>
      <c r="S1198" s="216"/>
      <c r="T1198" s="216"/>
      <c r="U1198" s="216"/>
      <c r="V1198" s="216"/>
      <c r="W1198" s="216"/>
      <c r="X1198" s="216"/>
      <c r="Y1198" s="216"/>
      <c r="Z1198" s="216"/>
    </row>
    <row r="1199" spans="1:26" ht="15" customHeight="1">
      <c r="A1199" s="134" t="s">
        <v>7632</v>
      </c>
      <c r="B1199" s="133" t="s">
        <v>8972</v>
      </c>
      <c r="C1199" s="133" t="s">
        <v>9156</v>
      </c>
      <c r="D1199" s="100" t="s">
        <v>7778</v>
      </c>
      <c r="E1199" s="528">
        <f t="shared" si="137"/>
        <v>2.6666666666666665</v>
      </c>
      <c r="F1199" s="528">
        <f t="shared" si="136"/>
        <v>2.6666666666666665</v>
      </c>
      <c r="G1199" s="338" t="s">
        <v>126</v>
      </c>
      <c r="H1199" s="216"/>
      <c r="I1199" s="216"/>
      <c r="J1199" s="216"/>
      <c r="K1199" s="216"/>
      <c r="L1199" s="216"/>
      <c r="M1199" s="216"/>
      <c r="N1199" s="216"/>
      <c r="O1199" s="216"/>
      <c r="P1199" s="216"/>
      <c r="Q1199" s="216"/>
      <c r="R1199" s="216"/>
      <c r="S1199" s="216"/>
      <c r="T1199" s="216"/>
      <c r="U1199" s="216"/>
      <c r="V1199" s="216"/>
      <c r="W1199" s="216"/>
      <c r="X1199" s="216"/>
      <c r="Y1199" s="216"/>
      <c r="Z1199" s="216"/>
    </row>
    <row r="1200" spans="1:26" ht="15" customHeight="1">
      <c r="A1200" s="134" t="s">
        <v>7632</v>
      </c>
      <c r="B1200" s="133" t="s">
        <v>8972</v>
      </c>
      <c r="C1200" s="133" t="s">
        <v>9157</v>
      </c>
      <c r="D1200" s="100" t="s">
        <v>7778</v>
      </c>
      <c r="E1200" s="528">
        <f>14/3*3</f>
        <v>14</v>
      </c>
      <c r="F1200" s="528">
        <f t="shared" si="136"/>
        <v>14</v>
      </c>
      <c r="G1200" s="338" t="s">
        <v>126</v>
      </c>
      <c r="H1200" s="216"/>
      <c r="I1200" s="216"/>
      <c r="J1200" s="216"/>
      <c r="K1200" s="216"/>
      <c r="L1200" s="216"/>
      <c r="M1200" s="216"/>
      <c r="N1200" s="216"/>
      <c r="O1200" s="216"/>
      <c r="P1200" s="216"/>
      <c r="Q1200" s="216"/>
      <c r="R1200" s="216"/>
      <c r="S1200" s="216"/>
      <c r="T1200" s="216"/>
      <c r="U1200" s="216"/>
      <c r="V1200" s="216"/>
      <c r="W1200" s="216"/>
      <c r="X1200" s="216"/>
      <c r="Y1200" s="216"/>
      <c r="Z1200" s="216"/>
    </row>
    <row r="1201" spans="1:26" ht="15" customHeight="1">
      <c r="A1201" s="116" t="s">
        <v>9158</v>
      </c>
      <c r="B1201" s="116" t="s">
        <v>3753</v>
      </c>
      <c r="C1201" s="116" t="s">
        <v>9159</v>
      </c>
      <c r="D1201" s="116" t="s">
        <v>7698</v>
      </c>
      <c r="E1201" s="116" t="s">
        <v>9160</v>
      </c>
      <c r="F1201" s="89">
        <v>10.67</v>
      </c>
      <c r="G1201" s="338" t="s">
        <v>127</v>
      </c>
      <c r="H1201" s="216"/>
      <c r="I1201" s="216"/>
      <c r="J1201" s="216"/>
      <c r="K1201" s="216"/>
      <c r="L1201" s="216"/>
      <c r="M1201" s="216"/>
      <c r="N1201" s="216"/>
      <c r="O1201" s="216"/>
      <c r="P1201" s="216"/>
      <c r="Q1201" s="216"/>
      <c r="R1201" s="216"/>
      <c r="S1201" s="216"/>
      <c r="T1201" s="216"/>
      <c r="U1201" s="216"/>
      <c r="V1201" s="216"/>
      <c r="W1201" s="216"/>
      <c r="X1201" s="216"/>
      <c r="Y1201" s="216"/>
      <c r="Z1201" s="216"/>
    </row>
    <row r="1202" spans="1:26" ht="15" customHeight="1">
      <c r="A1202" s="116" t="s">
        <v>127</v>
      </c>
      <c r="B1202" s="116" t="s">
        <v>3753</v>
      </c>
      <c r="C1202" s="116" t="s">
        <v>9161</v>
      </c>
      <c r="D1202" s="116" t="s">
        <v>7698</v>
      </c>
      <c r="E1202" s="116" t="s">
        <v>9160</v>
      </c>
      <c r="F1202" s="528">
        <v>10.666</v>
      </c>
      <c r="G1202" s="338" t="s">
        <v>127</v>
      </c>
      <c r="H1202" s="216"/>
      <c r="I1202" s="216"/>
      <c r="J1202" s="216"/>
      <c r="K1202" s="216"/>
      <c r="L1202" s="216"/>
      <c r="M1202" s="216"/>
      <c r="N1202" s="216"/>
      <c r="O1202" s="216"/>
      <c r="P1202" s="216"/>
      <c r="Q1202" s="216"/>
      <c r="R1202" s="216"/>
      <c r="S1202" s="216"/>
      <c r="T1202" s="216"/>
      <c r="U1202" s="216"/>
      <c r="V1202" s="216"/>
      <c r="W1202" s="216"/>
      <c r="X1202" s="216"/>
      <c r="Y1202" s="216"/>
      <c r="Z1202" s="216"/>
    </row>
    <row r="1203" spans="1:26" ht="15" customHeight="1">
      <c r="A1203" s="116" t="s">
        <v>127</v>
      </c>
      <c r="B1203" s="116" t="s">
        <v>3753</v>
      </c>
      <c r="C1203" s="116" t="s">
        <v>9162</v>
      </c>
      <c r="D1203" s="116" t="s">
        <v>7698</v>
      </c>
      <c r="E1203" s="116" t="s">
        <v>9163</v>
      </c>
      <c r="F1203" s="528">
        <v>2.64</v>
      </c>
      <c r="G1203" s="338" t="s">
        <v>127</v>
      </c>
      <c r="H1203" s="216"/>
      <c r="I1203" s="216"/>
      <c r="J1203" s="216"/>
      <c r="K1203" s="216"/>
      <c r="L1203" s="216"/>
      <c r="M1203" s="216"/>
      <c r="N1203" s="216"/>
      <c r="O1203" s="216"/>
      <c r="P1203" s="216"/>
      <c r="Q1203" s="216"/>
      <c r="R1203" s="216"/>
      <c r="S1203" s="216"/>
      <c r="T1203" s="216"/>
      <c r="U1203" s="216"/>
      <c r="V1203" s="216"/>
      <c r="W1203" s="216"/>
      <c r="X1203" s="216"/>
      <c r="Y1203" s="216"/>
      <c r="Z1203" s="216"/>
    </row>
    <row r="1204" spans="1:26" ht="15" customHeight="1">
      <c r="A1204" s="116" t="s">
        <v>127</v>
      </c>
      <c r="B1204" s="116" t="s">
        <v>3753</v>
      </c>
      <c r="C1204" s="116" t="s">
        <v>9164</v>
      </c>
      <c r="D1204" s="116" t="s">
        <v>7698</v>
      </c>
      <c r="E1204" s="116" t="s">
        <v>9165</v>
      </c>
      <c r="F1204" s="528">
        <v>1.056</v>
      </c>
      <c r="G1204" s="338" t="s">
        <v>127</v>
      </c>
      <c r="H1204" s="216"/>
      <c r="I1204" s="216"/>
      <c r="J1204" s="216"/>
      <c r="K1204" s="216"/>
      <c r="L1204" s="216"/>
      <c r="M1204" s="216"/>
      <c r="N1204" s="216"/>
      <c r="O1204" s="216"/>
      <c r="P1204" s="216"/>
      <c r="Q1204" s="216"/>
      <c r="R1204" s="216"/>
      <c r="S1204" s="216"/>
      <c r="T1204" s="216"/>
      <c r="U1204" s="216"/>
      <c r="V1204" s="216"/>
      <c r="W1204" s="216"/>
      <c r="X1204" s="216"/>
      <c r="Y1204" s="216"/>
      <c r="Z1204" s="216"/>
    </row>
    <row r="1205" spans="1:26" ht="15" customHeight="1">
      <c r="A1205" s="116" t="s">
        <v>127</v>
      </c>
      <c r="B1205" s="116" t="s">
        <v>3753</v>
      </c>
      <c r="C1205" s="116" t="s">
        <v>9166</v>
      </c>
      <c r="D1205" s="116" t="s">
        <v>7698</v>
      </c>
      <c r="E1205" s="116" t="s">
        <v>9167</v>
      </c>
      <c r="F1205" s="528">
        <v>6.93</v>
      </c>
      <c r="G1205" s="338" t="s">
        <v>127</v>
      </c>
      <c r="H1205" s="216"/>
      <c r="I1205" s="216"/>
      <c r="J1205" s="216"/>
      <c r="K1205" s="216"/>
      <c r="L1205" s="216"/>
      <c r="M1205" s="216"/>
      <c r="N1205" s="216"/>
      <c r="O1205" s="216"/>
      <c r="P1205" s="216"/>
      <c r="Q1205" s="216"/>
      <c r="R1205" s="216"/>
      <c r="S1205" s="216"/>
      <c r="T1205" s="216"/>
      <c r="U1205" s="216"/>
      <c r="V1205" s="216"/>
      <c r="W1205" s="216"/>
      <c r="X1205" s="216"/>
      <c r="Y1205" s="216"/>
      <c r="Z1205" s="216"/>
    </row>
    <row r="1206" spans="1:26" ht="15" customHeight="1">
      <c r="A1206" s="116" t="s">
        <v>127</v>
      </c>
      <c r="B1206" s="116" t="s">
        <v>3753</v>
      </c>
      <c r="C1206" s="116" t="s">
        <v>9168</v>
      </c>
      <c r="D1206" s="116" t="s">
        <v>7698</v>
      </c>
      <c r="E1206" s="116" t="s">
        <v>9167</v>
      </c>
      <c r="F1206" s="528">
        <v>6.93</v>
      </c>
      <c r="G1206" s="338" t="s">
        <v>127</v>
      </c>
      <c r="H1206" s="216"/>
      <c r="I1206" s="216"/>
      <c r="J1206" s="216"/>
      <c r="K1206" s="216"/>
      <c r="L1206" s="216"/>
      <c r="M1206" s="216"/>
      <c r="N1206" s="216"/>
      <c r="O1206" s="216"/>
      <c r="P1206" s="216"/>
      <c r="Q1206" s="216"/>
      <c r="R1206" s="216"/>
      <c r="S1206" s="216"/>
      <c r="T1206" s="216"/>
      <c r="U1206" s="216"/>
      <c r="V1206" s="216"/>
      <c r="W1206" s="216"/>
      <c r="X1206" s="216"/>
      <c r="Y1206" s="216"/>
      <c r="Z1206" s="216"/>
    </row>
    <row r="1207" spans="1:26" ht="15" customHeight="1">
      <c r="A1207" s="116" t="s">
        <v>127</v>
      </c>
      <c r="B1207" s="116" t="s">
        <v>3753</v>
      </c>
      <c r="C1207" s="116" t="s">
        <v>9169</v>
      </c>
      <c r="D1207" s="116" t="s">
        <v>7698</v>
      </c>
      <c r="E1207" s="116" t="s">
        <v>9170</v>
      </c>
      <c r="F1207" s="528">
        <v>1.73</v>
      </c>
      <c r="G1207" s="338" t="s">
        <v>127</v>
      </c>
      <c r="H1207" s="216"/>
      <c r="I1207" s="216"/>
      <c r="J1207" s="216"/>
      <c r="K1207" s="216"/>
      <c r="L1207" s="216"/>
      <c r="M1207" s="216"/>
      <c r="N1207" s="216"/>
      <c r="O1207" s="216"/>
      <c r="P1207" s="216"/>
      <c r="Q1207" s="216"/>
      <c r="R1207" s="216"/>
      <c r="S1207" s="216"/>
      <c r="T1207" s="216"/>
      <c r="U1207" s="216"/>
      <c r="V1207" s="216"/>
      <c r="W1207" s="216"/>
      <c r="X1207" s="216"/>
      <c r="Y1207" s="216"/>
      <c r="Z1207" s="216"/>
    </row>
    <row r="1208" spans="1:26" ht="15" customHeight="1">
      <c r="A1208" s="116" t="s">
        <v>127</v>
      </c>
      <c r="B1208" s="116" t="s">
        <v>3753</v>
      </c>
      <c r="C1208" s="116" t="s">
        <v>9171</v>
      </c>
      <c r="D1208" s="116" t="s">
        <v>7698</v>
      </c>
      <c r="E1208" s="116" t="s">
        <v>9172</v>
      </c>
      <c r="F1208" s="528">
        <v>0.69299999999999995</v>
      </c>
      <c r="G1208" s="338" t="s">
        <v>127</v>
      </c>
      <c r="H1208" s="216"/>
      <c r="I1208" s="216"/>
      <c r="J1208" s="216"/>
      <c r="K1208" s="216"/>
      <c r="L1208" s="216"/>
      <c r="M1208" s="216"/>
      <c r="N1208" s="216"/>
      <c r="O1208" s="216"/>
      <c r="P1208" s="216"/>
      <c r="Q1208" s="216"/>
      <c r="R1208" s="216"/>
      <c r="S1208" s="216"/>
      <c r="T1208" s="216"/>
      <c r="U1208" s="216"/>
      <c r="V1208" s="216"/>
      <c r="W1208" s="216"/>
      <c r="X1208" s="216"/>
      <c r="Y1208" s="216"/>
      <c r="Z1208" s="216"/>
    </row>
    <row r="1209" spans="1:26" ht="15" customHeight="1">
      <c r="A1209" s="116" t="s">
        <v>9158</v>
      </c>
      <c r="B1209" s="116" t="s">
        <v>3753</v>
      </c>
      <c r="C1209" s="116" t="s">
        <v>9173</v>
      </c>
      <c r="D1209" s="116" t="s">
        <v>7698</v>
      </c>
      <c r="E1209" s="116" t="s">
        <v>9174</v>
      </c>
      <c r="F1209" s="528">
        <v>6.66</v>
      </c>
      <c r="G1209" s="338" t="s">
        <v>127</v>
      </c>
      <c r="H1209" s="216"/>
      <c r="I1209" s="216"/>
      <c r="J1209" s="216"/>
      <c r="K1209" s="216"/>
      <c r="L1209" s="216"/>
      <c r="M1209" s="216"/>
      <c r="N1209" s="216"/>
      <c r="O1209" s="216"/>
      <c r="P1209" s="216"/>
      <c r="Q1209" s="216"/>
      <c r="R1209" s="216"/>
      <c r="S1209" s="216"/>
      <c r="T1209" s="216"/>
      <c r="U1209" s="216"/>
      <c r="V1209" s="216"/>
      <c r="W1209" s="216"/>
      <c r="X1209" s="216"/>
      <c r="Y1209" s="216"/>
      <c r="Z1209" s="216"/>
    </row>
    <row r="1210" spans="1:26" ht="15" customHeight="1">
      <c r="A1210" s="116" t="s">
        <v>127</v>
      </c>
      <c r="B1210" s="116" t="s">
        <v>3753</v>
      </c>
      <c r="C1210" s="116" t="s">
        <v>9175</v>
      </c>
      <c r="D1210" s="116" t="s">
        <v>7698</v>
      </c>
      <c r="E1210" s="116" t="s">
        <v>9174</v>
      </c>
      <c r="F1210" s="528">
        <v>6.66</v>
      </c>
      <c r="G1210" s="338" t="s">
        <v>127</v>
      </c>
      <c r="H1210" s="216"/>
      <c r="I1210" s="216"/>
      <c r="J1210" s="216"/>
      <c r="K1210" s="216"/>
      <c r="L1210" s="216"/>
      <c r="M1210" s="216"/>
      <c r="N1210" s="216"/>
      <c r="O1210" s="216"/>
      <c r="P1210" s="216"/>
      <c r="Q1210" s="216"/>
      <c r="R1210" s="216"/>
      <c r="S1210" s="216"/>
      <c r="T1210" s="216"/>
      <c r="U1210" s="216"/>
      <c r="V1210" s="216"/>
      <c r="W1210" s="216"/>
      <c r="X1210" s="216"/>
      <c r="Y1210" s="216"/>
      <c r="Z1210" s="216"/>
    </row>
    <row r="1211" spans="1:26" ht="15" customHeight="1">
      <c r="A1211" s="116" t="s">
        <v>127</v>
      </c>
      <c r="B1211" s="116" t="s">
        <v>3753</v>
      </c>
      <c r="C1211" s="116" t="s">
        <v>9176</v>
      </c>
      <c r="D1211" s="116" t="s">
        <v>7698</v>
      </c>
      <c r="E1211" s="116" t="s">
        <v>9177</v>
      </c>
      <c r="F1211" s="528">
        <v>1.65</v>
      </c>
      <c r="G1211" s="338" t="s">
        <v>127</v>
      </c>
      <c r="H1211" s="216"/>
      <c r="I1211" s="216"/>
      <c r="J1211" s="216"/>
      <c r="K1211" s="216"/>
      <c r="L1211" s="216"/>
      <c r="M1211" s="216"/>
      <c r="N1211" s="216"/>
      <c r="O1211" s="216"/>
      <c r="P1211" s="216"/>
      <c r="Q1211" s="216"/>
      <c r="R1211" s="216"/>
      <c r="S1211" s="216"/>
      <c r="T1211" s="216"/>
      <c r="U1211" s="216"/>
      <c r="V1211" s="216"/>
      <c r="W1211" s="216"/>
      <c r="X1211" s="216"/>
      <c r="Y1211" s="216"/>
      <c r="Z1211" s="216"/>
    </row>
    <row r="1212" spans="1:26" ht="15" customHeight="1">
      <c r="A1212" s="116" t="s">
        <v>127</v>
      </c>
      <c r="B1212" s="116" t="s">
        <v>3753</v>
      </c>
      <c r="C1212" s="116" t="s">
        <v>9178</v>
      </c>
      <c r="D1212" s="116" t="s">
        <v>7698</v>
      </c>
      <c r="E1212" s="116" t="s">
        <v>9179</v>
      </c>
      <c r="F1212" s="528">
        <v>0.66</v>
      </c>
      <c r="G1212" s="338" t="s">
        <v>127</v>
      </c>
      <c r="H1212" s="216"/>
      <c r="I1212" s="216"/>
      <c r="J1212" s="216"/>
      <c r="K1212" s="216"/>
      <c r="L1212" s="216"/>
      <c r="M1212" s="216"/>
      <c r="N1212" s="216"/>
      <c r="O1212" s="216"/>
      <c r="P1212" s="216"/>
      <c r="Q1212" s="216"/>
      <c r="R1212" s="216"/>
      <c r="S1212" s="216"/>
      <c r="T1212" s="216"/>
      <c r="U1212" s="216"/>
      <c r="V1212" s="216"/>
      <c r="W1212" s="216"/>
      <c r="X1212" s="216"/>
      <c r="Y1212" s="216"/>
      <c r="Z1212" s="216"/>
    </row>
    <row r="1213" spans="1:26" ht="15" customHeight="1">
      <c r="A1213" s="116" t="s">
        <v>9158</v>
      </c>
      <c r="B1213" s="116" t="s">
        <v>3753</v>
      </c>
      <c r="C1213" s="116" t="s">
        <v>9180</v>
      </c>
      <c r="D1213" s="116" t="s">
        <v>7698</v>
      </c>
      <c r="E1213" s="116" t="s">
        <v>9181</v>
      </c>
      <c r="F1213" s="528">
        <v>2.64</v>
      </c>
      <c r="G1213" s="338" t="s">
        <v>127</v>
      </c>
      <c r="H1213" s="216"/>
      <c r="I1213" s="216"/>
      <c r="J1213" s="216"/>
      <c r="K1213" s="216"/>
      <c r="L1213" s="216"/>
      <c r="M1213" s="216"/>
      <c r="N1213" s="216"/>
      <c r="O1213" s="216"/>
      <c r="P1213" s="216"/>
      <c r="Q1213" s="216"/>
      <c r="R1213" s="216"/>
      <c r="S1213" s="216"/>
      <c r="T1213" s="216"/>
      <c r="U1213" s="216"/>
      <c r="V1213" s="216"/>
      <c r="W1213" s="216"/>
      <c r="X1213" s="216"/>
      <c r="Y1213" s="216"/>
      <c r="Z1213" s="216"/>
    </row>
    <row r="1214" spans="1:26" ht="15" customHeight="1">
      <c r="A1214" s="116" t="s">
        <v>127</v>
      </c>
      <c r="B1214" s="116" t="s">
        <v>3753</v>
      </c>
      <c r="C1214" s="116" t="s">
        <v>9182</v>
      </c>
      <c r="D1214" s="116" t="s">
        <v>7698</v>
      </c>
      <c r="E1214" s="116" t="s">
        <v>9181</v>
      </c>
      <c r="F1214" s="528">
        <v>2.64</v>
      </c>
      <c r="G1214" s="338" t="s">
        <v>127</v>
      </c>
      <c r="H1214" s="216"/>
      <c r="I1214" s="216"/>
      <c r="J1214" s="216"/>
      <c r="K1214" s="216"/>
      <c r="L1214" s="216"/>
      <c r="M1214" s="216"/>
      <c r="N1214" s="216"/>
      <c r="O1214" s="216"/>
      <c r="P1214" s="216"/>
      <c r="Q1214" s="216"/>
      <c r="R1214" s="216"/>
      <c r="S1214" s="216"/>
      <c r="T1214" s="216"/>
      <c r="U1214" s="216"/>
      <c r="V1214" s="216"/>
      <c r="W1214" s="216"/>
      <c r="X1214" s="216"/>
      <c r="Y1214" s="216"/>
      <c r="Z1214" s="216"/>
    </row>
    <row r="1215" spans="1:26" ht="15" customHeight="1">
      <c r="A1215" s="116" t="s">
        <v>127</v>
      </c>
      <c r="B1215" s="116" t="s">
        <v>3753</v>
      </c>
      <c r="C1215" s="116" t="s">
        <v>9183</v>
      </c>
      <c r="D1215" s="116" t="s">
        <v>7698</v>
      </c>
      <c r="E1215" s="116" t="s">
        <v>9184</v>
      </c>
      <c r="F1215" s="528">
        <v>0.66</v>
      </c>
      <c r="G1215" s="338" t="s">
        <v>127</v>
      </c>
      <c r="H1215" s="216"/>
      <c r="I1215" s="216"/>
      <c r="J1215" s="216"/>
      <c r="K1215" s="216"/>
      <c r="L1215" s="216"/>
      <c r="M1215" s="216"/>
      <c r="N1215" s="216"/>
      <c r="O1215" s="216"/>
      <c r="P1215" s="216"/>
      <c r="Q1215" s="216"/>
      <c r="R1215" s="216"/>
      <c r="S1215" s="216"/>
      <c r="T1215" s="216"/>
      <c r="U1215" s="216"/>
      <c r="V1215" s="216"/>
      <c r="W1215" s="216"/>
      <c r="X1215" s="216"/>
      <c r="Y1215" s="216"/>
      <c r="Z1215" s="216"/>
    </row>
    <row r="1216" spans="1:26" ht="15" customHeight="1">
      <c r="A1216" s="116" t="s">
        <v>127</v>
      </c>
      <c r="B1216" s="116" t="s">
        <v>3753</v>
      </c>
      <c r="C1216" s="116" t="s">
        <v>9185</v>
      </c>
      <c r="D1216" s="116" t="s">
        <v>7698</v>
      </c>
      <c r="E1216" s="116" t="s">
        <v>9186</v>
      </c>
      <c r="F1216" s="528">
        <v>0.26400000000000001</v>
      </c>
      <c r="G1216" s="338" t="s">
        <v>127</v>
      </c>
      <c r="H1216" s="216"/>
      <c r="I1216" s="216"/>
      <c r="J1216" s="216"/>
      <c r="K1216" s="216"/>
      <c r="L1216" s="216"/>
      <c r="M1216" s="216"/>
      <c r="N1216" s="216"/>
      <c r="O1216" s="216"/>
      <c r="P1216" s="216"/>
      <c r="Q1216" s="216"/>
      <c r="R1216" s="216"/>
      <c r="S1216" s="216"/>
      <c r="T1216" s="216"/>
      <c r="U1216" s="216"/>
      <c r="V1216" s="216"/>
      <c r="W1216" s="216"/>
      <c r="X1216" s="216"/>
      <c r="Y1216" s="216"/>
      <c r="Z1216" s="216"/>
    </row>
    <row r="1217" spans="1:26" ht="15" customHeight="1">
      <c r="A1217" s="116" t="s">
        <v>9158</v>
      </c>
      <c r="B1217" s="116" t="s">
        <v>3753</v>
      </c>
      <c r="C1217" s="116" t="s">
        <v>9187</v>
      </c>
      <c r="D1217" s="116" t="s">
        <v>7698</v>
      </c>
      <c r="E1217" s="116" t="s">
        <v>9188</v>
      </c>
      <c r="F1217" s="528">
        <v>17.489999999999998</v>
      </c>
      <c r="G1217" s="338" t="s">
        <v>127</v>
      </c>
      <c r="H1217" s="216"/>
      <c r="I1217" s="216"/>
      <c r="J1217" s="216"/>
      <c r="K1217" s="216"/>
      <c r="L1217" s="216"/>
      <c r="M1217" s="216"/>
      <c r="N1217" s="216"/>
      <c r="O1217" s="216"/>
      <c r="P1217" s="216"/>
      <c r="Q1217" s="216"/>
      <c r="R1217" s="216"/>
      <c r="S1217" s="216"/>
      <c r="T1217" s="216"/>
      <c r="U1217" s="216"/>
      <c r="V1217" s="216"/>
      <c r="W1217" s="216"/>
      <c r="X1217" s="216"/>
      <c r="Y1217" s="216"/>
      <c r="Z1217" s="216"/>
    </row>
    <row r="1218" spans="1:26" ht="15" customHeight="1">
      <c r="A1218" s="116" t="s">
        <v>127</v>
      </c>
      <c r="B1218" s="116" t="s">
        <v>3753</v>
      </c>
      <c r="C1218" s="116" t="s">
        <v>9189</v>
      </c>
      <c r="D1218" s="116" t="s">
        <v>7698</v>
      </c>
      <c r="E1218" s="116" t="s">
        <v>9188</v>
      </c>
      <c r="F1218" s="528">
        <v>17.489999999999998</v>
      </c>
      <c r="G1218" s="338" t="s">
        <v>127</v>
      </c>
      <c r="H1218" s="216"/>
      <c r="I1218" s="216"/>
      <c r="J1218" s="216"/>
      <c r="K1218" s="216"/>
      <c r="L1218" s="216"/>
      <c r="M1218" s="216"/>
      <c r="N1218" s="216"/>
      <c r="O1218" s="216"/>
      <c r="P1218" s="216"/>
      <c r="Q1218" s="216"/>
      <c r="R1218" s="216"/>
      <c r="S1218" s="216"/>
      <c r="T1218" s="216"/>
      <c r="U1218" s="216"/>
      <c r="V1218" s="216"/>
      <c r="W1218" s="216"/>
      <c r="X1218" s="216"/>
      <c r="Y1218" s="216"/>
      <c r="Z1218" s="216"/>
    </row>
    <row r="1219" spans="1:26" ht="15" customHeight="1">
      <c r="A1219" s="116" t="s">
        <v>127</v>
      </c>
      <c r="B1219" s="116" t="s">
        <v>3753</v>
      </c>
      <c r="C1219" s="116" t="s">
        <v>9189</v>
      </c>
      <c r="D1219" s="116" t="s">
        <v>7698</v>
      </c>
      <c r="E1219" s="116" t="s">
        <v>9190</v>
      </c>
      <c r="F1219" s="528">
        <v>4.37</v>
      </c>
      <c r="G1219" s="338" t="s">
        <v>127</v>
      </c>
      <c r="H1219" s="216"/>
      <c r="I1219" s="216"/>
      <c r="J1219" s="216"/>
      <c r="K1219" s="216"/>
      <c r="L1219" s="216"/>
      <c r="M1219" s="216"/>
      <c r="N1219" s="216"/>
      <c r="O1219" s="216"/>
      <c r="P1219" s="216"/>
      <c r="Q1219" s="216"/>
      <c r="R1219" s="216"/>
      <c r="S1219" s="216"/>
      <c r="T1219" s="216"/>
      <c r="U1219" s="216"/>
      <c r="V1219" s="216"/>
      <c r="W1219" s="216"/>
      <c r="X1219" s="216"/>
      <c r="Y1219" s="216"/>
      <c r="Z1219" s="216"/>
    </row>
    <row r="1220" spans="1:26" ht="15" customHeight="1">
      <c r="A1220" s="116" t="s">
        <v>127</v>
      </c>
      <c r="B1220" s="116" t="s">
        <v>3753</v>
      </c>
      <c r="C1220" s="116" t="s">
        <v>9191</v>
      </c>
      <c r="D1220" s="116" t="s">
        <v>7698</v>
      </c>
      <c r="E1220" s="116" t="s">
        <v>9192</v>
      </c>
      <c r="F1220" s="528">
        <v>1.75</v>
      </c>
      <c r="G1220" s="338" t="s">
        <v>127</v>
      </c>
      <c r="H1220" s="216"/>
      <c r="I1220" s="216"/>
      <c r="J1220" s="216"/>
      <c r="K1220" s="216"/>
      <c r="L1220" s="216"/>
      <c r="M1220" s="216"/>
      <c r="N1220" s="216"/>
      <c r="O1220" s="216"/>
      <c r="P1220" s="216"/>
      <c r="Q1220" s="216"/>
      <c r="R1220" s="216"/>
      <c r="S1220" s="216"/>
      <c r="T1220" s="216"/>
      <c r="U1220" s="216"/>
      <c r="V1220" s="216"/>
      <c r="W1220" s="216"/>
      <c r="X1220" s="216"/>
      <c r="Y1220" s="216"/>
      <c r="Z1220" s="216"/>
    </row>
    <row r="1221" spans="1:26" ht="15" customHeight="1">
      <c r="A1221" s="116" t="s">
        <v>127</v>
      </c>
      <c r="B1221" s="116" t="s">
        <v>3753</v>
      </c>
      <c r="C1221" s="116" t="s">
        <v>9193</v>
      </c>
      <c r="D1221" s="116" t="s">
        <v>7698</v>
      </c>
      <c r="E1221" s="116" t="s">
        <v>9194</v>
      </c>
      <c r="F1221" s="528">
        <v>6.27</v>
      </c>
      <c r="G1221" s="338" t="s">
        <v>127</v>
      </c>
      <c r="H1221" s="216"/>
      <c r="I1221" s="216"/>
      <c r="J1221" s="216"/>
      <c r="K1221" s="216"/>
      <c r="L1221" s="216"/>
      <c r="M1221" s="216"/>
      <c r="N1221" s="216"/>
      <c r="O1221" s="216"/>
      <c r="P1221" s="216"/>
      <c r="Q1221" s="216"/>
      <c r="R1221" s="216"/>
      <c r="S1221" s="216"/>
      <c r="T1221" s="216"/>
      <c r="U1221" s="216"/>
      <c r="V1221" s="216"/>
      <c r="W1221" s="216"/>
      <c r="X1221" s="216"/>
      <c r="Y1221" s="216"/>
      <c r="Z1221" s="216"/>
    </row>
    <row r="1222" spans="1:26" ht="15" customHeight="1">
      <c r="A1222" s="116" t="s">
        <v>127</v>
      </c>
      <c r="B1222" s="116" t="s">
        <v>3753</v>
      </c>
      <c r="C1222" s="116" t="s">
        <v>9195</v>
      </c>
      <c r="D1222" s="116" t="s">
        <v>7698</v>
      </c>
      <c r="E1222" s="116" t="s">
        <v>9194</v>
      </c>
      <c r="F1222" s="528">
        <v>6.27</v>
      </c>
      <c r="G1222" s="338" t="s">
        <v>127</v>
      </c>
      <c r="H1222" s="216"/>
      <c r="I1222" s="216"/>
      <c r="J1222" s="216"/>
      <c r="K1222" s="216"/>
      <c r="L1222" s="216"/>
      <c r="M1222" s="216"/>
      <c r="N1222" s="216"/>
      <c r="O1222" s="216"/>
      <c r="P1222" s="216"/>
      <c r="Q1222" s="216"/>
      <c r="R1222" s="216"/>
      <c r="S1222" s="216"/>
      <c r="T1222" s="216"/>
      <c r="U1222" s="216"/>
      <c r="V1222" s="216"/>
      <c r="W1222" s="216"/>
      <c r="X1222" s="216"/>
      <c r="Y1222" s="216"/>
      <c r="Z1222" s="216"/>
    </row>
    <row r="1223" spans="1:26" ht="15" customHeight="1">
      <c r="A1223" s="116" t="s">
        <v>127</v>
      </c>
      <c r="B1223" s="116" t="s">
        <v>3753</v>
      </c>
      <c r="C1223" s="116" t="s">
        <v>9196</v>
      </c>
      <c r="D1223" s="116" t="s">
        <v>7698</v>
      </c>
      <c r="E1223" s="116" t="s">
        <v>9197</v>
      </c>
      <c r="F1223" s="528">
        <v>1.57</v>
      </c>
      <c r="G1223" s="338" t="s">
        <v>127</v>
      </c>
      <c r="H1223" s="216"/>
      <c r="I1223" s="216"/>
      <c r="J1223" s="216"/>
      <c r="K1223" s="216"/>
      <c r="L1223" s="216"/>
      <c r="M1223" s="216"/>
      <c r="N1223" s="216"/>
      <c r="O1223" s="216"/>
      <c r="P1223" s="216"/>
      <c r="Q1223" s="216"/>
      <c r="R1223" s="216"/>
      <c r="S1223" s="216"/>
      <c r="T1223" s="216"/>
      <c r="U1223" s="216"/>
      <c r="V1223" s="216"/>
      <c r="W1223" s="216"/>
      <c r="X1223" s="216"/>
      <c r="Y1223" s="216"/>
      <c r="Z1223" s="216"/>
    </row>
    <row r="1224" spans="1:26" ht="15" customHeight="1">
      <c r="A1224" s="116" t="s">
        <v>127</v>
      </c>
      <c r="B1224" s="116" t="s">
        <v>3753</v>
      </c>
      <c r="C1224" s="116" t="s">
        <v>9198</v>
      </c>
      <c r="D1224" s="116" t="s">
        <v>7698</v>
      </c>
      <c r="E1224" s="116" t="s">
        <v>9199</v>
      </c>
      <c r="F1224" s="528">
        <v>0.63</v>
      </c>
      <c r="G1224" s="338" t="s">
        <v>127</v>
      </c>
      <c r="H1224" s="216"/>
      <c r="I1224" s="216"/>
      <c r="J1224" s="216"/>
      <c r="K1224" s="216"/>
      <c r="L1224" s="216"/>
      <c r="M1224" s="216"/>
      <c r="N1224" s="216"/>
      <c r="O1224" s="216"/>
      <c r="P1224" s="216"/>
      <c r="Q1224" s="216"/>
      <c r="R1224" s="216"/>
      <c r="S1224" s="216"/>
      <c r="T1224" s="216"/>
      <c r="U1224" s="216"/>
      <c r="V1224" s="216"/>
      <c r="W1224" s="216"/>
      <c r="X1224" s="216"/>
      <c r="Y1224" s="216"/>
      <c r="Z1224" s="216"/>
    </row>
    <row r="1225" spans="1:26" ht="15" customHeight="1">
      <c r="A1225" s="116" t="s">
        <v>127</v>
      </c>
      <c r="B1225" s="116" t="s">
        <v>3753</v>
      </c>
      <c r="C1225" s="116" t="s">
        <v>9200</v>
      </c>
      <c r="D1225" s="116" t="s">
        <v>7698</v>
      </c>
      <c r="E1225" s="116" t="s">
        <v>9188</v>
      </c>
      <c r="F1225" s="528">
        <v>17.489999999999998</v>
      </c>
      <c r="G1225" s="338" t="s">
        <v>127</v>
      </c>
      <c r="H1225" s="216"/>
      <c r="I1225" s="216"/>
      <c r="J1225" s="216"/>
      <c r="K1225" s="216"/>
      <c r="L1225" s="216"/>
      <c r="M1225" s="216"/>
      <c r="N1225" s="216"/>
      <c r="O1225" s="216"/>
      <c r="P1225" s="216"/>
      <c r="Q1225" s="216"/>
      <c r="R1225" s="216"/>
      <c r="S1225" s="216"/>
      <c r="T1225" s="216"/>
      <c r="U1225" s="216"/>
      <c r="V1225" s="216"/>
      <c r="W1225" s="216"/>
      <c r="X1225" s="216"/>
      <c r="Y1225" s="216"/>
      <c r="Z1225" s="216"/>
    </row>
    <row r="1226" spans="1:26" ht="15" customHeight="1">
      <c r="A1226" s="116" t="s">
        <v>127</v>
      </c>
      <c r="B1226" s="116" t="s">
        <v>3753</v>
      </c>
      <c r="C1226" s="116" t="s">
        <v>9201</v>
      </c>
      <c r="D1226" s="116" t="s">
        <v>7698</v>
      </c>
      <c r="E1226" s="116" t="s">
        <v>9160</v>
      </c>
      <c r="F1226" s="736">
        <v>10.666</v>
      </c>
      <c r="G1226" s="338" t="s">
        <v>127</v>
      </c>
      <c r="H1226" s="216"/>
      <c r="I1226" s="216"/>
      <c r="J1226" s="216"/>
      <c r="K1226" s="216"/>
      <c r="L1226" s="216"/>
      <c r="M1226" s="216"/>
      <c r="N1226" s="216"/>
      <c r="O1226" s="216"/>
      <c r="P1226" s="216"/>
      <c r="Q1226" s="216"/>
      <c r="R1226" s="216"/>
      <c r="S1226" s="216"/>
      <c r="T1226" s="216"/>
      <c r="U1226" s="216"/>
      <c r="V1226" s="216"/>
      <c r="W1226" s="216"/>
      <c r="X1226" s="216"/>
      <c r="Y1226" s="216"/>
      <c r="Z1226" s="216"/>
    </row>
    <row r="1227" spans="1:26" ht="15" customHeight="1">
      <c r="A1227" s="116" t="s">
        <v>127</v>
      </c>
      <c r="B1227" s="116" t="s">
        <v>3753</v>
      </c>
      <c r="C1227" s="116" t="s">
        <v>9202</v>
      </c>
      <c r="D1227" s="116" t="s">
        <v>7698</v>
      </c>
      <c r="E1227" s="116" t="s">
        <v>9167</v>
      </c>
      <c r="F1227" s="736">
        <v>6.93</v>
      </c>
      <c r="G1227" s="338" t="s">
        <v>127</v>
      </c>
      <c r="H1227" s="216"/>
      <c r="I1227" s="216"/>
      <c r="J1227" s="216"/>
      <c r="K1227" s="216"/>
      <c r="L1227" s="216"/>
      <c r="M1227" s="216"/>
      <c r="N1227" s="216"/>
      <c r="O1227" s="216"/>
      <c r="P1227" s="216"/>
      <c r="Q1227" s="216"/>
      <c r="R1227" s="216"/>
      <c r="S1227" s="216"/>
      <c r="T1227" s="216"/>
      <c r="U1227" s="216"/>
      <c r="V1227" s="216"/>
      <c r="W1227" s="216"/>
      <c r="X1227" s="216"/>
      <c r="Y1227" s="216"/>
      <c r="Z1227" s="216"/>
    </row>
    <row r="1228" spans="1:26" ht="15" customHeight="1">
      <c r="A1228" s="134" t="s">
        <v>107</v>
      </c>
      <c r="B1228" s="133" t="s">
        <v>105</v>
      </c>
      <c r="C1228" s="133" t="s">
        <v>9203</v>
      </c>
      <c r="D1228" s="100" t="s">
        <v>7778</v>
      </c>
      <c r="E1228" s="100">
        <f>113/3</f>
        <v>37.666666666666664</v>
      </c>
      <c r="F1228" s="528">
        <v>38</v>
      </c>
      <c r="G1228" s="338" t="s">
        <v>107</v>
      </c>
      <c r="H1228" s="216"/>
      <c r="I1228" s="216"/>
      <c r="J1228" s="216"/>
      <c r="K1228" s="216"/>
      <c r="L1228" s="216"/>
      <c r="M1228" s="216"/>
      <c r="N1228" s="216"/>
      <c r="O1228" s="216"/>
      <c r="P1228" s="216"/>
      <c r="Q1228" s="216"/>
      <c r="R1228" s="216"/>
      <c r="S1228" s="216"/>
      <c r="T1228" s="216"/>
      <c r="U1228" s="216"/>
      <c r="V1228" s="216"/>
      <c r="W1228" s="216"/>
      <c r="X1228" s="216"/>
      <c r="Y1228" s="216"/>
      <c r="Z1228" s="216"/>
    </row>
    <row r="1229" spans="1:26" ht="15" customHeight="1">
      <c r="A1229" s="134" t="s">
        <v>107</v>
      </c>
      <c r="B1229" s="133" t="s">
        <v>105</v>
      </c>
      <c r="C1229" s="133" t="s">
        <v>9204</v>
      </c>
      <c r="D1229" s="116" t="s">
        <v>7778</v>
      </c>
      <c r="E1229" s="116">
        <v>37.67</v>
      </c>
      <c r="F1229" s="528">
        <v>38</v>
      </c>
      <c r="G1229" s="338" t="s">
        <v>107</v>
      </c>
      <c r="H1229" s="216"/>
      <c r="I1229" s="216"/>
      <c r="J1229" s="216"/>
      <c r="K1229" s="216"/>
      <c r="L1229" s="216"/>
      <c r="M1229" s="216"/>
      <c r="N1229" s="216"/>
      <c r="O1229" s="216"/>
      <c r="P1229" s="216"/>
      <c r="Q1229" s="216"/>
      <c r="R1229" s="216"/>
      <c r="S1229" s="216"/>
      <c r="T1229" s="216"/>
      <c r="U1229" s="216"/>
      <c r="V1229" s="216"/>
      <c r="W1229" s="216"/>
      <c r="X1229" s="216"/>
      <c r="Y1229" s="216"/>
      <c r="Z1229" s="216"/>
    </row>
    <row r="1230" spans="1:26" ht="15" customHeight="1">
      <c r="A1230" s="134" t="s">
        <v>107</v>
      </c>
      <c r="B1230" s="133" t="s">
        <v>105</v>
      </c>
      <c r="C1230" s="133" t="s">
        <v>9205</v>
      </c>
      <c r="D1230" s="100" t="s">
        <v>7778</v>
      </c>
      <c r="E1230" s="100">
        <v>9.5</v>
      </c>
      <c r="F1230" s="528">
        <v>10</v>
      </c>
      <c r="G1230" s="338" t="s">
        <v>107</v>
      </c>
      <c r="H1230" s="216"/>
      <c r="I1230" s="216"/>
      <c r="J1230" s="216"/>
      <c r="K1230" s="216"/>
      <c r="L1230" s="216"/>
      <c r="M1230" s="216"/>
      <c r="N1230" s="216"/>
      <c r="O1230" s="216"/>
      <c r="P1230" s="216"/>
      <c r="Q1230" s="216"/>
      <c r="R1230" s="216"/>
      <c r="S1230" s="216"/>
      <c r="T1230" s="216"/>
      <c r="U1230" s="216"/>
      <c r="V1230" s="216"/>
      <c r="W1230" s="216"/>
      <c r="X1230" s="216"/>
      <c r="Y1230" s="216"/>
      <c r="Z1230" s="216"/>
    </row>
    <row r="1231" spans="1:26" ht="15" customHeight="1">
      <c r="A1231" s="134" t="s">
        <v>107</v>
      </c>
      <c r="B1231" s="133" t="s">
        <v>105</v>
      </c>
      <c r="C1231" s="133" t="s">
        <v>9206</v>
      </c>
      <c r="D1231" s="116" t="s">
        <v>7778</v>
      </c>
      <c r="E1231" s="116">
        <v>3.8</v>
      </c>
      <c r="F1231" s="528">
        <v>4</v>
      </c>
      <c r="G1231" s="338" t="s">
        <v>107</v>
      </c>
      <c r="H1231" s="216"/>
      <c r="I1231" s="216"/>
      <c r="J1231" s="216"/>
      <c r="K1231" s="216"/>
      <c r="L1231" s="216"/>
      <c r="M1231" s="216"/>
      <c r="N1231" s="216"/>
      <c r="O1231" s="216"/>
      <c r="P1231" s="216"/>
      <c r="Q1231" s="216"/>
      <c r="R1231" s="216"/>
      <c r="S1231" s="216"/>
      <c r="T1231" s="216"/>
      <c r="U1231" s="216"/>
      <c r="V1231" s="216"/>
      <c r="W1231" s="216"/>
      <c r="X1231" s="216"/>
      <c r="Y1231" s="216"/>
      <c r="Z1231" s="216"/>
    </row>
    <row r="1232" spans="1:26" ht="15" customHeight="1">
      <c r="A1232" s="134" t="s">
        <v>107</v>
      </c>
      <c r="B1232" s="133" t="s">
        <v>105</v>
      </c>
      <c r="C1232" s="133" t="s">
        <v>9207</v>
      </c>
      <c r="D1232" s="116" t="s">
        <v>7778</v>
      </c>
      <c r="E1232" s="116">
        <v>54.67</v>
      </c>
      <c r="F1232" s="528">
        <v>55</v>
      </c>
      <c r="G1232" s="338" t="s">
        <v>107</v>
      </c>
      <c r="H1232" s="216"/>
      <c r="I1232" s="216"/>
      <c r="J1232" s="216"/>
      <c r="K1232" s="216"/>
      <c r="L1232" s="216"/>
      <c r="M1232" s="216"/>
      <c r="N1232" s="216"/>
      <c r="O1232" s="216"/>
      <c r="P1232" s="216"/>
      <c r="Q1232" s="216"/>
      <c r="R1232" s="216"/>
      <c r="S1232" s="216"/>
      <c r="T1232" s="216"/>
      <c r="U1232" s="216"/>
      <c r="V1232" s="216"/>
      <c r="W1232" s="216"/>
      <c r="X1232" s="216"/>
      <c r="Y1232" s="216"/>
      <c r="Z1232" s="216"/>
    </row>
    <row r="1233" spans="1:26" ht="15" customHeight="1">
      <c r="A1233" s="133" t="s">
        <v>7635</v>
      </c>
      <c r="B1233" s="99" t="s">
        <v>105</v>
      </c>
      <c r="C1233" s="133" t="s">
        <v>9208</v>
      </c>
      <c r="D1233" s="116" t="s">
        <v>7778</v>
      </c>
      <c r="E1233" s="186">
        <v>2.6666666666665999</v>
      </c>
      <c r="F1233" s="528">
        <v>2.66</v>
      </c>
      <c r="G1233" s="338" t="s">
        <v>128</v>
      </c>
      <c r="H1233" s="216"/>
      <c r="I1233" s="216"/>
      <c r="J1233" s="216"/>
      <c r="K1233" s="216"/>
      <c r="L1233" s="216"/>
      <c r="M1233" s="216"/>
      <c r="N1233" s="216"/>
      <c r="O1233" s="216"/>
      <c r="P1233" s="216"/>
      <c r="Q1233" s="216"/>
      <c r="R1233" s="216"/>
      <c r="S1233" s="216"/>
      <c r="T1233" s="216"/>
      <c r="U1233" s="216"/>
      <c r="V1233" s="216"/>
      <c r="W1233" s="216"/>
      <c r="X1233" s="216"/>
      <c r="Y1233" s="216"/>
      <c r="Z1233" s="216"/>
    </row>
    <row r="1234" spans="1:26" ht="15" customHeight="1">
      <c r="A1234" s="133" t="s">
        <v>7635</v>
      </c>
      <c r="B1234" s="99" t="s">
        <v>105</v>
      </c>
      <c r="C1234" s="133" t="s">
        <v>9209</v>
      </c>
      <c r="D1234" s="116" t="s">
        <v>7778</v>
      </c>
      <c r="E1234" s="186">
        <v>2.6666666666665999</v>
      </c>
      <c r="F1234" s="528">
        <v>2.66</v>
      </c>
      <c r="G1234" s="338" t="s">
        <v>128</v>
      </c>
      <c r="H1234" s="216"/>
      <c r="I1234" s="216"/>
      <c r="J1234" s="216"/>
      <c r="K1234" s="216"/>
      <c r="L1234" s="216"/>
      <c r="M1234" s="216"/>
      <c r="N1234" s="216"/>
      <c r="O1234" s="216"/>
      <c r="P1234" s="216"/>
      <c r="Q1234" s="216"/>
      <c r="R1234" s="216"/>
      <c r="S1234" s="216"/>
      <c r="T1234" s="216"/>
      <c r="U1234" s="216"/>
      <c r="V1234" s="216"/>
      <c r="W1234" s="216"/>
      <c r="X1234" s="216"/>
      <c r="Y1234" s="216"/>
      <c r="Z1234" s="216"/>
    </row>
    <row r="1235" spans="1:26" ht="15" customHeight="1">
      <c r="A1235" s="133" t="s">
        <v>7635</v>
      </c>
      <c r="B1235" s="99" t="s">
        <v>105</v>
      </c>
      <c r="C1235" s="133" t="s">
        <v>9210</v>
      </c>
      <c r="D1235" s="116" t="s">
        <v>9123</v>
      </c>
      <c r="E1235" s="528">
        <v>2.66</v>
      </c>
      <c r="F1235" s="528">
        <v>2.66</v>
      </c>
      <c r="G1235" s="338" t="s">
        <v>128</v>
      </c>
      <c r="H1235" s="216"/>
      <c r="I1235" s="216"/>
      <c r="J1235" s="216"/>
      <c r="K1235" s="216"/>
      <c r="L1235" s="216"/>
      <c r="M1235" s="216"/>
      <c r="N1235" s="216"/>
      <c r="O1235" s="216"/>
      <c r="P1235" s="216"/>
      <c r="Q1235" s="216"/>
      <c r="R1235" s="216"/>
      <c r="S1235" s="216"/>
      <c r="T1235" s="216"/>
      <c r="U1235" s="216"/>
      <c r="V1235" s="216"/>
      <c r="W1235" s="216"/>
      <c r="X1235" s="216"/>
      <c r="Y1235" s="216"/>
      <c r="Z1235" s="216"/>
    </row>
    <row r="1236" spans="1:26" ht="15" customHeight="1">
      <c r="A1236" s="133" t="s">
        <v>128</v>
      </c>
      <c r="B1236" s="99" t="s">
        <v>105</v>
      </c>
      <c r="C1236" s="133" t="s">
        <v>9211</v>
      </c>
      <c r="D1236" s="116" t="s">
        <v>9123</v>
      </c>
      <c r="E1236" s="528">
        <v>2.66</v>
      </c>
      <c r="F1236" s="528">
        <v>2.66</v>
      </c>
      <c r="G1236" s="338" t="s">
        <v>128</v>
      </c>
      <c r="H1236" s="216"/>
      <c r="I1236" s="216"/>
      <c r="J1236" s="216"/>
      <c r="K1236" s="216"/>
      <c r="L1236" s="216"/>
      <c r="M1236" s="216"/>
      <c r="N1236" s="216"/>
      <c r="O1236" s="216"/>
      <c r="P1236" s="216"/>
      <c r="Q1236" s="216"/>
      <c r="R1236" s="216"/>
      <c r="S1236" s="216"/>
      <c r="T1236" s="216"/>
      <c r="U1236" s="216"/>
      <c r="V1236" s="216"/>
      <c r="W1236" s="216"/>
      <c r="X1236" s="216"/>
      <c r="Y1236" s="216"/>
      <c r="Z1236" s="216"/>
    </row>
    <row r="1237" spans="1:26" ht="15" customHeight="1">
      <c r="A1237" s="133" t="s">
        <v>128</v>
      </c>
      <c r="B1237" s="99" t="s">
        <v>105</v>
      </c>
      <c r="C1237" s="133" t="s">
        <v>9212</v>
      </c>
      <c r="D1237" s="116" t="s">
        <v>7778</v>
      </c>
      <c r="E1237" s="528">
        <v>2.66</v>
      </c>
      <c r="F1237" s="528">
        <v>2.66</v>
      </c>
      <c r="G1237" s="338" t="s">
        <v>128</v>
      </c>
      <c r="H1237" s="216"/>
      <c r="I1237" s="216"/>
      <c r="J1237" s="216"/>
      <c r="K1237" s="216"/>
      <c r="L1237" s="216"/>
      <c r="M1237" s="216"/>
      <c r="N1237" s="216"/>
      <c r="O1237" s="216"/>
      <c r="P1237" s="216"/>
      <c r="Q1237" s="216"/>
      <c r="R1237" s="216"/>
      <c r="S1237" s="216"/>
      <c r="T1237" s="216"/>
      <c r="U1237" s="216"/>
      <c r="V1237" s="216"/>
      <c r="W1237" s="216"/>
      <c r="X1237" s="216"/>
      <c r="Y1237" s="216"/>
      <c r="Z1237" s="216"/>
    </row>
    <row r="1238" spans="1:26" ht="15" customHeight="1">
      <c r="A1238" s="133" t="s">
        <v>128</v>
      </c>
      <c r="B1238" s="99" t="s">
        <v>105</v>
      </c>
      <c r="C1238" s="133" t="s">
        <v>9213</v>
      </c>
      <c r="D1238" s="116" t="s">
        <v>7778</v>
      </c>
      <c r="E1238" s="528">
        <v>2.66</v>
      </c>
      <c r="F1238" s="528">
        <v>2.66</v>
      </c>
      <c r="G1238" s="338" t="s">
        <v>128</v>
      </c>
      <c r="H1238" s="216"/>
      <c r="I1238" s="216"/>
      <c r="J1238" s="216"/>
      <c r="K1238" s="216"/>
      <c r="L1238" s="216"/>
      <c r="M1238" s="216"/>
      <c r="N1238" s="216"/>
      <c r="O1238" s="216"/>
      <c r="P1238" s="216"/>
      <c r="Q1238" s="216"/>
      <c r="R1238" s="216"/>
      <c r="S1238" s="216"/>
      <c r="T1238" s="216"/>
      <c r="U1238" s="216"/>
      <c r="V1238" s="216"/>
      <c r="W1238" s="216"/>
      <c r="X1238" s="216"/>
      <c r="Y1238" s="216"/>
      <c r="Z1238" s="216"/>
    </row>
    <row r="1239" spans="1:26" ht="15" customHeight="1">
      <c r="A1239" s="133" t="s">
        <v>128</v>
      </c>
      <c r="B1239" s="99" t="s">
        <v>105</v>
      </c>
      <c r="C1239" s="133" t="s">
        <v>9214</v>
      </c>
      <c r="D1239" s="116" t="s">
        <v>7778</v>
      </c>
      <c r="E1239" s="528">
        <v>2.66</v>
      </c>
      <c r="F1239" s="528">
        <v>2.66</v>
      </c>
      <c r="G1239" s="338" t="s">
        <v>128</v>
      </c>
      <c r="H1239" s="216"/>
      <c r="I1239" s="216"/>
      <c r="J1239" s="216"/>
      <c r="K1239" s="216"/>
      <c r="L1239" s="216"/>
      <c r="M1239" s="216"/>
      <c r="N1239" s="216"/>
      <c r="O1239" s="216"/>
      <c r="P1239" s="216"/>
      <c r="Q1239" s="216"/>
      <c r="R1239" s="216"/>
      <c r="S1239" s="216"/>
      <c r="T1239" s="216"/>
      <c r="U1239" s="216"/>
      <c r="V1239" s="216"/>
      <c r="W1239" s="216"/>
      <c r="X1239" s="216"/>
      <c r="Y1239" s="216"/>
      <c r="Z1239" s="216"/>
    </row>
    <row r="1240" spans="1:26" ht="15" customHeight="1">
      <c r="A1240" s="133" t="s">
        <v>128</v>
      </c>
      <c r="B1240" s="99" t="s">
        <v>105</v>
      </c>
      <c r="C1240" s="133" t="s">
        <v>9215</v>
      </c>
      <c r="D1240" s="116" t="s">
        <v>7778</v>
      </c>
      <c r="E1240" s="528">
        <v>2.66</v>
      </c>
      <c r="F1240" s="528">
        <v>2.66</v>
      </c>
      <c r="G1240" s="338" t="s">
        <v>128</v>
      </c>
      <c r="H1240" s="216"/>
      <c r="I1240" s="216"/>
      <c r="J1240" s="216"/>
      <c r="K1240" s="216"/>
      <c r="L1240" s="216"/>
      <c r="M1240" s="216"/>
      <c r="N1240" s="216"/>
      <c r="O1240" s="216"/>
      <c r="P1240" s="216"/>
      <c r="Q1240" s="216"/>
      <c r="R1240" s="216"/>
      <c r="S1240" s="216"/>
      <c r="T1240" s="216"/>
      <c r="U1240" s="216"/>
      <c r="V1240" s="216"/>
      <c r="W1240" s="216"/>
      <c r="X1240" s="216"/>
      <c r="Y1240" s="216"/>
      <c r="Z1240" s="216"/>
    </row>
    <row r="1241" spans="1:26" ht="15" customHeight="1">
      <c r="A1241" s="133" t="s">
        <v>128</v>
      </c>
      <c r="B1241" s="99" t="s">
        <v>105</v>
      </c>
      <c r="C1241" s="133" t="s">
        <v>9216</v>
      </c>
      <c r="D1241" s="116" t="s">
        <v>7778</v>
      </c>
      <c r="E1241" s="528">
        <v>2.66</v>
      </c>
      <c r="F1241" s="528">
        <v>2.66</v>
      </c>
      <c r="G1241" s="338" t="s">
        <v>128</v>
      </c>
      <c r="H1241" s="216"/>
      <c r="I1241" s="216"/>
      <c r="J1241" s="216"/>
      <c r="K1241" s="216"/>
      <c r="L1241" s="216"/>
      <c r="M1241" s="216"/>
      <c r="N1241" s="216"/>
      <c r="O1241" s="216"/>
      <c r="P1241" s="216"/>
      <c r="Q1241" s="216"/>
      <c r="R1241" s="216"/>
      <c r="S1241" s="216"/>
      <c r="T1241" s="216"/>
      <c r="U1241" s="216"/>
      <c r="V1241" s="216"/>
      <c r="W1241" s="216"/>
      <c r="X1241" s="216"/>
      <c r="Y1241" s="216"/>
      <c r="Z1241" s="216"/>
    </row>
    <row r="1242" spans="1:26" ht="15" customHeight="1">
      <c r="A1242" s="133" t="s">
        <v>128</v>
      </c>
      <c r="B1242" s="99" t="s">
        <v>105</v>
      </c>
      <c r="C1242" s="133" t="s">
        <v>9217</v>
      </c>
      <c r="D1242" s="116" t="s">
        <v>7778</v>
      </c>
      <c r="E1242" s="528">
        <v>2.66</v>
      </c>
      <c r="F1242" s="528">
        <v>2.66</v>
      </c>
      <c r="G1242" s="338" t="s">
        <v>128</v>
      </c>
      <c r="H1242" s="216"/>
      <c r="I1242" s="216"/>
      <c r="J1242" s="216"/>
      <c r="K1242" s="216"/>
      <c r="L1242" s="216"/>
      <c r="M1242" s="216"/>
      <c r="N1242" s="216"/>
      <c r="O1242" s="216"/>
      <c r="P1242" s="216"/>
      <c r="Q1242" s="216"/>
      <c r="R1242" s="216"/>
      <c r="S1242" s="216"/>
      <c r="T1242" s="216"/>
      <c r="U1242" s="216"/>
      <c r="V1242" s="216"/>
      <c r="W1242" s="216"/>
      <c r="X1242" s="216"/>
      <c r="Y1242" s="216"/>
      <c r="Z1242" s="216"/>
    </row>
    <row r="1243" spans="1:26" ht="15" customHeight="1">
      <c r="A1243" s="133" t="s">
        <v>128</v>
      </c>
      <c r="B1243" s="99" t="s">
        <v>105</v>
      </c>
      <c r="C1243" s="133" t="s">
        <v>9218</v>
      </c>
      <c r="D1243" s="116" t="s">
        <v>7778</v>
      </c>
      <c r="E1243" s="528">
        <v>6.33</v>
      </c>
      <c r="F1243" s="528">
        <v>6.33</v>
      </c>
      <c r="G1243" s="338" t="s">
        <v>128</v>
      </c>
      <c r="H1243" s="216"/>
      <c r="I1243" s="216"/>
      <c r="J1243" s="216"/>
      <c r="K1243" s="216"/>
      <c r="L1243" s="216"/>
      <c r="M1243" s="216"/>
      <c r="N1243" s="216"/>
      <c r="O1243" s="216"/>
      <c r="P1243" s="216"/>
      <c r="Q1243" s="216"/>
      <c r="R1243" s="216"/>
      <c r="S1243" s="216"/>
      <c r="T1243" s="216"/>
      <c r="U1243" s="216"/>
      <c r="V1243" s="216"/>
      <c r="W1243" s="216"/>
      <c r="X1243" s="216"/>
      <c r="Y1243" s="216"/>
      <c r="Z1243" s="216"/>
    </row>
    <row r="1244" spans="1:26" ht="15" customHeight="1">
      <c r="A1244" s="133" t="s">
        <v>128</v>
      </c>
      <c r="B1244" s="99" t="s">
        <v>105</v>
      </c>
      <c r="C1244" s="133" t="s">
        <v>9219</v>
      </c>
      <c r="D1244" s="116" t="s">
        <v>7778</v>
      </c>
      <c r="E1244" s="528">
        <v>6.33</v>
      </c>
      <c r="F1244" s="528">
        <v>6.33</v>
      </c>
      <c r="G1244" s="338" t="s">
        <v>128</v>
      </c>
      <c r="H1244" s="216"/>
      <c r="I1244" s="216"/>
      <c r="J1244" s="216"/>
      <c r="K1244" s="216"/>
      <c r="L1244" s="216"/>
      <c r="M1244" s="216"/>
      <c r="N1244" s="216"/>
      <c r="O1244" s="216"/>
      <c r="P1244" s="216"/>
      <c r="Q1244" s="216"/>
      <c r="R1244" s="216"/>
      <c r="S1244" s="216"/>
      <c r="T1244" s="216"/>
      <c r="U1244" s="216"/>
      <c r="V1244" s="216"/>
      <c r="W1244" s="216"/>
      <c r="X1244" s="216"/>
      <c r="Y1244" s="216"/>
      <c r="Z1244" s="216"/>
    </row>
    <row r="1245" spans="1:26" ht="15" customHeight="1">
      <c r="A1245" s="133" t="s">
        <v>128</v>
      </c>
      <c r="B1245" s="99" t="s">
        <v>105</v>
      </c>
      <c r="C1245" s="133" t="s">
        <v>9220</v>
      </c>
      <c r="D1245" s="116" t="s">
        <v>7778</v>
      </c>
      <c r="E1245" s="528">
        <v>6.33</v>
      </c>
      <c r="F1245" s="528">
        <v>6.33</v>
      </c>
      <c r="G1245" s="338" t="s">
        <v>128</v>
      </c>
      <c r="H1245" s="216"/>
      <c r="I1245" s="216"/>
      <c r="J1245" s="216"/>
      <c r="K1245" s="216"/>
      <c r="L1245" s="216"/>
      <c r="M1245" s="216"/>
      <c r="N1245" s="216"/>
      <c r="O1245" s="216"/>
      <c r="P1245" s="216"/>
      <c r="Q1245" s="216"/>
      <c r="R1245" s="216"/>
      <c r="S1245" s="216"/>
      <c r="T1245" s="216"/>
      <c r="U1245" s="216"/>
      <c r="V1245" s="216"/>
      <c r="W1245" s="216"/>
      <c r="X1245" s="216"/>
      <c r="Y1245" s="216"/>
      <c r="Z1245" s="216"/>
    </row>
    <row r="1246" spans="1:26" ht="15" customHeight="1">
      <c r="A1246" s="133" t="s">
        <v>128</v>
      </c>
      <c r="B1246" s="99" t="s">
        <v>105</v>
      </c>
      <c r="C1246" s="133" t="s">
        <v>9221</v>
      </c>
      <c r="D1246" s="116" t="s">
        <v>7778</v>
      </c>
      <c r="E1246" s="528">
        <v>6.33</v>
      </c>
      <c r="F1246" s="528">
        <v>6.33</v>
      </c>
      <c r="G1246" s="338" t="s">
        <v>128</v>
      </c>
      <c r="H1246" s="216"/>
      <c r="I1246" s="216"/>
      <c r="J1246" s="216"/>
      <c r="K1246" s="216"/>
      <c r="L1246" s="216"/>
      <c r="M1246" s="216"/>
      <c r="N1246" s="216"/>
      <c r="O1246" s="216"/>
      <c r="P1246" s="216"/>
      <c r="Q1246" s="216"/>
      <c r="R1246" s="216"/>
      <c r="S1246" s="216"/>
      <c r="T1246" s="216"/>
      <c r="U1246" s="216"/>
      <c r="V1246" s="216"/>
      <c r="W1246" s="216"/>
      <c r="X1246" s="216"/>
      <c r="Y1246" s="216"/>
      <c r="Z1246" s="216"/>
    </row>
    <row r="1247" spans="1:26" ht="15" customHeight="1">
      <c r="A1247" s="133" t="s">
        <v>128</v>
      </c>
      <c r="B1247" s="99" t="s">
        <v>105</v>
      </c>
      <c r="C1247" s="133" t="s">
        <v>9222</v>
      </c>
      <c r="D1247" s="116" t="s">
        <v>7778</v>
      </c>
      <c r="E1247" s="528">
        <v>6.33</v>
      </c>
      <c r="F1247" s="528">
        <v>6.33</v>
      </c>
      <c r="G1247" s="338" t="s">
        <v>128</v>
      </c>
      <c r="H1247" s="216"/>
      <c r="I1247" s="216"/>
      <c r="J1247" s="216"/>
      <c r="K1247" s="216"/>
      <c r="L1247" s="216"/>
      <c r="M1247" s="216"/>
      <c r="N1247" s="216"/>
      <c r="O1247" s="216"/>
      <c r="P1247" s="216"/>
      <c r="Q1247" s="216"/>
      <c r="R1247" s="216"/>
      <c r="S1247" s="216"/>
      <c r="T1247" s="216"/>
      <c r="U1247" s="216"/>
      <c r="V1247" s="216"/>
      <c r="W1247" s="216"/>
      <c r="X1247" s="216"/>
      <c r="Y1247" s="216"/>
      <c r="Z1247" s="216"/>
    </row>
    <row r="1248" spans="1:26" ht="15" customHeight="1">
      <c r="A1248" s="133" t="s">
        <v>128</v>
      </c>
      <c r="B1248" s="99" t="s">
        <v>105</v>
      </c>
      <c r="C1248" s="133" t="s">
        <v>9223</v>
      </c>
      <c r="D1248" s="116" t="s">
        <v>9141</v>
      </c>
      <c r="E1248" s="528">
        <v>6.33</v>
      </c>
      <c r="F1248" s="528">
        <v>6.33</v>
      </c>
      <c r="G1248" s="338" t="s">
        <v>128</v>
      </c>
      <c r="H1248" s="216"/>
      <c r="I1248" s="216"/>
      <c r="J1248" s="216"/>
      <c r="K1248" s="216"/>
      <c r="L1248" s="216"/>
      <c r="M1248" s="216"/>
      <c r="N1248" s="216"/>
      <c r="O1248" s="216"/>
      <c r="P1248" s="216"/>
      <c r="Q1248" s="216"/>
      <c r="R1248" s="216"/>
      <c r="S1248" s="216"/>
      <c r="T1248" s="216"/>
      <c r="U1248" s="216"/>
      <c r="V1248" s="216"/>
      <c r="W1248" s="216"/>
      <c r="X1248" s="216"/>
      <c r="Y1248" s="216"/>
      <c r="Z1248" s="216"/>
    </row>
    <row r="1249" spans="1:26" ht="15" customHeight="1">
      <c r="A1249" s="133" t="s">
        <v>128</v>
      </c>
      <c r="B1249" s="99" t="s">
        <v>105</v>
      </c>
      <c r="C1249" s="133" t="s">
        <v>9224</v>
      </c>
      <c r="D1249" s="116" t="s">
        <v>9225</v>
      </c>
      <c r="E1249" s="528">
        <v>20</v>
      </c>
      <c r="F1249" s="528">
        <v>20</v>
      </c>
      <c r="G1249" s="338" t="s">
        <v>128</v>
      </c>
      <c r="H1249" s="216"/>
      <c r="I1249" s="216"/>
      <c r="J1249" s="216"/>
      <c r="K1249" s="216"/>
      <c r="L1249" s="216"/>
      <c r="M1249" s="216"/>
      <c r="N1249" s="216"/>
      <c r="O1249" s="216"/>
      <c r="P1249" s="216"/>
      <c r="Q1249" s="216"/>
      <c r="R1249" s="216"/>
      <c r="S1249" s="216"/>
      <c r="T1249" s="216"/>
      <c r="U1249" s="216"/>
      <c r="V1249" s="216"/>
      <c r="W1249" s="216"/>
      <c r="X1249" s="216"/>
      <c r="Y1249" s="216"/>
      <c r="Z1249" s="216"/>
    </row>
    <row r="1250" spans="1:26" ht="15" customHeight="1">
      <c r="A1250" s="133" t="s">
        <v>128</v>
      </c>
      <c r="B1250" s="99" t="s">
        <v>105</v>
      </c>
      <c r="C1250" s="133" t="s">
        <v>9226</v>
      </c>
      <c r="D1250" s="116" t="s">
        <v>7790</v>
      </c>
      <c r="E1250" s="528">
        <v>10</v>
      </c>
      <c r="F1250" s="528">
        <v>10</v>
      </c>
      <c r="G1250" s="338" t="s">
        <v>128</v>
      </c>
      <c r="H1250" s="216"/>
      <c r="I1250" s="216"/>
      <c r="J1250" s="216"/>
      <c r="K1250" s="216"/>
      <c r="L1250" s="216"/>
      <c r="M1250" s="216"/>
      <c r="N1250" s="216"/>
      <c r="O1250" s="216"/>
      <c r="P1250" s="216"/>
      <c r="Q1250" s="216"/>
      <c r="R1250" s="216"/>
      <c r="S1250" s="216"/>
      <c r="T1250" s="216"/>
      <c r="U1250" s="216"/>
      <c r="V1250" s="216"/>
      <c r="W1250" s="216"/>
      <c r="X1250" s="216"/>
      <c r="Y1250" s="216"/>
      <c r="Z1250" s="216"/>
    </row>
    <row r="1251" spans="1:26" ht="15" customHeight="1">
      <c r="A1251" s="134" t="s">
        <v>109</v>
      </c>
      <c r="B1251" s="133" t="s">
        <v>105</v>
      </c>
      <c r="C1251" s="133" t="s">
        <v>9227</v>
      </c>
      <c r="D1251" s="100" t="s">
        <v>7778</v>
      </c>
      <c r="E1251" s="100">
        <v>39</v>
      </c>
      <c r="F1251" s="528">
        <v>39</v>
      </c>
      <c r="G1251" s="338" t="s">
        <v>109</v>
      </c>
      <c r="H1251" s="216"/>
      <c r="I1251" s="216"/>
      <c r="J1251" s="216"/>
      <c r="K1251" s="216"/>
      <c r="L1251" s="216"/>
      <c r="M1251" s="216"/>
      <c r="N1251" s="216"/>
      <c r="O1251" s="216"/>
      <c r="P1251" s="216"/>
      <c r="Q1251" s="216"/>
      <c r="R1251" s="216"/>
      <c r="S1251" s="216"/>
      <c r="T1251" s="216"/>
      <c r="U1251" s="216"/>
      <c r="V1251" s="216"/>
      <c r="W1251" s="216"/>
      <c r="X1251" s="216"/>
      <c r="Y1251" s="216"/>
      <c r="Z1251" s="216"/>
    </row>
    <row r="1252" spans="1:26" ht="15" customHeight="1">
      <c r="A1252" s="134" t="s">
        <v>109</v>
      </c>
      <c r="B1252" s="133" t="s">
        <v>105</v>
      </c>
      <c r="C1252" s="133" t="s">
        <v>9228</v>
      </c>
      <c r="D1252" s="116" t="s">
        <v>7778</v>
      </c>
      <c r="E1252" s="116">
        <v>39</v>
      </c>
      <c r="F1252" s="528">
        <v>39</v>
      </c>
      <c r="G1252" s="338" t="s">
        <v>109</v>
      </c>
      <c r="H1252" s="216"/>
      <c r="I1252" s="216"/>
      <c r="J1252" s="216"/>
      <c r="K1252" s="216"/>
      <c r="L1252" s="216"/>
      <c r="M1252" s="216"/>
      <c r="N1252" s="216"/>
      <c r="O1252" s="216"/>
      <c r="P1252" s="216"/>
      <c r="Q1252" s="216"/>
      <c r="R1252" s="216"/>
      <c r="S1252" s="216"/>
      <c r="T1252" s="216"/>
      <c r="U1252" s="216"/>
      <c r="V1252" s="216"/>
      <c r="W1252" s="216"/>
      <c r="X1252" s="216"/>
      <c r="Y1252" s="216"/>
      <c r="Z1252" s="216"/>
    </row>
    <row r="1253" spans="1:26" ht="15" customHeight="1">
      <c r="A1253" s="134" t="s">
        <v>109</v>
      </c>
      <c r="B1253" s="133" t="s">
        <v>105</v>
      </c>
      <c r="C1253" s="133" t="s">
        <v>9229</v>
      </c>
      <c r="D1253" s="100" t="s">
        <v>7778</v>
      </c>
      <c r="E1253" s="100">
        <v>10</v>
      </c>
      <c r="F1253" s="528">
        <v>10</v>
      </c>
      <c r="G1253" s="338" t="s">
        <v>109</v>
      </c>
      <c r="H1253" s="216"/>
      <c r="I1253" s="216"/>
      <c r="J1253" s="216"/>
      <c r="K1253" s="216"/>
      <c r="L1253" s="216"/>
      <c r="M1253" s="216"/>
      <c r="N1253" s="216"/>
      <c r="O1253" s="216"/>
      <c r="P1253" s="216"/>
      <c r="Q1253" s="216"/>
      <c r="R1253" s="216"/>
      <c r="S1253" s="216"/>
      <c r="T1253" s="216"/>
      <c r="U1253" s="216"/>
      <c r="V1253" s="216"/>
      <c r="W1253" s="216"/>
      <c r="X1253" s="216"/>
      <c r="Y1253" s="216"/>
      <c r="Z1253" s="216"/>
    </row>
    <row r="1254" spans="1:26" ht="15" customHeight="1">
      <c r="A1254" s="134" t="s">
        <v>109</v>
      </c>
      <c r="B1254" s="133" t="s">
        <v>105</v>
      </c>
      <c r="C1254" s="133" t="s">
        <v>9230</v>
      </c>
      <c r="D1254" s="116" t="s">
        <v>7778</v>
      </c>
      <c r="E1254" s="116">
        <v>4</v>
      </c>
      <c r="F1254" s="528">
        <v>4</v>
      </c>
      <c r="G1254" s="338" t="s">
        <v>109</v>
      </c>
      <c r="H1254" s="216"/>
      <c r="I1254" s="216"/>
      <c r="J1254" s="216"/>
      <c r="K1254" s="216"/>
      <c r="L1254" s="216"/>
      <c r="M1254" s="216"/>
      <c r="N1254" s="216"/>
      <c r="O1254" s="216"/>
      <c r="P1254" s="216"/>
      <c r="Q1254" s="216"/>
      <c r="R1254" s="216"/>
      <c r="S1254" s="216"/>
      <c r="T1254" s="216"/>
      <c r="U1254" s="216"/>
      <c r="V1254" s="216"/>
      <c r="W1254" s="216"/>
      <c r="X1254" s="216"/>
      <c r="Y1254" s="216"/>
      <c r="Z1254" s="216"/>
    </row>
    <row r="1255" spans="1:26" ht="15" customHeight="1">
      <c r="A1255" s="134" t="s">
        <v>109</v>
      </c>
      <c r="B1255" s="133" t="s">
        <v>105</v>
      </c>
      <c r="C1255" s="133" t="s">
        <v>9231</v>
      </c>
      <c r="D1255" s="116" t="s">
        <v>7778</v>
      </c>
      <c r="E1255" s="116">
        <v>43</v>
      </c>
      <c r="F1255" s="528">
        <v>43</v>
      </c>
      <c r="G1255" s="338" t="s">
        <v>109</v>
      </c>
      <c r="H1255" s="216"/>
      <c r="I1255" s="216"/>
      <c r="J1255" s="216"/>
      <c r="K1255" s="216"/>
      <c r="L1255" s="216"/>
      <c r="M1255" s="216"/>
      <c r="N1255" s="216"/>
      <c r="O1255" s="216"/>
      <c r="P1255" s="216"/>
      <c r="Q1255" s="216"/>
      <c r="R1255" s="216"/>
      <c r="S1255" s="216"/>
      <c r="T1255" s="216"/>
      <c r="U1255" s="216"/>
      <c r="V1255" s="216"/>
      <c r="W1255" s="216"/>
      <c r="X1255" s="216"/>
      <c r="Y1255" s="216"/>
      <c r="Z1255" s="216"/>
    </row>
    <row r="1256" spans="1:26" ht="15" customHeight="1">
      <c r="A1256" s="134" t="s">
        <v>9232</v>
      </c>
      <c r="B1256" s="133" t="s">
        <v>8972</v>
      </c>
      <c r="C1256" s="133" t="s">
        <v>9233</v>
      </c>
      <c r="D1256" s="100" t="s">
        <v>7698</v>
      </c>
      <c r="E1256" s="186">
        <f>47/3</f>
        <v>15.666666666666666</v>
      </c>
      <c r="F1256" s="528">
        <f t="shared" ref="F1256:F1272" si="138">E1256</f>
        <v>15.666666666666666</v>
      </c>
      <c r="G1256" s="338" t="s">
        <v>119</v>
      </c>
      <c r="H1256" s="216"/>
      <c r="I1256" s="216"/>
      <c r="J1256" s="216"/>
      <c r="K1256" s="216"/>
      <c r="L1256" s="216"/>
      <c r="M1256" s="216"/>
      <c r="N1256" s="216"/>
      <c r="O1256" s="216"/>
      <c r="P1256" s="216"/>
      <c r="Q1256" s="216"/>
      <c r="R1256" s="216"/>
      <c r="S1256" s="216"/>
      <c r="T1256" s="216"/>
      <c r="U1256" s="216"/>
      <c r="V1256" s="216"/>
      <c r="W1256" s="216"/>
      <c r="X1256" s="216"/>
      <c r="Y1256" s="216"/>
      <c r="Z1256" s="216"/>
    </row>
    <row r="1257" spans="1:26" ht="15" customHeight="1">
      <c r="A1257" s="134" t="s">
        <v>9232</v>
      </c>
      <c r="B1257" s="133" t="s">
        <v>8972</v>
      </c>
      <c r="C1257" s="133" t="s">
        <v>9234</v>
      </c>
      <c r="D1257" s="100" t="s">
        <v>7698</v>
      </c>
      <c r="E1257" s="528">
        <f>9/3</f>
        <v>3</v>
      </c>
      <c r="F1257" s="528">
        <f t="shared" si="138"/>
        <v>3</v>
      </c>
      <c r="G1257" s="338" t="s">
        <v>119</v>
      </c>
      <c r="H1257" s="216"/>
      <c r="I1257" s="216"/>
      <c r="J1257" s="216"/>
      <c r="K1257" s="216"/>
      <c r="L1257" s="216"/>
      <c r="M1257" s="216"/>
      <c r="N1257" s="216"/>
      <c r="O1257" s="216"/>
      <c r="P1257" s="216"/>
      <c r="Q1257" s="216"/>
      <c r="R1257" s="216"/>
      <c r="S1257" s="216"/>
      <c r="T1257" s="216"/>
      <c r="U1257" s="216"/>
      <c r="V1257" s="216"/>
      <c r="W1257" s="216"/>
      <c r="X1257" s="216"/>
      <c r="Y1257" s="216"/>
      <c r="Z1257" s="216"/>
    </row>
    <row r="1258" spans="1:26" ht="15" customHeight="1">
      <c r="A1258" s="134" t="s">
        <v>9232</v>
      </c>
      <c r="B1258" s="133" t="s">
        <v>8972</v>
      </c>
      <c r="C1258" s="133" t="s">
        <v>9235</v>
      </c>
      <c r="D1258" s="100" t="s">
        <v>7698</v>
      </c>
      <c r="E1258" s="186">
        <f>17/3</f>
        <v>5.666666666666667</v>
      </c>
      <c r="F1258" s="528">
        <f t="shared" si="138"/>
        <v>5.666666666666667</v>
      </c>
      <c r="G1258" s="338" t="s">
        <v>119</v>
      </c>
      <c r="H1258" s="216"/>
      <c r="I1258" s="216"/>
      <c r="J1258" s="216"/>
      <c r="K1258" s="216"/>
      <c r="L1258" s="216"/>
      <c r="M1258" s="216"/>
      <c r="N1258" s="216"/>
      <c r="O1258" s="216"/>
      <c r="P1258" s="216"/>
      <c r="Q1258" s="216"/>
      <c r="R1258" s="216"/>
      <c r="S1258" s="216"/>
      <c r="T1258" s="216"/>
      <c r="U1258" s="216"/>
      <c r="V1258" s="216"/>
      <c r="W1258" s="216"/>
      <c r="X1258" s="216"/>
      <c r="Y1258" s="216"/>
      <c r="Z1258" s="216"/>
    </row>
    <row r="1259" spans="1:26" ht="15" customHeight="1">
      <c r="A1259" s="134" t="s">
        <v>9232</v>
      </c>
      <c r="B1259" s="133" t="s">
        <v>8972</v>
      </c>
      <c r="C1259" s="133" t="s">
        <v>9236</v>
      </c>
      <c r="D1259" s="100" t="s">
        <v>7698</v>
      </c>
      <c r="E1259" s="186">
        <f>47/3</f>
        <v>15.666666666666666</v>
      </c>
      <c r="F1259" s="528">
        <f t="shared" si="138"/>
        <v>15.666666666666666</v>
      </c>
      <c r="G1259" s="338" t="s">
        <v>119</v>
      </c>
      <c r="H1259" s="216"/>
      <c r="I1259" s="216"/>
      <c r="J1259" s="216"/>
      <c r="K1259" s="216"/>
      <c r="L1259" s="216"/>
      <c r="M1259" s="216"/>
      <c r="N1259" s="216"/>
      <c r="O1259" s="216"/>
      <c r="P1259" s="216"/>
      <c r="Q1259" s="216"/>
      <c r="R1259" s="216"/>
      <c r="S1259" s="216"/>
      <c r="T1259" s="216"/>
      <c r="U1259" s="216"/>
      <c r="V1259" s="216"/>
      <c r="W1259" s="216"/>
      <c r="X1259" s="216"/>
      <c r="Y1259" s="216"/>
      <c r="Z1259" s="216"/>
    </row>
    <row r="1260" spans="1:26" ht="15" customHeight="1">
      <c r="A1260" s="134" t="s">
        <v>9232</v>
      </c>
      <c r="B1260" s="133" t="s">
        <v>8972</v>
      </c>
      <c r="C1260" s="133" t="s">
        <v>9237</v>
      </c>
      <c r="D1260" s="100" t="s">
        <v>7698</v>
      </c>
      <c r="E1260" s="186">
        <f>9/3</f>
        <v>3</v>
      </c>
      <c r="F1260" s="528">
        <f t="shared" si="138"/>
        <v>3</v>
      </c>
      <c r="G1260" s="338" t="s">
        <v>119</v>
      </c>
      <c r="H1260" s="216"/>
      <c r="I1260" s="216"/>
      <c r="J1260" s="216"/>
      <c r="K1260" s="216"/>
      <c r="L1260" s="216"/>
      <c r="M1260" s="216"/>
      <c r="N1260" s="216"/>
      <c r="O1260" s="216"/>
      <c r="P1260" s="216"/>
      <c r="Q1260" s="216"/>
      <c r="R1260" s="216"/>
      <c r="S1260" s="216"/>
      <c r="T1260" s="216"/>
      <c r="U1260" s="216"/>
      <c r="V1260" s="216"/>
      <c r="W1260" s="216"/>
      <c r="X1260" s="216"/>
      <c r="Y1260" s="216"/>
      <c r="Z1260" s="216"/>
    </row>
    <row r="1261" spans="1:26" ht="15" customHeight="1">
      <c r="A1261" s="134" t="s">
        <v>9232</v>
      </c>
      <c r="B1261" s="133" t="s">
        <v>8972</v>
      </c>
      <c r="C1261" s="133" t="s">
        <v>9238</v>
      </c>
      <c r="D1261" s="100" t="s">
        <v>7698</v>
      </c>
      <c r="E1261" s="186">
        <f>18/3</f>
        <v>6</v>
      </c>
      <c r="F1261" s="528">
        <f t="shared" si="138"/>
        <v>6</v>
      </c>
      <c r="G1261" s="338" t="s">
        <v>119</v>
      </c>
      <c r="H1261" s="216"/>
      <c r="I1261" s="216"/>
      <c r="J1261" s="216"/>
      <c r="K1261" s="216"/>
      <c r="L1261" s="216"/>
      <c r="M1261" s="216"/>
      <c r="N1261" s="216"/>
      <c r="O1261" s="216"/>
      <c r="P1261" s="216"/>
      <c r="Q1261" s="216"/>
      <c r="R1261" s="216"/>
      <c r="S1261" s="216"/>
      <c r="T1261" s="216"/>
      <c r="U1261" s="216"/>
      <c r="V1261" s="216"/>
      <c r="W1261" s="216"/>
      <c r="X1261" s="216"/>
      <c r="Y1261" s="216"/>
      <c r="Z1261" s="216"/>
    </row>
    <row r="1262" spans="1:26" ht="15" customHeight="1">
      <c r="A1262" s="134" t="s">
        <v>9232</v>
      </c>
      <c r="B1262" s="133" t="s">
        <v>8972</v>
      </c>
      <c r="C1262" s="133" t="s">
        <v>9239</v>
      </c>
      <c r="D1262" s="100" t="s">
        <v>7698</v>
      </c>
      <c r="E1262" s="186">
        <f>47/3</f>
        <v>15.666666666666666</v>
      </c>
      <c r="F1262" s="528">
        <f t="shared" si="138"/>
        <v>15.666666666666666</v>
      </c>
      <c r="G1262" s="338" t="s">
        <v>119</v>
      </c>
      <c r="H1262" s="216"/>
      <c r="I1262" s="216"/>
      <c r="J1262" s="216"/>
      <c r="K1262" s="216"/>
      <c r="L1262" s="216"/>
      <c r="M1262" s="216"/>
      <c r="N1262" s="216"/>
      <c r="O1262" s="216"/>
      <c r="P1262" s="216"/>
      <c r="Q1262" s="216"/>
      <c r="R1262" s="216"/>
      <c r="S1262" s="216"/>
      <c r="T1262" s="216"/>
      <c r="U1262" s="216"/>
      <c r="V1262" s="216"/>
      <c r="W1262" s="216"/>
      <c r="X1262" s="216"/>
      <c r="Y1262" s="216"/>
      <c r="Z1262" s="216"/>
    </row>
    <row r="1263" spans="1:26" ht="15" customHeight="1">
      <c r="A1263" s="134" t="s">
        <v>9232</v>
      </c>
      <c r="B1263" s="133" t="s">
        <v>8972</v>
      </c>
      <c r="C1263" s="133" t="s">
        <v>9240</v>
      </c>
      <c r="D1263" s="100" t="s">
        <v>7698</v>
      </c>
      <c r="E1263" s="528">
        <f>9/3</f>
        <v>3</v>
      </c>
      <c r="F1263" s="528">
        <f t="shared" si="138"/>
        <v>3</v>
      </c>
      <c r="G1263" s="338" t="s">
        <v>119</v>
      </c>
      <c r="H1263" s="216"/>
      <c r="I1263" s="216"/>
      <c r="J1263" s="216"/>
      <c r="K1263" s="216"/>
      <c r="L1263" s="216"/>
      <c r="M1263" s="216"/>
      <c r="N1263" s="216"/>
      <c r="O1263" s="216"/>
      <c r="P1263" s="216"/>
      <c r="Q1263" s="216"/>
      <c r="R1263" s="216"/>
      <c r="S1263" s="216"/>
      <c r="T1263" s="216"/>
      <c r="U1263" s="216"/>
      <c r="V1263" s="216"/>
      <c r="W1263" s="216"/>
      <c r="X1263" s="216"/>
      <c r="Y1263" s="216"/>
      <c r="Z1263" s="216"/>
    </row>
    <row r="1264" spans="1:26" ht="15" customHeight="1">
      <c r="A1264" s="134" t="s">
        <v>9232</v>
      </c>
      <c r="B1264" s="133" t="s">
        <v>8972</v>
      </c>
      <c r="C1264" s="133" t="s">
        <v>9241</v>
      </c>
      <c r="D1264" s="100" t="s">
        <v>7698</v>
      </c>
      <c r="E1264" s="186">
        <f>17/3</f>
        <v>5.666666666666667</v>
      </c>
      <c r="F1264" s="528">
        <f t="shared" si="138"/>
        <v>5.666666666666667</v>
      </c>
      <c r="G1264" s="338" t="s">
        <v>119</v>
      </c>
      <c r="H1264" s="216"/>
      <c r="I1264" s="216"/>
      <c r="J1264" s="216"/>
      <c r="K1264" s="216"/>
      <c r="L1264" s="216"/>
      <c r="M1264" s="216"/>
      <c r="N1264" s="216"/>
      <c r="O1264" s="216"/>
      <c r="P1264" s="216"/>
      <c r="Q1264" s="216"/>
      <c r="R1264" s="216"/>
      <c r="S1264" s="216"/>
      <c r="T1264" s="216"/>
      <c r="U1264" s="216"/>
      <c r="V1264" s="216"/>
      <c r="W1264" s="216"/>
      <c r="X1264" s="216"/>
      <c r="Y1264" s="216"/>
      <c r="Z1264" s="216"/>
    </row>
    <row r="1265" spans="1:26" ht="15" customHeight="1">
      <c r="A1265" s="134" t="s">
        <v>9232</v>
      </c>
      <c r="B1265" s="133" t="s">
        <v>8972</v>
      </c>
      <c r="C1265" s="133" t="s">
        <v>9242</v>
      </c>
      <c r="D1265" s="100" t="s">
        <v>7698</v>
      </c>
      <c r="E1265" s="186">
        <f>47/3</f>
        <v>15.666666666666666</v>
      </c>
      <c r="F1265" s="528">
        <f t="shared" si="138"/>
        <v>15.666666666666666</v>
      </c>
      <c r="G1265" s="338" t="s">
        <v>119</v>
      </c>
      <c r="H1265" s="216"/>
      <c r="I1265" s="216"/>
      <c r="J1265" s="216"/>
      <c r="K1265" s="216"/>
      <c r="L1265" s="216"/>
      <c r="M1265" s="216"/>
      <c r="N1265" s="216"/>
      <c r="O1265" s="216"/>
      <c r="P1265" s="216"/>
      <c r="Q1265" s="216"/>
      <c r="R1265" s="216"/>
      <c r="S1265" s="216"/>
      <c r="T1265" s="216"/>
      <c r="U1265" s="216"/>
      <c r="V1265" s="216"/>
      <c r="W1265" s="216"/>
      <c r="X1265" s="216"/>
      <c r="Y1265" s="216"/>
      <c r="Z1265" s="216"/>
    </row>
    <row r="1266" spans="1:26" ht="15" customHeight="1">
      <c r="A1266" s="134" t="s">
        <v>9232</v>
      </c>
      <c r="B1266" s="133" t="s">
        <v>8972</v>
      </c>
      <c r="C1266" s="133" t="s">
        <v>9243</v>
      </c>
      <c r="D1266" s="100" t="s">
        <v>7698</v>
      </c>
      <c r="E1266" s="186">
        <f>9/3</f>
        <v>3</v>
      </c>
      <c r="F1266" s="528">
        <f t="shared" si="138"/>
        <v>3</v>
      </c>
      <c r="G1266" s="338" t="s">
        <v>119</v>
      </c>
      <c r="H1266" s="216"/>
      <c r="I1266" s="216"/>
      <c r="J1266" s="216"/>
      <c r="K1266" s="216"/>
      <c r="L1266" s="216"/>
      <c r="M1266" s="216"/>
      <c r="N1266" s="216"/>
      <c r="O1266" s="216"/>
      <c r="P1266" s="216"/>
      <c r="Q1266" s="216"/>
      <c r="R1266" s="216"/>
      <c r="S1266" s="216"/>
      <c r="T1266" s="216"/>
      <c r="U1266" s="216"/>
      <c r="V1266" s="216"/>
      <c r="W1266" s="216"/>
      <c r="X1266" s="216"/>
      <c r="Y1266" s="216"/>
      <c r="Z1266" s="216"/>
    </row>
    <row r="1267" spans="1:26" ht="15" customHeight="1">
      <c r="A1267" s="134" t="s">
        <v>9232</v>
      </c>
      <c r="B1267" s="133" t="s">
        <v>8972</v>
      </c>
      <c r="C1267" s="133" t="s">
        <v>9244</v>
      </c>
      <c r="D1267" s="100" t="s">
        <v>7698</v>
      </c>
      <c r="E1267" s="186">
        <f>18/3</f>
        <v>6</v>
      </c>
      <c r="F1267" s="528">
        <f t="shared" si="138"/>
        <v>6</v>
      </c>
      <c r="G1267" s="338" t="s">
        <v>119</v>
      </c>
      <c r="H1267" s="216"/>
      <c r="I1267" s="216"/>
      <c r="J1267" s="216"/>
      <c r="K1267" s="216"/>
      <c r="L1267" s="216"/>
      <c r="M1267" s="216"/>
      <c r="N1267" s="216"/>
      <c r="O1267" s="216"/>
      <c r="P1267" s="216"/>
      <c r="Q1267" s="216"/>
      <c r="R1267" s="216"/>
      <c r="S1267" s="216"/>
      <c r="T1267" s="216"/>
      <c r="U1267" s="216"/>
      <c r="V1267" s="216"/>
      <c r="W1267" s="216"/>
      <c r="X1267" s="216"/>
      <c r="Y1267" s="216"/>
      <c r="Z1267" s="216"/>
    </row>
    <row r="1268" spans="1:26" ht="15" customHeight="1">
      <c r="A1268" s="134" t="s">
        <v>9232</v>
      </c>
      <c r="B1268" s="133" t="s">
        <v>105</v>
      </c>
      <c r="C1268" s="133" t="s">
        <v>9030</v>
      </c>
      <c r="D1268" s="116" t="s">
        <v>7778</v>
      </c>
      <c r="E1268" s="528">
        <f>48/3*2</f>
        <v>32</v>
      </c>
      <c r="F1268" s="528">
        <f t="shared" si="138"/>
        <v>32</v>
      </c>
      <c r="G1268" s="338" t="s">
        <v>119</v>
      </c>
      <c r="H1268" s="216"/>
      <c r="I1268" s="216"/>
      <c r="J1268" s="216"/>
      <c r="K1268" s="216"/>
      <c r="L1268" s="216"/>
      <c r="M1268" s="216"/>
      <c r="N1268" s="216"/>
      <c r="O1268" s="216"/>
      <c r="P1268" s="216"/>
      <c r="Q1268" s="216"/>
      <c r="R1268" s="216"/>
      <c r="S1268" s="216"/>
      <c r="T1268" s="216"/>
      <c r="U1268" s="216"/>
      <c r="V1268" s="216"/>
      <c r="W1268" s="216"/>
      <c r="X1268" s="216"/>
      <c r="Y1268" s="216"/>
      <c r="Z1268" s="216"/>
    </row>
    <row r="1269" spans="1:26" ht="15" customHeight="1">
      <c r="A1269" s="134" t="s">
        <v>9232</v>
      </c>
      <c r="B1269" s="133" t="s">
        <v>8972</v>
      </c>
      <c r="C1269" s="133" t="s">
        <v>9245</v>
      </c>
      <c r="D1269" s="100" t="s">
        <v>7778</v>
      </c>
      <c r="E1269" s="528">
        <f>3/3*2</f>
        <v>2</v>
      </c>
      <c r="F1269" s="528">
        <f t="shared" si="138"/>
        <v>2</v>
      </c>
      <c r="G1269" s="338" t="s">
        <v>119</v>
      </c>
      <c r="H1269" s="216"/>
      <c r="I1269" s="216"/>
      <c r="J1269" s="216"/>
      <c r="K1269" s="216"/>
      <c r="L1269" s="216"/>
      <c r="M1269" s="216"/>
      <c r="N1269" s="216"/>
      <c r="O1269" s="216"/>
      <c r="P1269" s="216"/>
      <c r="Q1269" s="216"/>
      <c r="R1269" s="216"/>
      <c r="S1269" s="216"/>
      <c r="T1269" s="216"/>
      <c r="U1269" s="216"/>
      <c r="V1269" s="216"/>
      <c r="W1269" s="216"/>
      <c r="X1269" s="216"/>
      <c r="Y1269" s="216"/>
      <c r="Z1269" s="216"/>
    </row>
    <row r="1270" spans="1:26" ht="15" customHeight="1">
      <c r="A1270" s="134" t="s">
        <v>9232</v>
      </c>
      <c r="B1270" s="133" t="s">
        <v>105</v>
      </c>
      <c r="C1270" s="133" t="s">
        <v>9031</v>
      </c>
      <c r="D1270" s="116" t="s">
        <v>7778</v>
      </c>
      <c r="E1270" s="528">
        <f>24/3*3</f>
        <v>24</v>
      </c>
      <c r="F1270" s="528">
        <f t="shared" si="138"/>
        <v>24</v>
      </c>
      <c r="G1270" s="338" t="s">
        <v>119</v>
      </c>
      <c r="H1270" s="216"/>
      <c r="I1270" s="216"/>
      <c r="J1270" s="216"/>
      <c r="K1270" s="216"/>
      <c r="L1270" s="216"/>
      <c r="M1270" s="216"/>
      <c r="N1270" s="216"/>
      <c r="O1270" s="216"/>
      <c r="P1270" s="216"/>
      <c r="Q1270" s="216"/>
      <c r="R1270" s="216"/>
      <c r="S1270" s="216"/>
      <c r="T1270" s="216"/>
      <c r="U1270" s="216"/>
      <c r="V1270" s="216"/>
      <c r="W1270" s="216"/>
      <c r="X1270" s="216"/>
      <c r="Y1270" s="216"/>
      <c r="Z1270" s="216"/>
    </row>
    <row r="1271" spans="1:26" ht="15" customHeight="1">
      <c r="A1271" s="134" t="s">
        <v>9232</v>
      </c>
      <c r="B1271" s="133" t="s">
        <v>105</v>
      </c>
      <c r="C1271" s="133" t="s">
        <v>9032</v>
      </c>
      <c r="D1271" s="116" t="s">
        <v>7778</v>
      </c>
      <c r="E1271" s="528">
        <f>14/3*3</f>
        <v>14</v>
      </c>
      <c r="F1271" s="528">
        <f t="shared" si="138"/>
        <v>14</v>
      </c>
      <c r="G1271" s="338" t="s">
        <v>119</v>
      </c>
      <c r="H1271" s="216"/>
      <c r="I1271" s="216"/>
      <c r="J1271" s="216"/>
      <c r="K1271" s="216"/>
      <c r="L1271" s="216"/>
      <c r="M1271" s="216"/>
      <c r="N1271" s="216"/>
      <c r="O1271" s="216"/>
      <c r="P1271" s="216"/>
      <c r="Q1271" s="216"/>
      <c r="R1271" s="216"/>
      <c r="S1271" s="216"/>
      <c r="T1271" s="216"/>
      <c r="U1271" s="216"/>
      <c r="V1271" s="216"/>
      <c r="W1271" s="216"/>
      <c r="X1271" s="216"/>
      <c r="Y1271" s="216"/>
      <c r="Z1271" s="216"/>
    </row>
    <row r="1272" spans="1:26" ht="15" customHeight="1">
      <c r="A1272" s="134" t="s">
        <v>9232</v>
      </c>
      <c r="B1272" s="133" t="s">
        <v>8972</v>
      </c>
      <c r="C1272" s="133" t="s">
        <v>9246</v>
      </c>
      <c r="D1272" s="100" t="s">
        <v>7778</v>
      </c>
      <c r="E1272" s="186">
        <f>2*56/3</f>
        <v>37.333333333333336</v>
      </c>
      <c r="F1272" s="528">
        <f t="shared" si="138"/>
        <v>37.333333333333336</v>
      </c>
      <c r="G1272" s="338" t="s">
        <v>119</v>
      </c>
      <c r="H1272" s="216"/>
      <c r="I1272" s="216"/>
      <c r="J1272" s="216"/>
      <c r="K1272" s="216"/>
      <c r="L1272" s="216"/>
      <c r="M1272" s="216"/>
      <c r="N1272" s="216"/>
      <c r="O1272" s="216"/>
      <c r="P1272" s="216"/>
      <c r="Q1272" s="216"/>
      <c r="R1272" s="216"/>
      <c r="S1272" s="216"/>
      <c r="T1272" s="216"/>
      <c r="U1272" s="216"/>
      <c r="V1272" s="216"/>
      <c r="W1272" s="216"/>
      <c r="X1272" s="216"/>
      <c r="Y1272" s="216"/>
      <c r="Z1272" s="216"/>
    </row>
    <row r="1273" spans="1:26" ht="15" customHeight="1">
      <c r="A1273" s="134" t="s">
        <v>7637</v>
      </c>
      <c r="B1273" s="133" t="s">
        <v>105</v>
      </c>
      <c r="C1273" s="133" t="s">
        <v>9247</v>
      </c>
      <c r="D1273" s="116" t="s">
        <v>7778</v>
      </c>
      <c r="E1273" s="185">
        <v>6.33</v>
      </c>
      <c r="F1273" s="528">
        <v>6.33</v>
      </c>
      <c r="G1273" s="338" t="s">
        <v>129</v>
      </c>
      <c r="H1273" s="216"/>
      <c r="I1273" s="216"/>
      <c r="J1273" s="216"/>
      <c r="K1273" s="216"/>
      <c r="L1273" s="216"/>
      <c r="M1273" s="216"/>
      <c r="N1273" s="216"/>
      <c r="O1273" s="216"/>
      <c r="P1273" s="216"/>
      <c r="Q1273" s="216"/>
      <c r="R1273" s="216"/>
      <c r="S1273" s="216"/>
      <c r="T1273" s="216"/>
      <c r="U1273" s="216"/>
      <c r="V1273" s="216"/>
      <c r="W1273" s="216"/>
      <c r="X1273" s="216"/>
      <c r="Y1273" s="216"/>
      <c r="Z1273" s="216"/>
    </row>
    <row r="1274" spans="1:26" ht="15" customHeight="1">
      <c r="A1274" s="134" t="s">
        <v>7637</v>
      </c>
      <c r="B1274" s="133" t="s">
        <v>105</v>
      </c>
      <c r="C1274" s="133" t="s">
        <v>9248</v>
      </c>
      <c r="D1274" s="116" t="s">
        <v>7778</v>
      </c>
      <c r="E1274" s="185">
        <v>6.33</v>
      </c>
      <c r="F1274" s="528">
        <v>6.33</v>
      </c>
      <c r="G1274" s="338" t="s">
        <v>129</v>
      </c>
      <c r="H1274" s="216"/>
      <c r="I1274" s="216"/>
      <c r="J1274" s="216"/>
      <c r="K1274" s="216"/>
      <c r="L1274" s="216"/>
      <c r="M1274" s="216"/>
      <c r="N1274" s="216"/>
      <c r="O1274" s="216"/>
      <c r="P1274" s="216"/>
      <c r="Q1274" s="216"/>
      <c r="R1274" s="216"/>
      <c r="S1274" s="216"/>
      <c r="T1274" s="216"/>
      <c r="U1274" s="216"/>
      <c r="V1274" s="216"/>
      <c r="W1274" s="216"/>
      <c r="X1274" s="216"/>
      <c r="Y1274" s="216"/>
      <c r="Z1274" s="216"/>
    </row>
    <row r="1275" spans="1:26" ht="15" customHeight="1">
      <c r="A1275" s="134" t="s">
        <v>7637</v>
      </c>
      <c r="B1275" s="133" t="s">
        <v>105</v>
      </c>
      <c r="C1275" s="133" t="s">
        <v>9249</v>
      </c>
      <c r="D1275" s="116" t="s">
        <v>7778</v>
      </c>
      <c r="E1275" s="185">
        <v>6.33</v>
      </c>
      <c r="F1275" s="528">
        <v>6.33</v>
      </c>
      <c r="G1275" s="338" t="s">
        <v>129</v>
      </c>
      <c r="H1275" s="216"/>
      <c r="I1275" s="216"/>
      <c r="J1275" s="216"/>
      <c r="K1275" s="216"/>
      <c r="L1275" s="216"/>
      <c r="M1275" s="216"/>
      <c r="N1275" s="216"/>
      <c r="O1275" s="216"/>
      <c r="P1275" s="216"/>
      <c r="Q1275" s="216"/>
      <c r="R1275" s="216"/>
      <c r="S1275" s="216"/>
      <c r="T1275" s="216"/>
      <c r="U1275" s="216"/>
      <c r="V1275" s="216"/>
      <c r="W1275" s="216"/>
      <c r="X1275" s="216"/>
      <c r="Y1275" s="216"/>
      <c r="Z1275" s="216"/>
    </row>
    <row r="1276" spans="1:26" ht="15" customHeight="1">
      <c r="A1276" s="134" t="s">
        <v>7637</v>
      </c>
      <c r="B1276" s="133" t="s">
        <v>105</v>
      </c>
      <c r="C1276" s="133" t="s">
        <v>9250</v>
      </c>
      <c r="D1276" s="116" t="s">
        <v>7778</v>
      </c>
      <c r="E1276" s="185">
        <v>6.33</v>
      </c>
      <c r="F1276" s="528">
        <v>6.33</v>
      </c>
      <c r="G1276" s="338" t="s">
        <v>129</v>
      </c>
      <c r="H1276" s="216"/>
      <c r="I1276" s="216"/>
      <c r="J1276" s="216"/>
      <c r="K1276" s="216"/>
      <c r="L1276" s="216"/>
      <c r="M1276" s="216"/>
      <c r="N1276" s="216"/>
      <c r="O1276" s="216"/>
      <c r="P1276" s="216"/>
      <c r="Q1276" s="216"/>
      <c r="R1276" s="216"/>
      <c r="S1276" s="216"/>
      <c r="T1276" s="216"/>
      <c r="U1276" s="216"/>
      <c r="V1276" s="216"/>
      <c r="W1276" s="216"/>
      <c r="X1276" s="216"/>
      <c r="Y1276" s="216"/>
      <c r="Z1276" s="216"/>
    </row>
    <row r="1277" spans="1:26" ht="15" customHeight="1">
      <c r="A1277" s="134" t="s">
        <v>7637</v>
      </c>
      <c r="B1277" s="133" t="s">
        <v>105</v>
      </c>
      <c r="C1277" s="133" t="s">
        <v>9251</v>
      </c>
      <c r="D1277" s="116" t="s">
        <v>7778</v>
      </c>
      <c r="E1277" s="185">
        <v>3.67</v>
      </c>
      <c r="F1277" s="528">
        <v>3.67</v>
      </c>
      <c r="G1277" s="338" t="s">
        <v>129</v>
      </c>
      <c r="H1277" s="216"/>
      <c r="I1277" s="216"/>
      <c r="J1277" s="216"/>
      <c r="K1277" s="216"/>
      <c r="L1277" s="216"/>
      <c r="M1277" s="216"/>
      <c r="N1277" s="216"/>
      <c r="O1277" s="216"/>
      <c r="P1277" s="216"/>
      <c r="Q1277" s="216"/>
      <c r="R1277" s="216"/>
      <c r="S1277" s="216"/>
      <c r="T1277" s="216"/>
      <c r="U1277" s="216"/>
      <c r="V1277" s="216"/>
      <c r="W1277" s="216"/>
      <c r="X1277" s="216"/>
      <c r="Y1277" s="216"/>
      <c r="Z1277" s="216"/>
    </row>
    <row r="1278" spans="1:26" ht="15" customHeight="1">
      <c r="A1278" s="134" t="s">
        <v>7637</v>
      </c>
      <c r="B1278" s="133" t="s">
        <v>105</v>
      </c>
      <c r="C1278" s="133" t="s">
        <v>9252</v>
      </c>
      <c r="D1278" s="116" t="s">
        <v>7778</v>
      </c>
      <c r="E1278" s="185">
        <v>3.67</v>
      </c>
      <c r="F1278" s="528">
        <v>3.67</v>
      </c>
      <c r="G1278" s="338" t="s">
        <v>129</v>
      </c>
      <c r="H1278" s="216"/>
      <c r="I1278" s="216"/>
      <c r="J1278" s="216"/>
      <c r="K1278" s="216"/>
      <c r="L1278" s="216"/>
      <c r="M1278" s="216"/>
      <c r="N1278" s="216"/>
      <c r="O1278" s="216"/>
      <c r="P1278" s="216"/>
      <c r="Q1278" s="216"/>
      <c r="R1278" s="216"/>
      <c r="S1278" s="216"/>
      <c r="T1278" s="216"/>
      <c r="U1278" s="216"/>
      <c r="V1278" s="216"/>
      <c r="W1278" s="216"/>
      <c r="X1278" s="216"/>
      <c r="Y1278" s="216"/>
      <c r="Z1278" s="216"/>
    </row>
    <row r="1279" spans="1:26" ht="15" customHeight="1">
      <c r="A1279" s="134" t="s">
        <v>7637</v>
      </c>
      <c r="B1279" s="133" t="s">
        <v>105</v>
      </c>
      <c r="C1279" s="133" t="s">
        <v>9253</v>
      </c>
      <c r="D1279" s="116" t="s">
        <v>7778</v>
      </c>
      <c r="E1279" s="185">
        <v>3.67</v>
      </c>
      <c r="F1279" s="528">
        <v>3.67</v>
      </c>
      <c r="G1279" s="338" t="s">
        <v>129</v>
      </c>
      <c r="H1279" s="216"/>
      <c r="I1279" s="216"/>
      <c r="J1279" s="216"/>
      <c r="K1279" s="216"/>
      <c r="L1279" s="216"/>
      <c r="M1279" s="216"/>
      <c r="N1279" s="216"/>
      <c r="O1279" s="216"/>
      <c r="P1279" s="216"/>
      <c r="Q1279" s="216"/>
      <c r="R1279" s="216"/>
      <c r="S1279" s="216"/>
      <c r="T1279" s="216"/>
      <c r="U1279" s="216"/>
      <c r="V1279" s="216"/>
      <c r="W1279" s="216"/>
      <c r="X1279" s="216"/>
      <c r="Y1279" s="216"/>
      <c r="Z1279" s="216"/>
    </row>
    <row r="1280" spans="1:26" ht="15" customHeight="1">
      <c r="A1280" s="134" t="s">
        <v>7637</v>
      </c>
      <c r="B1280" s="133" t="s">
        <v>105</v>
      </c>
      <c r="C1280" s="133" t="s">
        <v>9254</v>
      </c>
      <c r="D1280" s="116" t="s">
        <v>7778</v>
      </c>
      <c r="E1280" s="185">
        <v>5.67</v>
      </c>
      <c r="F1280" s="528">
        <v>5.67</v>
      </c>
      <c r="G1280" s="338" t="s">
        <v>129</v>
      </c>
      <c r="H1280" s="216"/>
      <c r="I1280" s="216"/>
      <c r="J1280" s="216"/>
      <c r="K1280" s="216"/>
      <c r="L1280" s="216"/>
      <c r="M1280" s="216"/>
      <c r="N1280" s="216"/>
      <c r="O1280" s="216"/>
      <c r="P1280" s="216"/>
      <c r="Q1280" s="216"/>
      <c r="R1280" s="216"/>
      <c r="S1280" s="216"/>
      <c r="T1280" s="216"/>
      <c r="U1280" s="216"/>
      <c r="V1280" s="216"/>
      <c r="W1280" s="216"/>
      <c r="X1280" s="216"/>
      <c r="Y1280" s="216"/>
      <c r="Z1280" s="216"/>
    </row>
    <row r="1281" spans="1:26" ht="15" customHeight="1">
      <c r="A1281" s="134" t="s">
        <v>7637</v>
      </c>
      <c r="B1281" s="133" t="s">
        <v>105</v>
      </c>
      <c r="C1281" s="133" t="s">
        <v>9255</v>
      </c>
      <c r="D1281" s="116" t="s">
        <v>7778</v>
      </c>
      <c r="E1281" s="185">
        <v>5.67</v>
      </c>
      <c r="F1281" s="528">
        <v>5.67</v>
      </c>
      <c r="G1281" s="338" t="s">
        <v>129</v>
      </c>
      <c r="H1281" s="216"/>
      <c r="I1281" s="216"/>
      <c r="J1281" s="216"/>
      <c r="K1281" s="216"/>
      <c r="L1281" s="216"/>
      <c r="M1281" s="216"/>
      <c r="N1281" s="216"/>
      <c r="O1281" s="216"/>
      <c r="P1281" s="216"/>
      <c r="Q1281" s="216"/>
      <c r="R1281" s="216"/>
      <c r="S1281" s="216"/>
      <c r="T1281" s="216"/>
      <c r="U1281" s="216"/>
      <c r="V1281" s="216"/>
      <c r="W1281" s="216"/>
      <c r="X1281" s="216"/>
      <c r="Y1281" s="216"/>
      <c r="Z1281" s="216"/>
    </row>
    <row r="1282" spans="1:26" ht="15" customHeight="1">
      <c r="A1282" s="134" t="s">
        <v>7637</v>
      </c>
      <c r="B1282" s="133" t="s">
        <v>105</v>
      </c>
      <c r="C1282" s="133" t="s">
        <v>9256</v>
      </c>
      <c r="D1282" s="116" t="s">
        <v>7778</v>
      </c>
      <c r="E1282" s="185">
        <v>1.58</v>
      </c>
      <c r="F1282" s="528">
        <v>1.58</v>
      </c>
      <c r="G1282" s="338" t="s">
        <v>129</v>
      </c>
      <c r="H1282" s="216"/>
      <c r="I1282" s="216"/>
      <c r="J1282" s="216"/>
      <c r="K1282" s="216"/>
      <c r="L1282" s="216"/>
      <c r="M1282" s="216"/>
      <c r="N1282" s="216"/>
      <c r="O1282" s="216"/>
      <c r="P1282" s="216"/>
      <c r="Q1282" s="216"/>
      <c r="R1282" s="216"/>
      <c r="S1282" s="216"/>
      <c r="T1282" s="216"/>
      <c r="U1282" s="216"/>
      <c r="V1282" s="216"/>
      <c r="W1282" s="216"/>
      <c r="X1282" s="216"/>
      <c r="Y1282" s="216"/>
      <c r="Z1282" s="216"/>
    </row>
    <row r="1283" spans="1:26" ht="15" customHeight="1">
      <c r="A1283" s="134" t="s">
        <v>7637</v>
      </c>
      <c r="B1283" s="133" t="s">
        <v>105</v>
      </c>
      <c r="C1283" s="133" t="s">
        <v>9257</v>
      </c>
      <c r="D1283" s="116" t="s">
        <v>7778</v>
      </c>
      <c r="E1283" s="185">
        <v>1.58</v>
      </c>
      <c r="F1283" s="528">
        <v>1.58</v>
      </c>
      <c r="G1283" s="338" t="s">
        <v>129</v>
      </c>
      <c r="H1283" s="216"/>
      <c r="I1283" s="216"/>
      <c r="J1283" s="216"/>
      <c r="K1283" s="216"/>
      <c r="L1283" s="216"/>
      <c r="M1283" s="216"/>
      <c r="N1283" s="216"/>
      <c r="O1283" s="216"/>
      <c r="P1283" s="216"/>
      <c r="Q1283" s="216"/>
      <c r="R1283" s="216"/>
      <c r="S1283" s="216"/>
      <c r="T1283" s="216"/>
      <c r="U1283" s="216"/>
      <c r="V1283" s="216"/>
      <c r="W1283" s="216"/>
      <c r="X1283" s="216"/>
      <c r="Y1283" s="216"/>
      <c r="Z1283" s="216"/>
    </row>
    <row r="1284" spans="1:26" ht="15" customHeight="1">
      <c r="A1284" s="134" t="s">
        <v>7637</v>
      </c>
      <c r="B1284" s="133" t="s">
        <v>105</v>
      </c>
      <c r="C1284" s="133" t="s">
        <v>9258</v>
      </c>
      <c r="D1284" s="116" t="s">
        <v>7778</v>
      </c>
      <c r="E1284" s="185">
        <v>0.92</v>
      </c>
      <c r="F1284" s="528">
        <v>0.92</v>
      </c>
      <c r="G1284" s="338" t="s">
        <v>129</v>
      </c>
      <c r="H1284" s="216"/>
      <c r="I1284" s="216"/>
      <c r="J1284" s="216"/>
      <c r="K1284" s="216"/>
      <c r="L1284" s="216"/>
      <c r="M1284" s="216"/>
      <c r="N1284" s="216"/>
      <c r="O1284" s="216"/>
      <c r="P1284" s="216"/>
      <c r="Q1284" s="216"/>
      <c r="R1284" s="216"/>
      <c r="S1284" s="216"/>
      <c r="T1284" s="216"/>
      <c r="U1284" s="216"/>
      <c r="V1284" s="216"/>
      <c r="W1284" s="216"/>
      <c r="X1284" s="216"/>
      <c r="Y1284" s="216"/>
      <c r="Z1284" s="216"/>
    </row>
    <row r="1285" spans="1:26" ht="15" customHeight="1">
      <c r="A1285" s="134" t="s">
        <v>7637</v>
      </c>
      <c r="B1285" s="133" t="s">
        <v>105</v>
      </c>
      <c r="C1285" s="133" t="s">
        <v>9259</v>
      </c>
      <c r="D1285" s="116" t="s">
        <v>7778</v>
      </c>
      <c r="E1285" s="185">
        <v>0.92</v>
      </c>
      <c r="F1285" s="528">
        <v>0.92</v>
      </c>
      <c r="G1285" s="338" t="s">
        <v>129</v>
      </c>
      <c r="H1285" s="216"/>
      <c r="I1285" s="216"/>
      <c r="J1285" s="216"/>
      <c r="K1285" s="216"/>
      <c r="L1285" s="216"/>
      <c r="M1285" s="216"/>
      <c r="N1285" s="216"/>
      <c r="O1285" s="216"/>
      <c r="P1285" s="216"/>
      <c r="Q1285" s="216"/>
      <c r="R1285" s="216"/>
      <c r="S1285" s="216"/>
      <c r="T1285" s="216"/>
      <c r="U1285" s="216"/>
      <c r="V1285" s="216"/>
      <c r="W1285" s="216"/>
      <c r="X1285" s="216"/>
      <c r="Y1285" s="216"/>
      <c r="Z1285" s="216"/>
    </row>
    <row r="1286" spans="1:26" ht="15" customHeight="1">
      <c r="A1286" s="134" t="s">
        <v>7637</v>
      </c>
      <c r="B1286" s="133" t="s">
        <v>105</v>
      </c>
      <c r="C1286" s="133" t="s">
        <v>9260</v>
      </c>
      <c r="D1286" s="116" t="s">
        <v>7778</v>
      </c>
      <c r="E1286" s="185">
        <v>1.42</v>
      </c>
      <c r="F1286" s="528">
        <v>1.42</v>
      </c>
      <c r="G1286" s="338" t="s">
        <v>129</v>
      </c>
      <c r="H1286" s="216"/>
      <c r="I1286" s="216"/>
      <c r="J1286" s="216"/>
      <c r="K1286" s="216"/>
      <c r="L1286" s="216"/>
      <c r="M1286" s="216"/>
      <c r="N1286" s="216"/>
      <c r="O1286" s="216"/>
      <c r="P1286" s="216"/>
      <c r="Q1286" s="216"/>
      <c r="R1286" s="216"/>
      <c r="S1286" s="216"/>
      <c r="T1286" s="216"/>
      <c r="U1286" s="216"/>
      <c r="V1286" s="216"/>
      <c r="W1286" s="216"/>
      <c r="X1286" s="216"/>
      <c r="Y1286" s="216"/>
      <c r="Z1286" s="216"/>
    </row>
    <row r="1287" spans="1:26" ht="15" customHeight="1">
      <c r="A1287" s="134" t="s">
        <v>7637</v>
      </c>
      <c r="B1287" s="133" t="s">
        <v>105</v>
      </c>
      <c r="C1287" s="133" t="s">
        <v>9261</v>
      </c>
      <c r="D1287" s="116" t="s">
        <v>7778</v>
      </c>
      <c r="E1287" s="185">
        <v>3.67</v>
      </c>
      <c r="F1287" s="528">
        <v>3.67</v>
      </c>
      <c r="G1287" s="338" t="s">
        <v>129</v>
      </c>
      <c r="H1287" s="216"/>
      <c r="I1287" s="216"/>
      <c r="J1287" s="216"/>
      <c r="K1287" s="216"/>
      <c r="L1287" s="216"/>
      <c r="M1287" s="216"/>
      <c r="N1287" s="216"/>
      <c r="O1287" s="216"/>
      <c r="P1287" s="216"/>
      <c r="Q1287" s="216"/>
      <c r="R1287" s="216"/>
      <c r="S1287" s="216"/>
      <c r="T1287" s="216"/>
      <c r="U1287" s="216"/>
      <c r="V1287" s="216"/>
      <c r="W1287" s="216"/>
      <c r="X1287" s="216"/>
      <c r="Y1287" s="216"/>
      <c r="Z1287" s="216"/>
    </row>
    <row r="1288" spans="1:26" ht="15" customHeight="1">
      <c r="A1288" s="134" t="s">
        <v>7637</v>
      </c>
      <c r="B1288" s="133" t="s">
        <v>105</v>
      </c>
      <c r="C1288" s="133" t="s">
        <v>9262</v>
      </c>
      <c r="D1288" s="116" t="s">
        <v>7778</v>
      </c>
      <c r="E1288" s="185">
        <v>3.67</v>
      </c>
      <c r="F1288" s="528">
        <v>3.67</v>
      </c>
      <c r="G1288" s="338" t="s">
        <v>129</v>
      </c>
      <c r="H1288" s="216"/>
      <c r="I1288" s="216"/>
      <c r="J1288" s="216"/>
      <c r="K1288" s="216"/>
      <c r="L1288" s="216"/>
      <c r="M1288" s="216"/>
      <c r="N1288" s="216"/>
      <c r="O1288" s="216"/>
      <c r="P1288" s="216"/>
      <c r="Q1288" s="216"/>
      <c r="R1288" s="216"/>
      <c r="S1288" s="216"/>
      <c r="T1288" s="216"/>
      <c r="U1288" s="216"/>
      <c r="V1288" s="216"/>
      <c r="W1288" s="216"/>
      <c r="X1288" s="216"/>
      <c r="Y1288" s="216"/>
      <c r="Z1288" s="216"/>
    </row>
    <row r="1289" spans="1:26" ht="15" customHeight="1">
      <c r="A1289" s="134" t="s">
        <v>7637</v>
      </c>
      <c r="B1289" s="133" t="s">
        <v>105</v>
      </c>
      <c r="C1289" s="133" t="s">
        <v>9263</v>
      </c>
      <c r="D1289" s="116" t="s">
        <v>7778</v>
      </c>
      <c r="E1289" s="185">
        <v>3.67</v>
      </c>
      <c r="F1289" s="528">
        <v>3.67</v>
      </c>
      <c r="G1289" s="338" t="s">
        <v>129</v>
      </c>
      <c r="H1289" s="216"/>
      <c r="I1289" s="216"/>
      <c r="J1289" s="216"/>
      <c r="K1289" s="216"/>
      <c r="L1289" s="216"/>
      <c r="M1289" s="216"/>
      <c r="N1289" s="216"/>
      <c r="O1289" s="216"/>
      <c r="P1289" s="216"/>
      <c r="Q1289" s="216"/>
      <c r="R1289" s="216"/>
      <c r="S1289" s="216"/>
      <c r="T1289" s="216"/>
      <c r="U1289" s="216"/>
      <c r="V1289" s="216"/>
      <c r="W1289" s="216"/>
      <c r="X1289" s="216"/>
      <c r="Y1289" s="216"/>
      <c r="Z1289" s="216"/>
    </row>
    <row r="1290" spans="1:26" ht="15" customHeight="1">
      <c r="A1290" s="134" t="s">
        <v>7637</v>
      </c>
      <c r="B1290" s="133" t="s">
        <v>105</v>
      </c>
      <c r="C1290" s="133" t="s">
        <v>9264</v>
      </c>
      <c r="D1290" s="116" t="s">
        <v>7778</v>
      </c>
      <c r="E1290" s="185">
        <v>3.67</v>
      </c>
      <c r="F1290" s="528">
        <v>3.67</v>
      </c>
      <c r="G1290" s="338" t="s">
        <v>129</v>
      </c>
      <c r="H1290" s="216"/>
      <c r="I1290" s="216"/>
      <c r="J1290" s="216"/>
      <c r="K1290" s="216"/>
      <c r="L1290" s="216"/>
      <c r="M1290" s="216"/>
      <c r="N1290" s="216"/>
      <c r="O1290" s="216"/>
      <c r="P1290" s="216"/>
      <c r="Q1290" s="216"/>
      <c r="R1290" s="216"/>
      <c r="S1290" s="216"/>
      <c r="T1290" s="216"/>
      <c r="U1290" s="216"/>
      <c r="V1290" s="216"/>
      <c r="W1290" s="216"/>
      <c r="X1290" s="216"/>
      <c r="Y1290" s="216"/>
      <c r="Z1290" s="216"/>
    </row>
    <row r="1291" spans="1:26" ht="15" customHeight="1">
      <c r="A1291" s="134" t="s">
        <v>7637</v>
      </c>
      <c r="B1291" s="133" t="s">
        <v>105</v>
      </c>
      <c r="C1291" s="133" t="s">
        <v>9265</v>
      </c>
      <c r="D1291" s="116" t="s">
        <v>7778</v>
      </c>
      <c r="E1291" s="185">
        <v>3.67</v>
      </c>
      <c r="F1291" s="528">
        <v>3.67</v>
      </c>
      <c r="G1291" s="338" t="s">
        <v>129</v>
      </c>
      <c r="H1291" s="216"/>
      <c r="I1291" s="216"/>
      <c r="J1291" s="216"/>
      <c r="K1291" s="216"/>
      <c r="L1291" s="216"/>
      <c r="M1291" s="216"/>
      <c r="N1291" s="216"/>
      <c r="O1291" s="216"/>
      <c r="P1291" s="216"/>
      <c r="Q1291" s="216"/>
      <c r="R1291" s="216"/>
      <c r="S1291" s="216"/>
      <c r="T1291" s="216"/>
      <c r="U1291" s="216"/>
      <c r="V1291" s="216"/>
      <c r="W1291" s="216"/>
      <c r="X1291" s="216"/>
      <c r="Y1291" s="216"/>
      <c r="Z1291" s="216"/>
    </row>
    <row r="1292" spans="1:26" ht="15" customHeight="1">
      <c r="A1292" s="134" t="s">
        <v>7637</v>
      </c>
      <c r="B1292" s="133" t="s">
        <v>105</v>
      </c>
      <c r="C1292" s="133" t="s">
        <v>9266</v>
      </c>
      <c r="D1292" s="116" t="s">
        <v>7778</v>
      </c>
      <c r="E1292" s="185">
        <v>3.67</v>
      </c>
      <c r="F1292" s="528">
        <v>3.67</v>
      </c>
      <c r="G1292" s="338" t="s">
        <v>129</v>
      </c>
      <c r="H1292" s="216"/>
      <c r="I1292" s="216"/>
      <c r="J1292" s="216"/>
      <c r="K1292" s="216"/>
      <c r="L1292" s="216"/>
      <c r="M1292" s="216"/>
      <c r="N1292" s="216"/>
      <c r="O1292" s="216"/>
      <c r="P1292" s="216"/>
      <c r="Q1292" s="216"/>
      <c r="R1292" s="216"/>
      <c r="S1292" s="216"/>
      <c r="T1292" s="216"/>
      <c r="U1292" s="216"/>
      <c r="V1292" s="216"/>
      <c r="W1292" s="216"/>
      <c r="X1292" s="216"/>
      <c r="Y1292" s="216"/>
      <c r="Z1292" s="216"/>
    </row>
    <row r="1293" spans="1:26" ht="15" customHeight="1">
      <c r="A1293" s="134" t="s">
        <v>7637</v>
      </c>
      <c r="B1293" s="133" t="s">
        <v>105</v>
      </c>
      <c r="C1293" s="133" t="s">
        <v>9267</v>
      </c>
      <c r="D1293" s="116" t="s">
        <v>7778</v>
      </c>
      <c r="E1293" s="185">
        <v>6.33</v>
      </c>
      <c r="F1293" s="528">
        <v>6.33</v>
      </c>
      <c r="G1293" s="338" t="s">
        <v>129</v>
      </c>
      <c r="H1293" s="216"/>
      <c r="I1293" s="216"/>
      <c r="J1293" s="216"/>
      <c r="K1293" s="216"/>
      <c r="L1293" s="216"/>
      <c r="M1293" s="216"/>
      <c r="N1293" s="216"/>
      <c r="O1293" s="216"/>
      <c r="P1293" s="216"/>
      <c r="Q1293" s="216"/>
      <c r="R1293" s="216"/>
      <c r="S1293" s="216"/>
      <c r="T1293" s="216"/>
      <c r="U1293" s="216"/>
      <c r="V1293" s="216"/>
      <c r="W1293" s="216"/>
      <c r="X1293" s="216"/>
      <c r="Y1293" s="216"/>
      <c r="Z1293" s="216"/>
    </row>
    <row r="1294" spans="1:26" ht="15" customHeight="1">
      <c r="A1294" s="134" t="s">
        <v>7637</v>
      </c>
      <c r="B1294" s="133" t="s">
        <v>105</v>
      </c>
      <c r="C1294" s="133" t="s">
        <v>9268</v>
      </c>
      <c r="D1294" s="116" t="s">
        <v>7778</v>
      </c>
      <c r="E1294" s="185">
        <v>1.25</v>
      </c>
      <c r="F1294" s="528">
        <v>1.25</v>
      </c>
      <c r="G1294" s="338" t="s">
        <v>129</v>
      </c>
      <c r="H1294" s="216"/>
      <c r="I1294" s="216"/>
      <c r="J1294" s="216"/>
      <c r="K1294" s="216"/>
      <c r="L1294" s="216"/>
      <c r="M1294" s="216"/>
      <c r="N1294" s="216"/>
      <c r="O1294" s="216"/>
      <c r="P1294" s="216"/>
      <c r="Q1294" s="216"/>
      <c r="R1294" s="216"/>
      <c r="S1294" s="216"/>
      <c r="T1294" s="216"/>
      <c r="U1294" s="216"/>
      <c r="V1294" s="216"/>
      <c r="W1294" s="216"/>
      <c r="X1294" s="216"/>
      <c r="Y1294" s="216"/>
      <c r="Z1294" s="216"/>
    </row>
    <row r="1295" spans="1:26" ht="15" customHeight="1">
      <c r="A1295" s="134" t="s">
        <v>7637</v>
      </c>
      <c r="B1295" s="133" t="s">
        <v>105</v>
      </c>
      <c r="C1295" s="133" t="s">
        <v>9269</v>
      </c>
      <c r="D1295" s="116" t="s">
        <v>7778</v>
      </c>
      <c r="E1295" s="185">
        <v>1.25</v>
      </c>
      <c r="F1295" s="528">
        <v>1.25</v>
      </c>
      <c r="G1295" s="338" t="s">
        <v>129</v>
      </c>
      <c r="H1295" s="216"/>
      <c r="I1295" s="216"/>
      <c r="J1295" s="216"/>
      <c r="K1295" s="216"/>
      <c r="L1295" s="216"/>
      <c r="M1295" s="216"/>
      <c r="N1295" s="216"/>
      <c r="O1295" s="216"/>
      <c r="P1295" s="216"/>
      <c r="Q1295" s="216"/>
      <c r="R1295" s="216"/>
      <c r="S1295" s="216"/>
      <c r="T1295" s="216"/>
      <c r="U1295" s="216"/>
      <c r="V1295" s="216"/>
      <c r="W1295" s="216"/>
      <c r="X1295" s="216"/>
      <c r="Y1295" s="216"/>
      <c r="Z1295" s="216"/>
    </row>
    <row r="1296" spans="1:26" ht="15" customHeight="1">
      <c r="A1296" s="134" t="s">
        <v>7637</v>
      </c>
      <c r="B1296" s="133" t="s">
        <v>105</v>
      </c>
      <c r="C1296" s="133" t="s">
        <v>9270</v>
      </c>
      <c r="D1296" s="116" t="s">
        <v>7778</v>
      </c>
      <c r="E1296" s="185">
        <v>1.25</v>
      </c>
      <c r="F1296" s="528">
        <v>1.25</v>
      </c>
      <c r="G1296" s="338" t="s">
        <v>129</v>
      </c>
      <c r="H1296" s="216"/>
      <c r="I1296" s="216"/>
      <c r="J1296" s="216"/>
      <c r="K1296" s="216"/>
      <c r="L1296" s="216"/>
      <c r="M1296" s="216"/>
      <c r="N1296" s="216"/>
      <c r="O1296" s="216"/>
      <c r="P1296" s="216"/>
      <c r="Q1296" s="216"/>
      <c r="R1296" s="216"/>
      <c r="S1296" s="216"/>
      <c r="T1296" s="216"/>
      <c r="U1296" s="216"/>
      <c r="V1296" s="216"/>
      <c r="W1296" s="216"/>
      <c r="X1296" s="216"/>
      <c r="Y1296" s="216"/>
      <c r="Z1296" s="216"/>
    </row>
    <row r="1297" spans="1:26" ht="15" customHeight="1">
      <c r="A1297" s="134" t="s">
        <v>7637</v>
      </c>
      <c r="B1297" s="133" t="s">
        <v>105</v>
      </c>
      <c r="C1297" s="133" t="s">
        <v>9271</v>
      </c>
      <c r="D1297" s="116" t="s">
        <v>7778</v>
      </c>
      <c r="E1297" s="185">
        <v>1.58</v>
      </c>
      <c r="F1297" s="528">
        <v>1.58</v>
      </c>
      <c r="G1297" s="338" t="s">
        <v>129</v>
      </c>
      <c r="H1297" s="216"/>
      <c r="I1297" s="216"/>
      <c r="J1297" s="216"/>
      <c r="K1297" s="216"/>
      <c r="L1297" s="216"/>
      <c r="M1297" s="216"/>
      <c r="N1297" s="216"/>
      <c r="O1297" s="216"/>
      <c r="P1297" s="216"/>
      <c r="Q1297" s="216"/>
      <c r="R1297" s="216"/>
      <c r="S1297" s="216"/>
      <c r="T1297" s="216"/>
      <c r="U1297" s="216"/>
      <c r="V1297" s="216"/>
      <c r="W1297" s="216"/>
      <c r="X1297" s="216"/>
      <c r="Y1297" s="216"/>
      <c r="Z1297" s="216"/>
    </row>
    <row r="1298" spans="1:26" ht="15" customHeight="1">
      <c r="A1298" s="134" t="s">
        <v>7637</v>
      </c>
      <c r="B1298" s="133" t="s">
        <v>105</v>
      </c>
      <c r="C1298" s="133" t="s">
        <v>9272</v>
      </c>
      <c r="D1298" s="116" t="s">
        <v>7778</v>
      </c>
      <c r="E1298" s="185">
        <v>0.37</v>
      </c>
      <c r="F1298" s="528">
        <v>0.37</v>
      </c>
      <c r="G1298" s="338" t="s">
        <v>129</v>
      </c>
      <c r="H1298" s="216"/>
      <c r="I1298" s="216"/>
      <c r="J1298" s="216"/>
      <c r="K1298" s="216"/>
      <c r="L1298" s="216"/>
      <c r="M1298" s="216"/>
      <c r="N1298" s="216"/>
      <c r="O1298" s="216"/>
      <c r="P1298" s="216"/>
      <c r="Q1298" s="216"/>
      <c r="R1298" s="216"/>
      <c r="S1298" s="216"/>
      <c r="T1298" s="216"/>
      <c r="U1298" s="216"/>
      <c r="V1298" s="216"/>
      <c r="W1298" s="216"/>
      <c r="X1298" s="216"/>
      <c r="Y1298" s="216"/>
      <c r="Z1298" s="216"/>
    </row>
    <row r="1299" spans="1:26" ht="15" customHeight="1">
      <c r="A1299" s="134" t="s">
        <v>7637</v>
      </c>
      <c r="B1299" s="133" t="s">
        <v>105</v>
      </c>
      <c r="C1299" s="133" t="s">
        <v>9273</v>
      </c>
      <c r="D1299" s="116" t="s">
        <v>7778</v>
      </c>
      <c r="E1299" s="185">
        <v>11.33</v>
      </c>
      <c r="F1299" s="528">
        <v>11.33</v>
      </c>
      <c r="G1299" s="338" t="s">
        <v>129</v>
      </c>
      <c r="H1299" s="216"/>
      <c r="I1299" s="216"/>
      <c r="J1299" s="216"/>
      <c r="K1299" s="216"/>
      <c r="L1299" s="216"/>
      <c r="M1299" s="216"/>
      <c r="N1299" s="216"/>
      <c r="O1299" s="216"/>
      <c r="P1299" s="216"/>
      <c r="Q1299" s="216"/>
      <c r="R1299" s="216"/>
      <c r="S1299" s="216"/>
      <c r="T1299" s="216"/>
      <c r="U1299" s="216"/>
      <c r="V1299" s="216"/>
      <c r="W1299" s="216"/>
      <c r="X1299" s="216"/>
      <c r="Y1299" s="216"/>
      <c r="Z1299" s="216"/>
    </row>
    <row r="1300" spans="1:26" ht="15" customHeight="1">
      <c r="A1300" s="134" t="s">
        <v>7637</v>
      </c>
      <c r="B1300" s="133" t="s">
        <v>105</v>
      </c>
      <c r="C1300" s="133" t="s">
        <v>9274</v>
      </c>
      <c r="D1300" s="116" t="s">
        <v>7778</v>
      </c>
      <c r="E1300" s="185">
        <v>12.67</v>
      </c>
      <c r="F1300" s="528">
        <v>12.67</v>
      </c>
      <c r="G1300" s="338" t="s">
        <v>129</v>
      </c>
      <c r="H1300" s="216"/>
      <c r="I1300" s="216"/>
      <c r="J1300" s="216"/>
      <c r="K1300" s="216"/>
      <c r="L1300" s="216"/>
      <c r="M1300" s="216"/>
      <c r="N1300" s="216"/>
      <c r="O1300" s="216"/>
      <c r="P1300" s="216"/>
      <c r="Q1300" s="216"/>
      <c r="R1300" s="216"/>
      <c r="S1300" s="216"/>
      <c r="T1300" s="216"/>
      <c r="U1300" s="216"/>
      <c r="V1300" s="216"/>
      <c r="W1300" s="216"/>
      <c r="X1300" s="216"/>
      <c r="Y1300" s="216"/>
      <c r="Z1300" s="216"/>
    </row>
    <row r="1301" spans="1:26" ht="15" customHeight="1">
      <c r="A1301" s="134" t="s">
        <v>110</v>
      </c>
      <c r="B1301" s="162" t="s">
        <v>105</v>
      </c>
      <c r="C1301" s="133" t="s">
        <v>9275</v>
      </c>
      <c r="D1301" s="100" t="s">
        <v>7698</v>
      </c>
      <c r="E1301" s="186">
        <f>28/3</f>
        <v>9.3333333333333339</v>
      </c>
      <c r="F1301" s="528">
        <f t="shared" ref="F1301:F1316" si="139">E1301</f>
        <v>9.3333333333333339</v>
      </c>
      <c r="G1301" s="338" t="s">
        <v>110</v>
      </c>
      <c r="H1301" s="216"/>
      <c r="I1301" s="216"/>
      <c r="J1301" s="216"/>
      <c r="K1301" s="216"/>
      <c r="L1301" s="216"/>
      <c r="M1301" s="216"/>
      <c r="N1301" s="216"/>
      <c r="O1301" s="216"/>
      <c r="P1301" s="216"/>
      <c r="Q1301" s="216"/>
      <c r="R1301" s="216"/>
      <c r="S1301" s="216"/>
      <c r="T1301" s="216"/>
      <c r="U1301" s="216"/>
      <c r="V1301" s="216"/>
      <c r="W1301" s="216"/>
      <c r="X1301" s="216"/>
      <c r="Y1301" s="216"/>
      <c r="Z1301" s="216"/>
    </row>
    <row r="1302" spans="1:26" ht="15" customHeight="1">
      <c r="A1302" s="134" t="s">
        <v>110</v>
      </c>
      <c r="B1302" s="162" t="s">
        <v>105</v>
      </c>
      <c r="C1302" s="133" t="s">
        <v>9276</v>
      </c>
      <c r="D1302" s="100" t="s">
        <v>7698</v>
      </c>
      <c r="E1302" s="186">
        <f>46/3</f>
        <v>15.333333333333334</v>
      </c>
      <c r="F1302" s="528">
        <f t="shared" si="139"/>
        <v>15.333333333333334</v>
      </c>
      <c r="G1302" s="338" t="s">
        <v>110</v>
      </c>
      <c r="H1302" s="216"/>
      <c r="I1302" s="216"/>
      <c r="J1302" s="216"/>
      <c r="K1302" s="216"/>
      <c r="L1302" s="216"/>
      <c r="M1302" s="216"/>
      <c r="N1302" s="216"/>
      <c r="O1302" s="216"/>
      <c r="P1302" s="216"/>
      <c r="Q1302" s="216"/>
      <c r="R1302" s="216"/>
      <c r="S1302" s="216"/>
      <c r="T1302" s="216"/>
      <c r="U1302" s="216"/>
      <c r="V1302" s="216"/>
      <c r="W1302" s="216"/>
      <c r="X1302" s="216"/>
      <c r="Y1302" s="216"/>
      <c r="Z1302" s="216"/>
    </row>
    <row r="1303" spans="1:26" ht="15" customHeight="1">
      <c r="A1303" s="134" t="s">
        <v>110</v>
      </c>
      <c r="B1303" s="162" t="s">
        <v>105</v>
      </c>
      <c r="C1303" s="133" t="s">
        <v>9277</v>
      </c>
      <c r="D1303" s="100" t="s">
        <v>7698</v>
      </c>
      <c r="E1303" s="186">
        <f t="shared" ref="E1303:E1304" si="140">27/3</f>
        <v>9</v>
      </c>
      <c r="F1303" s="528">
        <f t="shared" si="139"/>
        <v>9</v>
      </c>
      <c r="G1303" s="338" t="s">
        <v>110</v>
      </c>
      <c r="H1303" s="216"/>
      <c r="I1303" s="216"/>
      <c r="J1303" s="216"/>
      <c r="K1303" s="216"/>
      <c r="L1303" s="216"/>
      <c r="M1303" s="216"/>
      <c r="N1303" s="216"/>
      <c r="O1303" s="216"/>
      <c r="P1303" s="216"/>
      <c r="Q1303" s="216"/>
      <c r="R1303" s="216"/>
      <c r="S1303" s="216"/>
      <c r="T1303" s="216"/>
      <c r="U1303" s="216"/>
      <c r="V1303" s="216"/>
      <c r="W1303" s="216"/>
      <c r="X1303" s="216"/>
      <c r="Y1303" s="216"/>
      <c r="Z1303" s="216"/>
    </row>
    <row r="1304" spans="1:26" ht="15" customHeight="1">
      <c r="A1304" s="134" t="s">
        <v>110</v>
      </c>
      <c r="B1304" s="162" t="s">
        <v>105</v>
      </c>
      <c r="C1304" s="133" t="s">
        <v>9278</v>
      </c>
      <c r="D1304" s="100" t="s">
        <v>7698</v>
      </c>
      <c r="E1304" s="186">
        <f t="shared" si="140"/>
        <v>9</v>
      </c>
      <c r="F1304" s="528">
        <f t="shared" si="139"/>
        <v>9</v>
      </c>
      <c r="G1304" s="338" t="s">
        <v>110</v>
      </c>
      <c r="H1304" s="216"/>
      <c r="I1304" s="216"/>
      <c r="J1304" s="216"/>
      <c r="K1304" s="216"/>
      <c r="L1304" s="216"/>
      <c r="M1304" s="216"/>
      <c r="N1304" s="216"/>
      <c r="O1304" s="216"/>
      <c r="P1304" s="216"/>
      <c r="Q1304" s="216"/>
      <c r="R1304" s="216"/>
      <c r="S1304" s="216"/>
      <c r="T1304" s="216"/>
      <c r="U1304" s="216"/>
      <c r="V1304" s="216"/>
      <c r="W1304" s="216"/>
      <c r="X1304" s="216"/>
      <c r="Y1304" s="216"/>
      <c r="Z1304" s="216"/>
    </row>
    <row r="1305" spans="1:26" ht="15" customHeight="1">
      <c r="A1305" s="134" t="s">
        <v>110</v>
      </c>
      <c r="B1305" s="162" t="s">
        <v>105</v>
      </c>
      <c r="C1305" s="133" t="s">
        <v>9279</v>
      </c>
      <c r="D1305" s="100" t="s">
        <v>7698</v>
      </c>
      <c r="E1305" s="186">
        <f>28/3</f>
        <v>9.3333333333333339</v>
      </c>
      <c r="F1305" s="528">
        <f t="shared" si="139"/>
        <v>9.3333333333333339</v>
      </c>
      <c r="G1305" s="338" t="s">
        <v>110</v>
      </c>
      <c r="H1305" s="216"/>
      <c r="I1305" s="216"/>
      <c r="J1305" s="216"/>
      <c r="K1305" s="216"/>
      <c r="L1305" s="216"/>
      <c r="M1305" s="216"/>
      <c r="N1305" s="216"/>
      <c r="O1305" s="216"/>
      <c r="P1305" s="216"/>
      <c r="Q1305" s="216"/>
      <c r="R1305" s="216"/>
      <c r="S1305" s="216"/>
      <c r="T1305" s="216"/>
      <c r="U1305" s="216"/>
      <c r="V1305" s="216"/>
      <c r="W1305" s="216"/>
      <c r="X1305" s="216"/>
      <c r="Y1305" s="216"/>
      <c r="Z1305" s="216"/>
    </row>
    <row r="1306" spans="1:26" ht="15" customHeight="1">
      <c r="A1306" s="134" t="s">
        <v>110</v>
      </c>
      <c r="B1306" s="162" t="s">
        <v>105</v>
      </c>
      <c r="C1306" s="133" t="s">
        <v>9280</v>
      </c>
      <c r="D1306" s="100" t="s">
        <v>7698</v>
      </c>
      <c r="E1306" s="186">
        <f>46/3</f>
        <v>15.333333333333334</v>
      </c>
      <c r="F1306" s="528">
        <f t="shared" si="139"/>
        <v>15.333333333333334</v>
      </c>
      <c r="G1306" s="338" t="s">
        <v>110</v>
      </c>
      <c r="H1306" s="216"/>
      <c r="I1306" s="216"/>
      <c r="J1306" s="216"/>
      <c r="K1306" s="216"/>
      <c r="L1306" s="216"/>
      <c r="M1306" s="216"/>
      <c r="N1306" s="216"/>
      <c r="O1306" s="216"/>
      <c r="P1306" s="216"/>
      <c r="Q1306" s="216"/>
      <c r="R1306" s="216"/>
      <c r="S1306" s="216"/>
      <c r="T1306" s="216"/>
      <c r="U1306" s="216"/>
      <c r="V1306" s="216"/>
      <c r="W1306" s="216"/>
      <c r="X1306" s="216"/>
      <c r="Y1306" s="216"/>
      <c r="Z1306" s="216"/>
    </row>
    <row r="1307" spans="1:26" ht="15" customHeight="1">
      <c r="A1307" s="134" t="s">
        <v>110</v>
      </c>
      <c r="B1307" s="162" t="s">
        <v>105</v>
      </c>
      <c r="C1307" s="133" t="s">
        <v>9281</v>
      </c>
      <c r="D1307" s="100" t="s">
        <v>7698</v>
      </c>
      <c r="E1307" s="186">
        <f t="shared" ref="E1307:E1308" si="141">27/3</f>
        <v>9</v>
      </c>
      <c r="F1307" s="528">
        <f t="shared" si="139"/>
        <v>9</v>
      </c>
      <c r="G1307" s="338" t="s">
        <v>110</v>
      </c>
      <c r="H1307" s="216"/>
      <c r="I1307" s="216"/>
      <c r="J1307" s="216"/>
      <c r="K1307" s="216"/>
      <c r="L1307" s="216"/>
      <c r="M1307" s="216"/>
      <c r="N1307" s="216"/>
      <c r="O1307" s="216"/>
      <c r="P1307" s="216"/>
      <c r="Q1307" s="216"/>
      <c r="R1307" s="216"/>
      <c r="S1307" s="216"/>
      <c r="T1307" s="216"/>
      <c r="U1307" s="216"/>
      <c r="V1307" s="216"/>
      <c r="W1307" s="216"/>
      <c r="X1307" s="216"/>
      <c r="Y1307" s="216"/>
      <c r="Z1307" s="216"/>
    </row>
    <row r="1308" spans="1:26" ht="15" customHeight="1">
      <c r="A1308" s="134" t="s">
        <v>110</v>
      </c>
      <c r="B1308" s="162" t="s">
        <v>105</v>
      </c>
      <c r="C1308" s="133" t="s">
        <v>9282</v>
      </c>
      <c r="D1308" s="100" t="s">
        <v>7698</v>
      </c>
      <c r="E1308" s="186">
        <f t="shared" si="141"/>
        <v>9</v>
      </c>
      <c r="F1308" s="528">
        <f t="shared" si="139"/>
        <v>9</v>
      </c>
      <c r="G1308" s="338" t="s">
        <v>110</v>
      </c>
      <c r="H1308" s="216"/>
      <c r="I1308" s="216"/>
      <c r="J1308" s="216"/>
      <c r="K1308" s="216"/>
      <c r="L1308" s="216"/>
      <c r="M1308" s="216"/>
      <c r="N1308" s="216"/>
      <c r="O1308" s="216"/>
      <c r="P1308" s="216"/>
      <c r="Q1308" s="216"/>
      <c r="R1308" s="216"/>
      <c r="S1308" s="216"/>
      <c r="T1308" s="216"/>
      <c r="U1308" s="216"/>
      <c r="V1308" s="216"/>
      <c r="W1308" s="216"/>
      <c r="X1308" s="216"/>
      <c r="Y1308" s="216"/>
      <c r="Z1308" s="216"/>
    </row>
    <row r="1309" spans="1:26" ht="15" customHeight="1">
      <c r="A1309" s="134" t="s">
        <v>110</v>
      </c>
      <c r="B1309" s="162" t="s">
        <v>105</v>
      </c>
      <c r="C1309" s="133" t="s">
        <v>9283</v>
      </c>
      <c r="D1309" s="100" t="s">
        <v>7698</v>
      </c>
      <c r="E1309" s="186">
        <f>(28)/3*0.25</f>
        <v>2.3333333333333335</v>
      </c>
      <c r="F1309" s="528">
        <f t="shared" si="139"/>
        <v>2.3333333333333335</v>
      </c>
      <c r="G1309" s="338" t="s">
        <v>110</v>
      </c>
      <c r="H1309" s="216"/>
      <c r="I1309" s="216"/>
      <c r="J1309" s="216"/>
      <c r="K1309" s="216"/>
      <c r="L1309" s="216"/>
      <c r="M1309" s="216"/>
      <c r="N1309" s="216"/>
      <c r="O1309" s="216"/>
      <c r="P1309" s="216"/>
      <c r="Q1309" s="216"/>
      <c r="R1309" s="216"/>
      <c r="S1309" s="216"/>
      <c r="T1309" s="216"/>
      <c r="U1309" s="216"/>
      <c r="V1309" s="216"/>
      <c r="W1309" s="216"/>
      <c r="X1309" s="216"/>
      <c r="Y1309" s="216"/>
      <c r="Z1309" s="216"/>
    </row>
    <row r="1310" spans="1:26" ht="15" customHeight="1">
      <c r="A1310" s="134" t="s">
        <v>110</v>
      </c>
      <c r="B1310" s="162" t="s">
        <v>105</v>
      </c>
      <c r="C1310" s="133" t="s">
        <v>9284</v>
      </c>
      <c r="D1310" s="100" t="s">
        <v>7698</v>
      </c>
      <c r="E1310" s="186">
        <f>46/3*0.25</f>
        <v>3.8333333333333335</v>
      </c>
      <c r="F1310" s="528">
        <f t="shared" si="139"/>
        <v>3.8333333333333335</v>
      </c>
      <c r="G1310" s="338" t="s">
        <v>110</v>
      </c>
      <c r="H1310" s="216"/>
      <c r="I1310" s="216"/>
      <c r="J1310" s="216"/>
      <c r="K1310" s="216"/>
      <c r="L1310" s="216"/>
      <c r="M1310" s="216"/>
      <c r="N1310" s="216"/>
      <c r="O1310" s="216"/>
      <c r="P1310" s="216"/>
      <c r="Q1310" s="216"/>
      <c r="R1310" s="216"/>
      <c r="S1310" s="216"/>
      <c r="T1310" s="216"/>
      <c r="U1310" s="216"/>
      <c r="V1310" s="216"/>
      <c r="W1310" s="216"/>
      <c r="X1310" s="216"/>
      <c r="Y1310" s="216"/>
      <c r="Z1310" s="216"/>
    </row>
    <row r="1311" spans="1:26" ht="15" customHeight="1">
      <c r="A1311" s="134" t="s">
        <v>110</v>
      </c>
      <c r="B1311" s="162" t="s">
        <v>105</v>
      </c>
      <c r="C1311" s="133" t="s">
        <v>9285</v>
      </c>
      <c r="D1311" s="100" t="s">
        <v>7698</v>
      </c>
      <c r="E1311" s="186">
        <f t="shared" ref="E1311:E1312" si="142">27/3*0.25</f>
        <v>2.25</v>
      </c>
      <c r="F1311" s="528">
        <f t="shared" si="139"/>
        <v>2.25</v>
      </c>
      <c r="G1311" s="338" t="s">
        <v>110</v>
      </c>
      <c r="H1311" s="216"/>
      <c r="I1311" s="216"/>
      <c r="J1311" s="216"/>
      <c r="K1311" s="216"/>
      <c r="L1311" s="216"/>
      <c r="M1311" s="216"/>
      <c r="N1311" s="216"/>
      <c r="O1311" s="216"/>
      <c r="P1311" s="216"/>
      <c r="Q1311" s="216"/>
      <c r="R1311" s="216"/>
      <c r="S1311" s="216"/>
      <c r="T1311" s="216"/>
      <c r="U1311" s="216"/>
      <c r="V1311" s="216"/>
      <c r="W1311" s="216"/>
      <c r="X1311" s="216"/>
      <c r="Y1311" s="216"/>
      <c r="Z1311" s="216"/>
    </row>
    <row r="1312" spans="1:26" ht="15" customHeight="1">
      <c r="A1312" s="134" t="s">
        <v>110</v>
      </c>
      <c r="B1312" s="162" t="s">
        <v>105</v>
      </c>
      <c r="C1312" s="133" t="s">
        <v>9286</v>
      </c>
      <c r="D1312" s="100" t="s">
        <v>7698</v>
      </c>
      <c r="E1312" s="186">
        <f t="shared" si="142"/>
        <v>2.25</v>
      </c>
      <c r="F1312" s="528">
        <f t="shared" si="139"/>
        <v>2.25</v>
      </c>
      <c r="G1312" s="338" t="s">
        <v>110</v>
      </c>
      <c r="H1312" s="216"/>
      <c r="I1312" s="216"/>
      <c r="J1312" s="216"/>
      <c r="K1312" s="216"/>
      <c r="L1312" s="216"/>
      <c r="M1312" s="216"/>
      <c r="N1312" s="216"/>
      <c r="O1312" s="216"/>
      <c r="P1312" s="216"/>
      <c r="Q1312" s="216"/>
      <c r="R1312" s="216"/>
      <c r="S1312" s="216"/>
      <c r="T1312" s="216"/>
      <c r="U1312" s="216"/>
      <c r="V1312" s="216"/>
      <c r="W1312" s="216"/>
      <c r="X1312" s="216"/>
      <c r="Y1312" s="216"/>
      <c r="Z1312" s="216"/>
    </row>
    <row r="1313" spans="1:26" ht="15" customHeight="1">
      <c r="A1313" s="134" t="s">
        <v>110</v>
      </c>
      <c r="B1313" s="162" t="s">
        <v>105</v>
      </c>
      <c r="C1313" s="133" t="s">
        <v>9287</v>
      </c>
      <c r="D1313" s="100" t="s">
        <v>7698</v>
      </c>
      <c r="E1313" s="186">
        <f>28/3*0.01</f>
        <v>9.3333333333333338E-2</v>
      </c>
      <c r="F1313" s="528">
        <f t="shared" si="139"/>
        <v>9.3333333333333338E-2</v>
      </c>
      <c r="G1313" s="338" t="s">
        <v>110</v>
      </c>
      <c r="H1313" s="216"/>
      <c r="I1313" s="216"/>
      <c r="J1313" s="216"/>
      <c r="K1313" s="216"/>
      <c r="L1313" s="216"/>
      <c r="M1313" s="216"/>
      <c r="N1313" s="216"/>
      <c r="O1313" s="216"/>
      <c r="P1313" s="216"/>
      <c r="Q1313" s="216"/>
      <c r="R1313" s="216"/>
      <c r="S1313" s="216"/>
      <c r="T1313" s="216"/>
      <c r="U1313" s="216"/>
      <c r="V1313" s="216"/>
      <c r="W1313" s="216"/>
      <c r="X1313" s="216"/>
      <c r="Y1313" s="216"/>
      <c r="Z1313" s="216"/>
    </row>
    <row r="1314" spans="1:26" ht="15" customHeight="1">
      <c r="A1314" s="134" t="s">
        <v>110</v>
      </c>
      <c r="B1314" s="162" t="s">
        <v>105</v>
      </c>
      <c r="C1314" s="133" t="s">
        <v>9288</v>
      </c>
      <c r="D1314" s="100" t="s">
        <v>7698</v>
      </c>
      <c r="E1314" s="186">
        <f>46/3*0.01</f>
        <v>0.15333333333333335</v>
      </c>
      <c r="F1314" s="528">
        <f t="shared" si="139"/>
        <v>0.15333333333333335</v>
      </c>
      <c r="G1314" s="338" t="s">
        <v>110</v>
      </c>
      <c r="H1314" s="216"/>
      <c r="I1314" s="216"/>
      <c r="J1314" s="216"/>
      <c r="K1314" s="216"/>
      <c r="L1314" s="216"/>
      <c r="M1314" s="216"/>
      <c r="N1314" s="216"/>
      <c r="O1314" s="216"/>
      <c r="P1314" s="216"/>
      <c r="Q1314" s="216"/>
      <c r="R1314" s="216"/>
      <c r="S1314" s="216"/>
      <c r="T1314" s="216"/>
      <c r="U1314" s="216"/>
      <c r="V1314" s="216"/>
      <c r="W1314" s="216"/>
      <c r="X1314" s="216"/>
      <c r="Y1314" s="216"/>
      <c r="Z1314" s="216"/>
    </row>
    <row r="1315" spans="1:26" ht="15" customHeight="1">
      <c r="A1315" s="134" t="s">
        <v>110</v>
      </c>
      <c r="B1315" s="162" t="s">
        <v>105</v>
      </c>
      <c r="C1315" s="133" t="s">
        <v>9289</v>
      </c>
      <c r="D1315" s="100" t="s">
        <v>7698</v>
      </c>
      <c r="E1315" s="186">
        <f t="shared" ref="E1315:E1316" si="143">27/3*0.01</f>
        <v>0.09</v>
      </c>
      <c r="F1315" s="528">
        <f t="shared" si="139"/>
        <v>0.09</v>
      </c>
      <c r="G1315" s="338" t="s">
        <v>110</v>
      </c>
      <c r="H1315" s="216"/>
      <c r="I1315" s="216"/>
      <c r="J1315" s="216"/>
      <c r="K1315" s="216"/>
      <c r="L1315" s="216"/>
      <c r="M1315" s="216"/>
      <c r="N1315" s="216"/>
      <c r="O1315" s="216"/>
      <c r="P1315" s="216"/>
      <c r="Q1315" s="216"/>
      <c r="R1315" s="216"/>
      <c r="S1315" s="216"/>
      <c r="T1315" s="216"/>
      <c r="U1315" s="216"/>
      <c r="V1315" s="216"/>
      <c r="W1315" s="216"/>
      <c r="X1315" s="216"/>
      <c r="Y1315" s="216"/>
      <c r="Z1315" s="216"/>
    </row>
    <row r="1316" spans="1:26" ht="15" customHeight="1">
      <c r="A1316" s="134" t="s">
        <v>110</v>
      </c>
      <c r="B1316" s="162" t="s">
        <v>105</v>
      </c>
      <c r="C1316" s="133" t="s">
        <v>9290</v>
      </c>
      <c r="D1316" s="100" t="s">
        <v>7698</v>
      </c>
      <c r="E1316" s="186">
        <f t="shared" si="143"/>
        <v>0.09</v>
      </c>
      <c r="F1316" s="528">
        <f t="shared" si="139"/>
        <v>0.09</v>
      </c>
      <c r="G1316" s="338" t="s">
        <v>110</v>
      </c>
      <c r="H1316" s="216"/>
      <c r="I1316" s="216"/>
      <c r="J1316" s="216"/>
      <c r="K1316" s="216"/>
      <c r="L1316" s="216"/>
      <c r="M1316" s="216"/>
      <c r="N1316" s="216"/>
      <c r="O1316" s="216"/>
      <c r="P1316" s="216"/>
      <c r="Q1316" s="216"/>
      <c r="R1316" s="216"/>
      <c r="S1316" s="216"/>
      <c r="T1316" s="216"/>
      <c r="U1316" s="216"/>
      <c r="V1316" s="216"/>
      <c r="W1316" s="216"/>
      <c r="X1316" s="216"/>
      <c r="Y1316" s="216"/>
      <c r="Z1316" s="216"/>
    </row>
    <row r="1317" spans="1:26" ht="15" customHeight="1">
      <c r="A1317" s="134" t="s">
        <v>110</v>
      </c>
      <c r="B1317" s="162" t="s">
        <v>105</v>
      </c>
      <c r="C1317" s="133" t="s">
        <v>9291</v>
      </c>
      <c r="D1317" s="100" t="s">
        <v>7043</v>
      </c>
      <c r="E1317" s="186">
        <f>15/3</f>
        <v>5</v>
      </c>
      <c r="F1317" s="528">
        <f t="shared" ref="F1317:F1318" si="144">E1317*2</f>
        <v>10</v>
      </c>
      <c r="G1317" s="338" t="s">
        <v>110</v>
      </c>
      <c r="H1317" s="216"/>
      <c r="I1317" s="216"/>
      <c r="J1317" s="216"/>
      <c r="K1317" s="216"/>
      <c r="L1317" s="216"/>
      <c r="M1317" s="216"/>
      <c r="N1317" s="216"/>
      <c r="O1317" s="216"/>
      <c r="P1317" s="216"/>
      <c r="Q1317" s="216"/>
      <c r="R1317" s="216"/>
      <c r="S1317" s="216"/>
      <c r="T1317" s="216"/>
      <c r="U1317" s="216"/>
      <c r="V1317" s="216"/>
      <c r="W1317" s="216"/>
      <c r="X1317" s="216"/>
      <c r="Y1317" s="216"/>
      <c r="Z1317" s="216"/>
    </row>
    <row r="1318" spans="1:26" ht="15" customHeight="1">
      <c r="A1318" s="134" t="s">
        <v>110</v>
      </c>
      <c r="B1318" s="162" t="s">
        <v>105</v>
      </c>
      <c r="C1318" s="133" t="s">
        <v>9292</v>
      </c>
      <c r="D1318" s="100" t="s">
        <v>7043</v>
      </c>
      <c r="E1318" s="186">
        <f>5/3</f>
        <v>1.6666666666666667</v>
      </c>
      <c r="F1318" s="528">
        <f t="shared" si="144"/>
        <v>3.3333333333333335</v>
      </c>
      <c r="G1318" s="338" t="s">
        <v>110</v>
      </c>
      <c r="H1318" s="216"/>
      <c r="I1318" s="216"/>
      <c r="J1318" s="216"/>
      <c r="K1318" s="216"/>
      <c r="L1318" s="216"/>
      <c r="M1318" s="216"/>
      <c r="N1318" s="216"/>
      <c r="O1318" s="216"/>
      <c r="P1318" s="216"/>
      <c r="Q1318" s="216"/>
      <c r="R1318" s="216"/>
      <c r="S1318" s="216"/>
      <c r="T1318" s="216"/>
      <c r="U1318" s="216"/>
      <c r="V1318" s="216"/>
      <c r="W1318" s="216"/>
      <c r="X1318" s="216"/>
      <c r="Y1318" s="216"/>
      <c r="Z1318" s="216"/>
    </row>
    <row r="1319" spans="1:26" ht="15" customHeight="1">
      <c r="A1319" s="134" t="s">
        <v>7639</v>
      </c>
      <c r="B1319" s="133" t="s">
        <v>8972</v>
      </c>
      <c r="C1319" s="133" t="s">
        <v>9293</v>
      </c>
      <c r="D1319" s="116" t="s">
        <v>7778</v>
      </c>
      <c r="E1319" s="528">
        <f t="shared" ref="E1319:E1320" si="145">23/3</f>
        <v>7.666666666666667</v>
      </c>
      <c r="F1319" s="528">
        <f>E1319</f>
        <v>7.666666666666667</v>
      </c>
      <c r="G1319" s="338" t="s">
        <v>1005</v>
      </c>
      <c r="H1319" s="216"/>
      <c r="I1319" s="216"/>
      <c r="J1319" s="216"/>
      <c r="K1319" s="216"/>
      <c r="L1319" s="216"/>
      <c r="M1319" s="216"/>
      <c r="N1319" s="216"/>
      <c r="O1319" s="216"/>
      <c r="P1319" s="216"/>
      <c r="Q1319" s="216"/>
      <c r="R1319" s="216"/>
      <c r="S1319" s="216"/>
      <c r="T1319" s="216"/>
      <c r="U1319" s="216"/>
      <c r="V1319" s="216"/>
      <c r="W1319" s="216"/>
      <c r="X1319" s="216"/>
      <c r="Y1319" s="216"/>
      <c r="Z1319" s="216"/>
    </row>
    <row r="1320" spans="1:26" ht="15" customHeight="1">
      <c r="A1320" s="134" t="s">
        <v>7639</v>
      </c>
      <c r="B1320" s="133" t="s">
        <v>8972</v>
      </c>
      <c r="C1320" s="133" t="s">
        <v>9294</v>
      </c>
      <c r="D1320" s="116" t="s">
        <v>9295</v>
      </c>
      <c r="E1320" s="528">
        <f t="shared" si="145"/>
        <v>7.666666666666667</v>
      </c>
      <c r="F1320" s="528">
        <f>E1320*0.5</f>
        <v>3.8333333333333335</v>
      </c>
      <c r="G1320" s="338" t="s">
        <v>1005</v>
      </c>
      <c r="H1320" s="216"/>
      <c r="I1320" s="216"/>
      <c r="J1320" s="216"/>
      <c r="K1320" s="216"/>
      <c r="L1320" s="216"/>
      <c r="M1320" s="216"/>
      <c r="N1320" s="216"/>
      <c r="O1320" s="216"/>
      <c r="P1320" s="216"/>
      <c r="Q1320" s="216"/>
      <c r="R1320" s="216"/>
      <c r="S1320" s="216"/>
      <c r="T1320" s="216"/>
      <c r="U1320" s="216"/>
      <c r="V1320" s="216"/>
      <c r="W1320" s="216"/>
      <c r="X1320" s="216"/>
      <c r="Y1320" s="216"/>
      <c r="Z1320" s="216"/>
    </row>
    <row r="1321" spans="1:26" ht="15" customHeight="1">
      <c r="A1321" s="134" t="s">
        <v>7639</v>
      </c>
      <c r="B1321" s="133" t="s">
        <v>8972</v>
      </c>
      <c r="C1321" s="133" t="s">
        <v>9296</v>
      </c>
      <c r="D1321" s="116" t="s">
        <v>7778</v>
      </c>
      <c r="E1321" s="528">
        <f t="shared" ref="E1321:E1322" si="146">47/3</f>
        <v>15.666666666666666</v>
      </c>
      <c r="F1321" s="528">
        <f>E1321</f>
        <v>15.666666666666666</v>
      </c>
      <c r="G1321" s="338" t="s">
        <v>1005</v>
      </c>
      <c r="H1321" s="216"/>
      <c r="I1321" s="216"/>
      <c r="J1321" s="216"/>
      <c r="K1321" s="216"/>
      <c r="L1321" s="216"/>
      <c r="M1321" s="216"/>
      <c r="N1321" s="216"/>
      <c r="O1321" s="216"/>
      <c r="P1321" s="216"/>
      <c r="Q1321" s="216"/>
      <c r="R1321" s="216"/>
      <c r="S1321" s="216"/>
      <c r="T1321" s="216"/>
      <c r="U1321" s="216"/>
      <c r="V1321" s="216"/>
      <c r="W1321" s="216"/>
      <c r="X1321" s="216"/>
      <c r="Y1321" s="216"/>
      <c r="Z1321" s="216"/>
    </row>
    <row r="1322" spans="1:26" ht="15" customHeight="1">
      <c r="A1322" s="134" t="s">
        <v>7639</v>
      </c>
      <c r="B1322" s="133" t="s">
        <v>8972</v>
      </c>
      <c r="C1322" s="133" t="s">
        <v>9297</v>
      </c>
      <c r="D1322" s="116" t="s">
        <v>9295</v>
      </c>
      <c r="E1322" s="528">
        <f t="shared" si="146"/>
        <v>15.666666666666666</v>
      </c>
      <c r="F1322" s="528">
        <f>E1322*0.5</f>
        <v>7.833333333333333</v>
      </c>
      <c r="G1322" s="338" t="s">
        <v>1005</v>
      </c>
      <c r="H1322" s="216"/>
      <c r="I1322" s="216"/>
      <c r="J1322" s="216"/>
      <c r="K1322" s="216"/>
      <c r="L1322" s="216"/>
      <c r="M1322" s="216"/>
      <c r="N1322" s="216"/>
      <c r="O1322" s="216"/>
      <c r="P1322" s="216"/>
      <c r="Q1322" s="216"/>
      <c r="R1322" s="216"/>
      <c r="S1322" s="216"/>
      <c r="T1322" s="216"/>
      <c r="U1322" s="216"/>
      <c r="V1322" s="216"/>
      <c r="W1322" s="216"/>
      <c r="X1322" s="216"/>
      <c r="Y1322" s="216"/>
      <c r="Z1322" s="216"/>
    </row>
    <row r="1323" spans="1:26" ht="15" customHeight="1">
      <c r="A1323" s="134" t="s">
        <v>7639</v>
      </c>
      <c r="B1323" s="133" t="s">
        <v>8972</v>
      </c>
      <c r="C1323" s="133" t="s">
        <v>9298</v>
      </c>
      <c r="D1323" s="116" t="s">
        <v>7778</v>
      </c>
      <c r="E1323" s="528">
        <f t="shared" ref="E1323:E1325" si="147">9/3</f>
        <v>3</v>
      </c>
      <c r="F1323" s="528">
        <f t="shared" ref="F1323:F1324" si="148">E1323</f>
        <v>3</v>
      </c>
      <c r="G1323" s="338" t="s">
        <v>1005</v>
      </c>
      <c r="H1323" s="216"/>
      <c r="I1323" s="216"/>
      <c r="J1323" s="216"/>
      <c r="K1323" s="216"/>
      <c r="L1323" s="216"/>
      <c r="M1323" s="216"/>
      <c r="N1323" s="216"/>
      <c r="O1323" s="216"/>
      <c r="P1323" s="216"/>
      <c r="Q1323" s="216"/>
      <c r="R1323" s="216"/>
      <c r="S1323" s="216"/>
      <c r="T1323" s="216"/>
      <c r="U1323" s="216"/>
      <c r="V1323" s="216"/>
      <c r="W1323" s="216"/>
      <c r="X1323" s="216"/>
      <c r="Y1323" s="216"/>
      <c r="Z1323" s="216"/>
    </row>
    <row r="1324" spans="1:26" ht="15" customHeight="1">
      <c r="A1324" s="134" t="s">
        <v>7639</v>
      </c>
      <c r="B1324" s="133" t="s">
        <v>105</v>
      </c>
      <c r="C1324" s="133" t="s">
        <v>9299</v>
      </c>
      <c r="D1324" s="116" t="s">
        <v>7778</v>
      </c>
      <c r="E1324" s="528">
        <f t="shared" si="147"/>
        <v>3</v>
      </c>
      <c r="F1324" s="528">
        <f t="shared" si="148"/>
        <v>3</v>
      </c>
      <c r="G1324" s="338" t="s">
        <v>1005</v>
      </c>
      <c r="H1324" s="216"/>
      <c r="I1324" s="216"/>
      <c r="J1324" s="216"/>
      <c r="K1324" s="216"/>
      <c r="L1324" s="216"/>
      <c r="M1324" s="216"/>
      <c r="N1324" s="216"/>
      <c r="O1324" s="216"/>
      <c r="P1324" s="216"/>
      <c r="Q1324" s="216"/>
      <c r="R1324" s="216"/>
      <c r="S1324" s="216"/>
      <c r="T1324" s="216"/>
      <c r="U1324" s="216"/>
      <c r="V1324" s="216"/>
      <c r="W1324" s="216"/>
      <c r="X1324" s="216"/>
      <c r="Y1324" s="216"/>
      <c r="Z1324" s="216"/>
    </row>
    <row r="1325" spans="1:26" ht="15" customHeight="1">
      <c r="A1325" s="134" t="s">
        <v>7639</v>
      </c>
      <c r="B1325" s="133" t="s">
        <v>105</v>
      </c>
      <c r="C1325" s="133" t="s">
        <v>9300</v>
      </c>
      <c r="D1325" s="116" t="s">
        <v>9295</v>
      </c>
      <c r="E1325" s="528">
        <f t="shared" si="147"/>
        <v>3</v>
      </c>
      <c r="F1325" s="528">
        <f>E1325*0.5</f>
        <v>1.5</v>
      </c>
      <c r="G1325" s="338" t="s">
        <v>1005</v>
      </c>
      <c r="H1325" s="216"/>
      <c r="I1325" s="216"/>
      <c r="J1325" s="216"/>
      <c r="K1325" s="216"/>
      <c r="L1325" s="216"/>
      <c r="M1325" s="216"/>
      <c r="N1325" s="216"/>
      <c r="O1325" s="216"/>
      <c r="P1325" s="216"/>
      <c r="Q1325" s="216"/>
      <c r="R1325" s="216"/>
      <c r="S1325" s="216"/>
      <c r="T1325" s="216"/>
      <c r="U1325" s="216"/>
      <c r="V1325" s="216"/>
      <c r="W1325" s="216"/>
      <c r="X1325" s="216"/>
      <c r="Y1325" s="216"/>
      <c r="Z1325" s="216"/>
    </row>
    <row r="1326" spans="1:26" ht="15" customHeight="1">
      <c r="A1326" s="134" t="s">
        <v>7639</v>
      </c>
      <c r="B1326" s="133" t="s">
        <v>105</v>
      </c>
      <c r="C1326" s="133" t="s">
        <v>9301</v>
      </c>
      <c r="D1326" s="116" t="s">
        <v>7778</v>
      </c>
      <c r="E1326" s="116">
        <f t="shared" ref="E1326:F1326" si="149">18/3</f>
        <v>6</v>
      </c>
      <c r="F1326" s="116">
        <f t="shared" si="149"/>
        <v>6</v>
      </c>
      <c r="G1326" s="338" t="s">
        <v>1005</v>
      </c>
      <c r="H1326" s="216"/>
      <c r="I1326" s="216"/>
      <c r="J1326" s="216"/>
      <c r="K1326" s="216"/>
      <c r="L1326" s="216"/>
      <c r="M1326" s="216"/>
      <c r="N1326" s="216"/>
      <c r="O1326" s="216"/>
      <c r="P1326" s="216"/>
      <c r="Q1326" s="216"/>
      <c r="R1326" s="216"/>
      <c r="S1326" s="216"/>
      <c r="T1326" s="216"/>
      <c r="U1326" s="216"/>
      <c r="V1326" s="216"/>
      <c r="W1326" s="216"/>
      <c r="X1326" s="216"/>
      <c r="Y1326" s="216"/>
      <c r="Z1326" s="216"/>
    </row>
    <row r="1327" spans="1:26" ht="15" customHeight="1">
      <c r="A1327" s="134" t="s">
        <v>7639</v>
      </c>
      <c r="B1327" s="133" t="s">
        <v>105</v>
      </c>
      <c r="C1327" s="133" t="s">
        <v>9302</v>
      </c>
      <c r="D1327" s="116" t="s">
        <v>7778</v>
      </c>
      <c r="E1327" s="116">
        <f t="shared" ref="E1327:F1327" si="150">18/3</f>
        <v>6</v>
      </c>
      <c r="F1327" s="116">
        <f t="shared" si="150"/>
        <v>6</v>
      </c>
      <c r="G1327" s="338" t="s">
        <v>1005</v>
      </c>
      <c r="H1327" s="216"/>
      <c r="I1327" s="216"/>
      <c r="J1327" s="216"/>
      <c r="K1327" s="216"/>
      <c r="L1327" s="216"/>
      <c r="M1327" s="216"/>
      <c r="N1327" s="216"/>
      <c r="O1327" s="216"/>
      <c r="P1327" s="216"/>
      <c r="Q1327" s="216"/>
      <c r="R1327" s="216"/>
      <c r="S1327" s="216"/>
      <c r="T1327" s="216"/>
      <c r="U1327" s="216"/>
      <c r="V1327" s="216"/>
      <c r="W1327" s="216"/>
      <c r="X1327" s="216"/>
      <c r="Y1327" s="216"/>
      <c r="Z1327" s="216"/>
    </row>
    <row r="1328" spans="1:26" ht="15" customHeight="1">
      <c r="A1328" s="134" t="s">
        <v>7639</v>
      </c>
      <c r="B1328" s="133" t="s">
        <v>105</v>
      </c>
      <c r="C1328" s="133" t="s">
        <v>9303</v>
      </c>
      <c r="D1328" s="116" t="s">
        <v>9295</v>
      </c>
      <c r="E1328" s="116">
        <f>18/3</f>
        <v>6</v>
      </c>
      <c r="F1328" s="528">
        <f>E1328*0.5</f>
        <v>3</v>
      </c>
      <c r="G1328" s="338" t="s">
        <v>1005</v>
      </c>
      <c r="H1328" s="216"/>
      <c r="I1328" s="216"/>
      <c r="J1328" s="216"/>
      <c r="K1328" s="216"/>
      <c r="L1328" s="216"/>
      <c r="M1328" s="216"/>
      <c r="N1328" s="216"/>
      <c r="O1328" s="216"/>
      <c r="P1328" s="216"/>
      <c r="Q1328" s="216"/>
      <c r="R1328" s="216"/>
      <c r="S1328" s="216"/>
      <c r="T1328" s="216"/>
      <c r="U1328" s="216"/>
      <c r="V1328" s="216"/>
      <c r="W1328" s="216"/>
      <c r="X1328" s="216"/>
      <c r="Y1328" s="216"/>
      <c r="Z1328" s="216"/>
    </row>
    <row r="1329" spans="1:26" ht="15" customHeight="1">
      <c r="A1329" s="256" t="s">
        <v>7639</v>
      </c>
      <c r="B1329" s="469" t="s">
        <v>105</v>
      </c>
      <c r="C1329" s="133" t="s">
        <v>9304</v>
      </c>
      <c r="D1329" s="259" t="s">
        <v>7778</v>
      </c>
      <c r="E1329" s="259">
        <f t="shared" ref="E1329:F1329" si="151">17/3</f>
        <v>5.666666666666667</v>
      </c>
      <c r="F1329" s="259">
        <f t="shared" si="151"/>
        <v>5.666666666666667</v>
      </c>
      <c r="G1329" s="338" t="s">
        <v>1005</v>
      </c>
      <c r="H1329" s="216"/>
      <c r="I1329" s="216"/>
      <c r="J1329" s="216"/>
      <c r="K1329" s="216"/>
      <c r="L1329" s="216"/>
      <c r="M1329" s="216"/>
      <c r="N1329" s="216"/>
      <c r="O1329" s="216"/>
      <c r="P1329" s="216"/>
      <c r="Q1329" s="216"/>
      <c r="R1329" s="216"/>
      <c r="S1329" s="216"/>
      <c r="T1329" s="216"/>
      <c r="U1329" s="216"/>
      <c r="V1329" s="216"/>
      <c r="W1329" s="216"/>
      <c r="X1329" s="216"/>
      <c r="Y1329" s="216"/>
      <c r="Z1329" s="216"/>
    </row>
    <row r="1330" spans="1:26" ht="15" customHeight="1">
      <c r="A1330" s="134" t="s">
        <v>7639</v>
      </c>
      <c r="B1330" s="133" t="s">
        <v>105</v>
      </c>
      <c r="C1330" s="133" t="s">
        <v>9305</v>
      </c>
      <c r="D1330" s="116" t="s">
        <v>9295</v>
      </c>
      <c r="E1330" s="116">
        <f>17/3</f>
        <v>5.666666666666667</v>
      </c>
      <c r="F1330" s="528">
        <f>E1330*0.5</f>
        <v>2.8333333333333335</v>
      </c>
      <c r="G1330" s="338" t="s">
        <v>1005</v>
      </c>
      <c r="H1330" s="216"/>
      <c r="I1330" s="216"/>
      <c r="J1330" s="216"/>
      <c r="K1330" s="216"/>
      <c r="L1330" s="216"/>
      <c r="M1330" s="216"/>
      <c r="N1330" s="216"/>
      <c r="O1330" s="216"/>
      <c r="P1330" s="216"/>
      <c r="Q1330" s="216"/>
      <c r="R1330" s="216"/>
      <c r="S1330" s="216"/>
      <c r="T1330" s="216"/>
      <c r="U1330" s="216"/>
      <c r="V1330" s="216"/>
      <c r="W1330" s="216"/>
      <c r="X1330" s="216"/>
      <c r="Y1330" s="216"/>
      <c r="Z1330" s="216"/>
    </row>
    <row r="1331" spans="1:26" ht="15" customHeight="1">
      <c r="A1331" s="134" t="s">
        <v>7639</v>
      </c>
      <c r="B1331" s="133" t="s">
        <v>105</v>
      </c>
      <c r="C1331" s="469" t="s">
        <v>9306</v>
      </c>
      <c r="D1331" s="259" t="s">
        <v>7778</v>
      </c>
      <c r="E1331" s="1120">
        <f t="shared" ref="E1331:F1331" si="152">27/3</f>
        <v>9</v>
      </c>
      <c r="F1331" s="1120">
        <f t="shared" si="152"/>
        <v>9</v>
      </c>
      <c r="G1331" s="338" t="s">
        <v>1005</v>
      </c>
      <c r="H1331" s="216"/>
      <c r="I1331" s="216"/>
      <c r="J1331" s="216"/>
      <c r="K1331" s="216"/>
      <c r="L1331" s="216"/>
      <c r="M1331" s="216"/>
      <c r="N1331" s="216"/>
      <c r="O1331" s="216"/>
      <c r="P1331" s="216"/>
      <c r="Q1331" s="216"/>
      <c r="R1331" s="216"/>
      <c r="S1331" s="216"/>
      <c r="T1331" s="216"/>
      <c r="U1331" s="216"/>
      <c r="V1331" s="216"/>
      <c r="W1331" s="216"/>
      <c r="X1331" s="216"/>
      <c r="Y1331" s="216"/>
      <c r="Z1331" s="216"/>
    </row>
    <row r="1332" spans="1:26" ht="15" customHeight="1">
      <c r="A1332" s="134" t="s">
        <v>7639</v>
      </c>
      <c r="B1332" s="133" t="s">
        <v>105</v>
      </c>
      <c r="C1332" s="469" t="s">
        <v>9307</v>
      </c>
      <c r="D1332" s="259" t="s">
        <v>7778</v>
      </c>
      <c r="E1332" s="1120">
        <f t="shared" ref="E1332:F1332" si="153">27/3</f>
        <v>9</v>
      </c>
      <c r="F1332" s="1120">
        <f t="shared" si="153"/>
        <v>9</v>
      </c>
      <c r="G1332" s="338" t="s">
        <v>1005</v>
      </c>
      <c r="H1332" s="216"/>
      <c r="I1332" s="216"/>
      <c r="J1332" s="216"/>
      <c r="K1332" s="216"/>
      <c r="L1332" s="216"/>
      <c r="M1332" s="216"/>
      <c r="N1332" s="216"/>
      <c r="O1332" s="216"/>
      <c r="P1332" s="216"/>
      <c r="Q1332" s="216"/>
      <c r="R1332" s="216"/>
      <c r="S1332" s="216"/>
      <c r="T1332" s="216"/>
      <c r="U1332" s="216"/>
      <c r="V1332" s="216"/>
      <c r="W1332" s="216"/>
      <c r="X1332" s="216"/>
      <c r="Y1332" s="216"/>
      <c r="Z1332" s="216"/>
    </row>
    <row r="1333" spans="1:26" ht="15" customHeight="1">
      <c r="A1333" s="134" t="s">
        <v>7639</v>
      </c>
      <c r="B1333" s="133" t="s">
        <v>105</v>
      </c>
      <c r="C1333" s="1151" t="s">
        <v>9308</v>
      </c>
      <c r="D1333" s="1163" t="s">
        <v>9295</v>
      </c>
      <c r="E1333" s="1149">
        <f>27/3</f>
        <v>9</v>
      </c>
      <c r="F1333" s="1149">
        <f>E1333*0.5</f>
        <v>4.5</v>
      </c>
      <c r="G1333" s="338" t="s">
        <v>1005</v>
      </c>
      <c r="H1333" s="216"/>
      <c r="I1333" s="216"/>
      <c r="J1333" s="216"/>
      <c r="K1333" s="216"/>
      <c r="L1333" s="216"/>
      <c r="M1333" s="216"/>
      <c r="N1333" s="216"/>
      <c r="O1333" s="216"/>
      <c r="P1333" s="216"/>
      <c r="Q1333" s="216"/>
      <c r="R1333" s="216"/>
      <c r="S1333" s="216"/>
      <c r="T1333" s="216"/>
      <c r="U1333" s="216"/>
      <c r="V1333" s="216"/>
      <c r="W1333" s="216"/>
      <c r="X1333" s="216"/>
      <c r="Y1333" s="216"/>
      <c r="Z1333" s="216"/>
    </row>
    <row r="1334" spans="1:26" ht="15" customHeight="1">
      <c r="A1334" s="134" t="s">
        <v>7639</v>
      </c>
      <c r="B1334" s="133" t="s">
        <v>105</v>
      </c>
      <c r="C1334" s="586" t="s">
        <v>9309</v>
      </c>
      <c r="D1334" s="116" t="s">
        <v>7778</v>
      </c>
      <c r="E1334" s="528">
        <f t="shared" ref="E1334:F1334" si="154">21/3</f>
        <v>7</v>
      </c>
      <c r="F1334" s="528">
        <f t="shared" si="154"/>
        <v>7</v>
      </c>
      <c r="G1334" s="338" t="s">
        <v>1005</v>
      </c>
      <c r="H1334" s="216"/>
      <c r="I1334" s="216"/>
      <c r="J1334" s="216"/>
      <c r="K1334" s="216"/>
      <c r="L1334" s="216"/>
      <c r="M1334" s="216"/>
      <c r="N1334" s="216"/>
      <c r="O1334" s="216"/>
      <c r="P1334" s="216"/>
      <c r="Q1334" s="216"/>
      <c r="R1334" s="216"/>
      <c r="S1334" s="216"/>
      <c r="T1334" s="216"/>
      <c r="U1334" s="216"/>
      <c r="V1334" s="216"/>
      <c r="W1334" s="216"/>
      <c r="X1334" s="216"/>
      <c r="Y1334" s="216"/>
      <c r="Z1334" s="216"/>
    </row>
    <row r="1335" spans="1:26" ht="15" customHeight="1">
      <c r="A1335" s="134" t="s">
        <v>7639</v>
      </c>
      <c r="B1335" s="133" t="s">
        <v>105</v>
      </c>
      <c r="C1335" s="586" t="s">
        <v>9310</v>
      </c>
      <c r="D1335" s="116" t="s">
        <v>9295</v>
      </c>
      <c r="E1335" s="528">
        <f t="shared" ref="E1335:E1337" si="155">21/3</f>
        <v>7</v>
      </c>
      <c r="F1335" s="528">
        <f>E1335*0.5</f>
        <v>3.5</v>
      </c>
      <c r="G1335" s="338" t="s">
        <v>1005</v>
      </c>
      <c r="H1335" s="216"/>
      <c r="I1335" s="216"/>
      <c r="J1335" s="216"/>
      <c r="K1335" s="216"/>
      <c r="L1335" s="216"/>
      <c r="M1335" s="216"/>
      <c r="N1335" s="216"/>
      <c r="O1335" s="216"/>
      <c r="P1335" s="216"/>
      <c r="Q1335" s="216"/>
      <c r="R1335" s="216"/>
      <c r="S1335" s="216"/>
      <c r="T1335" s="216"/>
      <c r="U1335" s="216"/>
      <c r="V1335" s="216"/>
      <c r="W1335" s="216"/>
      <c r="X1335" s="216"/>
      <c r="Y1335" s="216"/>
      <c r="Z1335" s="216"/>
    </row>
    <row r="1336" spans="1:26" ht="15" customHeight="1">
      <c r="A1336" s="256" t="s">
        <v>7639</v>
      </c>
      <c r="B1336" s="469" t="s">
        <v>105</v>
      </c>
      <c r="C1336" s="469" t="s">
        <v>9311</v>
      </c>
      <c r="D1336" s="259" t="s">
        <v>7778</v>
      </c>
      <c r="E1336" s="1120">
        <f t="shared" si="155"/>
        <v>7</v>
      </c>
      <c r="F1336" s="1120">
        <f>21/3</f>
        <v>7</v>
      </c>
      <c r="G1336" s="338" t="s">
        <v>1005</v>
      </c>
      <c r="H1336" s="216"/>
      <c r="I1336" s="216"/>
      <c r="J1336" s="216"/>
      <c r="K1336" s="216"/>
      <c r="L1336" s="216"/>
      <c r="M1336" s="216"/>
      <c r="N1336" s="216"/>
      <c r="O1336" s="216"/>
      <c r="P1336" s="216"/>
      <c r="Q1336" s="216"/>
      <c r="R1336" s="216"/>
      <c r="S1336" s="216"/>
      <c r="T1336" s="216"/>
      <c r="U1336" s="216"/>
      <c r="V1336" s="216"/>
      <c r="W1336" s="216"/>
      <c r="X1336" s="216"/>
      <c r="Y1336" s="216"/>
      <c r="Z1336" s="216"/>
    </row>
    <row r="1337" spans="1:26" ht="15" customHeight="1">
      <c r="A1337" s="134" t="s">
        <v>7639</v>
      </c>
      <c r="B1337" s="133" t="s">
        <v>105</v>
      </c>
      <c r="C1337" s="133" t="s">
        <v>9312</v>
      </c>
      <c r="D1337" s="116" t="s">
        <v>9295</v>
      </c>
      <c r="E1337" s="528">
        <f t="shared" si="155"/>
        <v>7</v>
      </c>
      <c r="F1337" s="528">
        <f>E1337*0.5</f>
        <v>3.5</v>
      </c>
      <c r="G1337" s="338" t="s">
        <v>1005</v>
      </c>
      <c r="H1337" s="216"/>
      <c r="I1337" s="216"/>
      <c r="J1337" s="216"/>
      <c r="K1337" s="216"/>
      <c r="L1337" s="216"/>
      <c r="M1337" s="216"/>
      <c r="N1337" s="216"/>
      <c r="O1337" s="216"/>
      <c r="P1337" s="216"/>
      <c r="Q1337" s="216"/>
      <c r="R1337" s="216"/>
      <c r="S1337" s="216"/>
      <c r="T1337" s="216"/>
      <c r="U1337" s="216"/>
      <c r="V1337" s="216"/>
      <c r="W1337" s="216"/>
      <c r="X1337" s="216"/>
      <c r="Y1337" s="216"/>
      <c r="Z1337" s="216"/>
    </row>
    <row r="1338" spans="1:26" ht="15" customHeight="1">
      <c r="A1338" s="134" t="s">
        <v>7639</v>
      </c>
      <c r="B1338" s="133" t="s">
        <v>105</v>
      </c>
      <c r="C1338" s="469" t="s">
        <v>9313</v>
      </c>
      <c r="D1338" s="259" t="s">
        <v>7778</v>
      </c>
      <c r="E1338" s="528">
        <f t="shared" ref="E1338:F1338" si="156">30/3</f>
        <v>10</v>
      </c>
      <c r="F1338" s="528">
        <f t="shared" si="156"/>
        <v>10</v>
      </c>
      <c r="G1338" s="338" t="s">
        <v>1005</v>
      </c>
      <c r="H1338" s="216"/>
      <c r="I1338" s="216"/>
      <c r="J1338" s="216"/>
      <c r="K1338" s="216"/>
      <c r="L1338" s="216"/>
      <c r="M1338" s="216"/>
      <c r="N1338" s="216"/>
      <c r="O1338" s="216"/>
      <c r="P1338" s="216"/>
      <c r="Q1338" s="216"/>
      <c r="R1338" s="216"/>
      <c r="S1338" s="216"/>
      <c r="T1338" s="216"/>
      <c r="U1338" s="216"/>
      <c r="V1338" s="216"/>
      <c r="W1338" s="216"/>
      <c r="X1338" s="216"/>
      <c r="Y1338" s="216"/>
      <c r="Z1338" s="216"/>
    </row>
    <row r="1339" spans="1:26" ht="15" customHeight="1">
      <c r="A1339" s="134" t="s">
        <v>7639</v>
      </c>
      <c r="B1339" s="133" t="s">
        <v>105</v>
      </c>
      <c r="C1339" s="469" t="s">
        <v>9314</v>
      </c>
      <c r="D1339" s="116" t="s">
        <v>9295</v>
      </c>
      <c r="E1339" s="528">
        <f>30/3</f>
        <v>10</v>
      </c>
      <c r="F1339" s="528">
        <f>E1339*0.5</f>
        <v>5</v>
      </c>
      <c r="G1339" s="338" t="s">
        <v>1005</v>
      </c>
      <c r="H1339" s="216"/>
      <c r="I1339" s="216"/>
      <c r="J1339" s="216"/>
      <c r="K1339" s="216"/>
      <c r="L1339" s="216"/>
      <c r="M1339" s="216"/>
      <c r="N1339" s="216"/>
      <c r="O1339" s="216"/>
      <c r="P1339" s="216"/>
      <c r="Q1339" s="216"/>
      <c r="R1339" s="216"/>
      <c r="S1339" s="216"/>
      <c r="T1339" s="216"/>
      <c r="U1339" s="216"/>
      <c r="V1339" s="216"/>
      <c r="W1339" s="216"/>
      <c r="X1339" s="216"/>
      <c r="Y1339" s="216"/>
      <c r="Z1339" s="216"/>
    </row>
    <row r="1340" spans="1:26" ht="15" customHeight="1">
      <c r="A1340" s="134" t="s">
        <v>7639</v>
      </c>
      <c r="B1340" s="133" t="s">
        <v>105</v>
      </c>
      <c r="C1340" s="133" t="s">
        <v>8908</v>
      </c>
      <c r="D1340" s="116" t="s">
        <v>7778</v>
      </c>
      <c r="E1340" s="528">
        <f>34/3*2</f>
        <v>22.666666666666668</v>
      </c>
      <c r="F1340" s="528">
        <f t="shared" ref="F1340:F1341" si="157">E1340</f>
        <v>22.666666666666668</v>
      </c>
      <c r="G1340" s="338" t="s">
        <v>1005</v>
      </c>
      <c r="H1340" s="216"/>
      <c r="I1340" s="216"/>
      <c r="J1340" s="216"/>
      <c r="K1340" s="216"/>
      <c r="L1340" s="216"/>
      <c r="M1340" s="216"/>
      <c r="N1340" s="216"/>
      <c r="O1340" s="216"/>
      <c r="P1340" s="216"/>
      <c r="Q1340" s="216"/>
      <c r="R1340" s="216"/>
      <c r="S1340" s="216"/>
      <c r="T1340" s="216"/>
      <c r="U1340" s="216"/>
      <c r="V1340" s="216"/>
      <c r="W1340" s="216"/>
      <c r="X1340" s="216"/>
      <c r="Y1340" s="216"/>
      <c r="Z1340" s="216"/>
    </row>
    <row r="1341" spans="1:26" ht="15" customHeight="1">
      <c r="A1341" s="134" t="s">
        <v>7639</v>
      </c>
      <c r="B1341" s="133" t="s">
        <v>105</v>
      </c>
      <c r="C1341" s="133" t="s">
        <v>8971</v>
      </c>
      <c r="D1341" s="116" t="s">
        <v>7778</v>
      </c>
      <c r="E1341" s="528">
        <f>22/3*2</f>
        <v>14.666666666666666</v>
      </c>
      <c r="F1341" s="528">
        <f t="shared" si="157"/>
        <v>14.666666666666666</v>
      </c>
      <c r="G1341" s="338" t="s">
        <v>1005</v>
      </c>
      <c r="H1341" s="216"/>
      <c r="I1341" s="216"/>
      <c r="J1341" s="216"/>
      <c r="K1341" s="216"/>
      <c r="L1341" s="216"/>
      <c r="M1341" s="216"/>
      <c r="N1341" s="216"/>
      <c r="O1341" s="216"/>
      <c r="P1341" s="216"/>
      <c r="Q1341" s="216"/>
      <c r="R1341" s="216"/>
      <c r="S1341" s="216"/>
      <c r="T1341" s="216"/>
      <c r="U1341" s="216"/>
      <c r="V1341" s="216"/>
      <c r="W1341" s="216"/>
      <c r="X1341" s="216"/>
      <c r="Y1341" s="216"/>
      <c r="Z1341" s="216"/>
    </row>
    <row r="1342" spans="1:26" ht="15" customHeight="1">
      <c r="A1342" s="134" t="s">
        <v>130</v>
      </c>
      <c r="B1342" s="133" t="s">
        <v>105</v>
      </c>
      <c r="C1342" s="133" t="s">
        <v>9315</v>
      </c>
      <c r="D1342" s="100" t="s">
        <v>7778</v>
      </c>
      <c r="E1342" s="100" t="s">
        <v>9316</v>
      </c>
      <c r="F1342" s="528">
        <v>11.33</v>
      </c>
      <c r="G1342" s="338" t="s">
        <v>130</v>
      </c>
      <c r="H1342" s="216"/>
      <c r="I1342" s="216"/>
      <c r="J1342" s="216"/>
      <c r="K1342" s="216"/>
      <c r="L1342" s="216"/>
      <c r="M1342" s="216"/>
      <c r="N1342" s="216"/>
      <c r="O1342" s="216"/>
      <c r="P1342" s="216"/>
      <c r="Q1342" s="216"/>
      <c r="R1342" s="216"/>
      <c r="S1342" s="216"/>
      <c r="T1342" s="216"/>
      <c r="U1342" s="216"/>
      <c r="V1342" s="216"/>
      <c r="W1342" s="216"/>
      <c r="X1342" s="216"/>
      <c r="Y1342" s="216"/>
      <c r="Z1342" s="216"/>
    </row>
    <row r="1343" spans="1:26" ht="15" customHeight="1">
      <c r="A1343" s="134" t="s">
        <v>130</v>
      </c>
      <c r="B1343" s="133" t="s">
        <v>105</v>
      </c>
      <c r="C1343" s="133" t="s">
        <v>9317</v>
      </c>
      <c r="D1343" s="116" t="s">
        <v>7778</v>
      </c>
      <c r="E1343" s="749" t="s">
        <v>9318</v>
      </c>
      <c r="F1343" s="528">
        <v>10</v>
      </c>
      <c r="G1343" s="338" t="s">
        <v>130</v>
      </c>
      <c r="H1343" s="216"/>
      <c r="I1343" s="216"/>
      <c r="J1343" s="216"/>
      <c r="K1343" s="216"/>
      <c r="L1343" s="216"/>
      <c r="M1343" s="216"/>
      <c r="N1343" s="216"/>
      <c r="O1343" s="216"/>
      <c r="P1343" s="216"/>
      <c r="Q1343" s="216"/>
      <c r="R1343" s="216"/>
      <c r="S1343" s="216"/>
      <c r="T1343" s="216"/>
      <c r="U1343" s="216"/>
      <c r="V1343" s="216"/>
      <c r="W1343" s="216"/>
      <c r="X1343" s="216"/>
      <c r="Y1343" s="216"/>
      <c r="Z1343" s="216"/>
    </row>
    <row r="1344" spans="1:26" ht="15" customHeight="1">
      <c r="A1344" s="134" t="s">
        <v>130</v>
      </c>
      <c r="B1344" s="133" t="s">
        <v>105</v>
      </c>
      <c r="C1344" s="133" t="s">
        <v>9319</v>
      </c>
      <c r="D1344" s="100" t="s">
        <v>7778</v>
      </c>
      <c r="E1344" s="742" t="s">
        <v>9320</v>
      </c>
      <c r="F1344" s="528">
        <v>7</v>
      </c>
      <c r="G1344" s="338" t="s">
        <v>130</v>
      </c>
      <c r="H1344" s="216"/>
      <c r="I1344" s="216"/>
      <c r="J1344" s="216"/>
      <c r="K1344" s="216"/>
      <c r="L1344" s="216"/>
      <c r="M1344" s="216"/>
      <c r="N1344" s="216"/>
      <c r="O1344" s="216"/>
      <c r="P1344" s="216"/>
      <c r="Q1344" s="216"/>
      <c r="R1344" s="216"/>
      <c r="S1344" s="216"/>
      <c r="T1344" s="216"/>
      <c r="U1344" s="216"/>
      <c r="V1344" s="216"/>
      <c r="W1344" s="216"/>
      <c r="X1344" s="216"/>
      <c r="Y1344" s="216"/>
      <c r="Z1344" s="216"/>
    </row>
    <row r="1345" spans="1:26" ht="15" customHeight="1">
      <c r="A1345" s="134" t="s">
        <v>130</v>
      </c>
      <c r="B1345" s="133" t="s">
        <v>105</v>
      </c>
      <c r="C1345" s="133" t="s">
        <v>9321</v>
      </c>
      <c r="D1345" s="100" t="s">
        <v>7790</v>
      </c>
      <c r="E1345" s="742" t="s">
        <v>9318</v>
      </c>
      <c r="F1345" s="528">
        <v>10</v>
      </c>
      <c r="G1345" s="338" t="s">
        <v>130</v>
      </c>
      <c r="H1345" s="216"/>
      <c r="I1345" s="216"/>
      <c r="J1345" s="216"/>
      <c r="K1345" s="216"/>
      <c r="L1345" s="216"/>
      <c r="M1345" s="216"/>
      <c r="N1345" s="216"/>
      <c r="O1345" s="216"/>
      <c r="P1345" s="216"/>
      <c r="Q1345" s="216"/>
      <c r="R1345" s="216"/>
      <c r="S1345" s="216"/>
      <c r="T1345" s="216"/>
      <c r="U1345" s="216"/>
      <c r="V1345" s="216"/>
      <c r="W1345" s="216"/>
      <c r="X1345" s="216"/>
      <c r="Y1345" s="216"/>
      <c r="Z1345" s="216"/>
    </row>
    <row r="1346" spans="1:26" ht="15" customHeight="1">
      <c r="A1346" s="134" t="s">
        <v>130</v>
      </c>
      <c r="B1346" s="133" t="s">
        <v>105</v>
      </c>
      <c r="C1346" s="133" t="s">
        <v>9322</v>
      </c>
      <c r="D1346" s="100" t="s">
        <v>7790</v>
      </c>
      <c r="E1346" s="742" t="s">
        <v>9320</v>
      </c>
      <c r="F1346" s="528">
        <v>7</v>
      </c>
      <c r="G1346" s="338" t="s">
        <v>130</v>
      </c>
      <c r="H1346" s="216"/>
      <c r="I1346" s="216"/>
      <c r="J1346" s="216"/>
      <c r="K1346" s="216"/>
      <c r="L1346" s="216"/>
      <c r="M1346" s="216"/>
      <c r="N1346" s="216"/>
      <c r="O1346" s="216"/>
      <c r="P1346" s="216"/>
      <c r="Q1346" s="216"/>
      <c r="R1346" s="216"/>
      <c r="S1346" s="216"/>
      <c r="T1346" s="216"/>
      <c r="U1346" s="216"/>
      <c r="V1346" s="216"/>
      <c r="W1346" s="216"/>
      <c r="X1346" s="216"/>
      <c r="Y1346" s="216"/>
      <c r="Z1346" s="216"/>
    </row>
    <row r="1347" spans="1:26" ht="15" customHeight="1">
      <c r="A1347" s="134" t="s">
        <v>130</v>
      </c>
      <c r="B1347" s="133" t="s">
        <v>105</v>
      </c>
      <c r="C1347" s="133" t="s">
        <v>9323</v>
      </c>
      <c r="D1347" s="100" t="s">
        <v>7790</v>
      </c>
      <c r="E1347" s="742" t="s">
        <v>9324</v>
      </c>
      <c r="F1347" s="528">
        <v>15.33</v>
      </c>
      <c r="G1347" s="338" t="s">
        <v>130</v>
      </c>
      <c r="H1347" s="216"/>
      <c r="I1347" s="216"/>
      <c r="J1347" s="216"/>
      <c r="K1347" s="216"/>
      <c r="L1347" s="216"/>
      <c r="M1347" s="216"/>
      <c r="N1347" s="216"/>
      <c r="O1347" s="216"/>
      <c r="P1347" s="216"/>
      <c r="Q1347" s="216"/>
      <c r="R1347" s="216"/>
      <c r="S1347" s="216"/>
      <c r="T1347" s="216"/>
      <c r="U1347" s="216"/>
      <c r="V1347" s="216"/>
      <c r="W1347" s="216"/>
      <c r="X1347" s="216"/>
      <c r="Y1347" s="216"/>
      <c r="Z1347" s="216"/>
    </row>
    <row r="1348" spans="1:26" ht="15" customHeight="1">
      <c r="A1348" s="134" t="s">
        <v>130</v>
      </c>
      <c r="B1348" s="133" t="s">
        <v>105</v>
      </c>
      <c r="C1348" s="133" t="s">
        <v>9325</v>
      </c>
      <c r="D1348" s="100" t="s">
        <v>7790</v>
      </c>
      <c r="E1348" s="742" t="s">
        <v>9326</v>
      </c>
      <c r="F1348" s="528">
        <v>9</v>
      </c>
      <c r="G1348" s="338" t="s">
        <v>130</v>
      </c>
      <c r="H1348" s="216"/>
      <c r="I1348" s="216"/>
      <c r="J1348" s="216"/>
      <c r="K1348" s="216"/>
      <c r="L1348" s="216"/>
      <c r="M1348" s="216"/>
      <c r="N1348" s="216"/>
      <c r="O1348" s="216"/>
      <c r="P1348" s="216"/>
      <c r="Q1348" s="216"/>
      <c r="R1348" s="216"/>
      <c r="S1348" s="216"/>
      <c r="T1348" s="216"/>
      <c r="U1348" s="216"/>
      <c r="V1348" s="216"/>
      <c r="W1348" s="216"/>
      <c r="X1348" s="216"/>
      <c r="Y1348" s="216"/>
      <c r="Z1348" s="216"/>
    </row>
    <row r="1349" spans="1:26" ht="15" customHeight="1">
      <c r="A1349" s="134" t="s">
        <v>130</v>
      </c>
      <c r="B1349" s="133" t="s">
        <v>105</v>
      </c>
      <c r="C1349" s="133" t="s">
        <v>9327</v>
      </c>
      <c r="D1349" s="100" t="s">
        <v>7778</v>
      </c>
      <c r="E1349" s="742" t="s">
        <v>9328</v>
      </c>
      <c r="F1349" s="528">
        <v>6.33</v>
      </c>
      <c r="G1349" s="338" t="s">
        <v>130</v>
      </c>
      <c r="H1349" s="216"/>
      <c r="I1349" s="216"/>
      <c r="J1349" s="216"/>
      <c r="K1349" s="216"/>
      <c r="L1349" s="216"/>
      <c r="M1349" s="216"/>
      <c r="N1349" s="216"/>
      <c r="O1349" s="216"/>
      <c r="P1349" s="216"/>
      <c r="Q1349" s="216"/>
      <c r="R1349" s="216"/>
      <c r="S1349" s="216"/>
      <c r="T1349" s="216"/>
      <c r="U1349" s="216"/>
      <c r="V1349" s="216"/>
      <c r="W1349" s="216"/>
      <c r="X1349" s="216"/>
      <c r="Y1349" s="216"/>
      <c r="Z1349" s="216"/>
    </row>
    <row r="1350" spans="1:26" ht="15" customHeight="1">
      <c r="A1350" s="134" t="s">
        <v>130</v>
      </c>
      <c r="B1350" s="133" t="s">
        <v>105</v>
      </c>
      <c r="C1350" s="133" t="s">
        <v>9329</v>
      </c>
      <c r="D1350" s="100" t="s">
        <v>7790</v>
      </c>
      <c r="E1350" s="742" t="s">
        <v>9328</v>
      </c>
      <c r="F1350" s="528">
        <v>6.33</v>
      </c>
      <c r="G1350" s="338" t="s">
        <v>130</v>
      </c>
      <c r="H1350" s="216"/>
      <c r="I1350" s="216"/>
      <c r="J1350" s="216"/>
      <c r="K1350" s="216"/>
      <c r="L1350" s="216"/>
      <c r="M1350" s="216"/>
      <c r="N1350" s="216"/>
      <c r="O1350" s="216"/>
      <c r="P1350" s="216"/>
      <c r="Q1350" s="216"/>
      <c r="R1350" s="216"/>
      <c r="S1350" s="216"/>
      <c r="T1350" s="216"/>
      <c r="U1350" s="216"/>
      <c r="V1350" s="216"/>
      <c r="W1350" s="216"/>
      <c r="X1350" s="216"/>
      <c r="Y1350" s="216"/>
      <c r="Z1350" s="216"/>
    </row>
    <row r="1351" spans="1:26" ht="15" customHeight="1">
      <c r="A1351" s="134" t="s">
        <v>130</v>
      </c>
      <c r="B1351" s="133" t="s">
        <v>105</v>
      </c>
      <c r="C1351" s="133" t="s">
        <v>9330</v>
      </c>
      <c r="D1351" s="116" t="s">
        <v>7778</v>
      </c>
      <c r="E1351" s="749" t="s">
        <v>9331</v>
      </c>
      <c r="F1351" s="528">
        <v>20</v>
      </c>
      <c r="G1351" s="338" t="s">
        <v>130</v>
      </c>
      <c r="H1351" s="216"/>
      <c r="I1351" s="216"/>
      <c r="J1351" s="216"/>
      <c r="K1351" s="216"/>
      <c r="L1351" s="216"/>
      <c r="M1351" s="216"/>
      <c r="N1351" s="216"/>
      <c r="O1351" s="216"/>
      <c r="P1351" s="216"/>
      <c r="Q1351" s="216"/>
      <c r="R1351" s="216"/>
      <c r="S1351" s="216"/>
      <c r="T1351" s="216"/>
      <c r="U1351" s="216"/>
      <c r="V1351" s="216"/>
      <c r="W1351" s="216"/>
      <c r="X1351" s="216"/>
      <c r="Y1351" s="216"/>
      <c r="Z1351" s="216"/>
    </row>
    <row r="1352" spans="1:26" ht="15" customHeight="1">
      <c r="A1352" s="134" t="s">
        <v>130</v>
      </c>
      <c r="B1352" s="133" t="s">
        <v>105</v>
      </c>
      <c r="C1352" s="133" t="s">
        <v>9332</v>
      </c>
      <c r="D1352" s="100" t="s">
        <v>7778</v>
      </c>
      <c r="E1352" s="742" t="s">
        <v>9333</v>
      </c>
      <c r="F1352" s="528">
        <v>7.67</v>
      </c>
      <c r="G1352" s="338" t="s">
        <v>130</v>
      </c>
      <c r="H1352" s="216"/>
      <c r="I1352" s="216"/>
      <c r="J1352" s="216"/>
      <c r="K1352" s="216"/>
      <c r="L1352" s="216"/>
      <c r="M1352" s="216"/>
      <c r="N1352" s="216"/>
      <c r="O1352" s="216"/>
      <c r="P1352" s="216"/>
      <c r="Q1352" s="216"/>
      <c r="R1352" s="216"/>
      <c r="S1352" s="216"/>
      <c r="T1352" s="216"/>
      <c r="U1352" s="216"/>
      <c r="V1352" s="216"/>
      <c r="W1352" s="216"/>
      <c r="X1352" s="216"/>
      <c r="Y1352" s="216"/>
      <c r="Z1352" s="216"/>
    </row>
    <row r="1353" spans="1:26" ht="15" customHeight="1">
      <c r="A1353" s="134" t="s">
        <v>130</v>
      </c>
      <c r="B1353" s="133" t="s">
        <v>105</v>
      </c>
      <c r="C1353" s="133" t="s">
        <v>9334</v>
      </c>
      <c r="D1353" s="116" t="s">
        <v>7778</v>
      </c>
      <c r="E1353" s="749" t="s">
        <v>9335</v>
      </c>
      <c r="F1353" s="528">
        <v>2.5</v>
      </c>
      <c r="G1353" s="338" t="s">
        <v>130</v>
      </c>
      <c r="H1353" s="216"/>
      <c r="I1353" s="216"/>
      <c r="J1353" s="216"/>
      <c r="K1353" s="216"/>
      <c r="L1353" s="216"/>
      <c r="M1353" s="216"/>
      <c r="N1353" s="216"/>
      <c r="O1353" s="216"/>
      <c r="P1353" s="216"/>
      <c r="Q1353" s="216"/>
      <c r="R1353" s="216"/>
      <c r="S1353" s="216"/>
      <c r="T1353" s="216"/>
      <c r="U1353" s="216"/>
      <c r="V1353" s="216"/>
      <c r="W1353" s="216"/>
      <c r="X1353" s="216"/>
      <c r="Y1353" s="216"/>
      <c r="Z1353" s="216"/>
    </row>
    <row r="1354" spans="1:26" ht="15" customHeight="1">
      <c r="A1354" s="134" t="s">
        <v>130</v>
      </c>
      <c r="B1354" s="133" t="s">
        <v>105</v>
      </c>
      <c r="C1354" s="133" t="s">
        <v>9336</v>
      </c>
      <c r="D1354" s="100" t="s">
        <v>7778</v>
      </c>
      <c r="E1354" s="742" t="s">
        <v>9337</v>
      </c>
      <c r="F1354" s="528">
        <v>1.75</v>
      </c>
      <c r="G1354" s="338" t="s">
        <v>130</v>
      </c>
      <c r="H1354" s="216"/>
      <c r="I1354" s="216"/>
      <c r="J1354" s="216"/>
      <c r="K1354" s="216"/>
      <c r="L1354" s="216"/>
      <c r="M1354" s="216"/>
      <c r="N1354" s="216"/>
      <c r="O1354" s="216"/>
      <c r="P1354" s="216"/>
      <c r="Q1354" s="216"/>
      <c r="R1354" s="216"/>
      <c r="S1354" s="216"/>
      <c r="T1354" s="216"/>
      <c r="U1354" s="216"/>
      <c r="V1354" s="216"/>
      <c r="W1354" s="216"/>
      <c r="X1354" s="216"/>
      <c r="Y1354" s="216"/>
      <c r="Z1354" s="216"/>
    </row>
    <row r="1355" spans="1:26" ht="15" customHeight="1">
      <c r="A1355" s="134" t="s">
        <v>130</v>
      </c>
      <c r="B1355" s="133" t="s">
        <v>105</v>
      </c>
      <c r="C1355" s="133" t="s">
        <v>9338</v>
      </c>
      <c r="D1355" s="100" t="s">
        <v>7778</v>
      </c>
      <c r="E1355" s="742" t="s">
        <v>9339</v>
      </c>
      <c r="F1355" s="528">
        <v>1.58</v>
      </c>
      <c r="G1355" s="338" t="s">
        <v>130</v>
      </c>
      <c r="H1355" s="216"/>
      <c r="I1355" s="216"/>
      <c r="J1355" s="216"/>
      <c r="K1355" s="216"/>
      <c r="L1355" s="216"/>
      <c r="M1355" s="216"/>
      <c r="N1355" s="216"/>
      <c r="O1355" s="216"/>
      <c r="P1355" s="216"/>
      <c r="Q1355" s="216"/>
      <c r="R1355" s="216"/>
      <c r="S1355" s="216"/>
      <c r="T1355" s="216"/>
      <c r="U1355" s="216"/>
      <c r="V1355" s="216"/>
      <c r="W1355" s="216"/>
      <c r="X1355" s="216"/>
      <c r="Y1355" s="216"/>
      <c r="Z1355" s="216"/>
    </row>
    <row r="1356" spans="1:26" ht="15" customHeight="1">
      <c r="A1356" s="134" t="s">
        <v>130</v>
      </c>
      <c r="B1356" s="133" t="s">
        <v>105</v>
      </c>
      <c r="C1356" s="133" t="s">
        <v>9340</v>
      </c>
      <c r="D1356" s="100" t="s">
        <v>7778</v>
      </c>
      <c r="E1356" s="742" t="s">
        <v>9341</v>
      </c>
      <c r="F1356" s="528">
        <v>5</v>
      </c>
      <c r="G1356" s="338" t="s">
        <v>130</v>
      </c>
      <c r="H1356" s="216"/>
      <c r="I1356" s="216"/>
      <c r="J1356" s="216"/>
      <c r="K1356" s="216"/>
      <c r="L1356" s="216"/>
      <c r="M1356" s="216"/>
      <c r="N1356" s="216"/>
      <c r="O1356" s="216"/>
      <c r="P1356" s="216"/>
      <c r="Q1356" s="216"/>
      <c r="R1356" s="216"/>
      <c r="S1356" s="216"/>
      <c r="T1356" s="216"/>
      <c r="U1356" s="216"/>
      <c r="V1356" s="216"/>
      <c r="W1356" s="216"/>
      <c r="X1356" s="216"/>
      <c r="Y1356" s="216"/>
      <c r="Z1356" s="216"/>
    </row>
    <row r="1357" spans="1:26" ht="15" customHeight="1">
      <c r="A1357" s="134" t="s">
        <v>130</v>
      </c>
      <c r="B1357" s="133" t="s">
        <v>105</v>
      </c>
      <c r="C1357" s="133" t="s">
        <v>9342</v>
      </c>
      <c r="D1357" s="100" t="s">
        <v>7778</v>
      </c>
      <c r="E1357" s="742" t="s">
        <v>9343</v>
      </c>
      <c r="F1357" s="528">
        <v>1.92</v>
      </c>
      <c r="G1357" s="338" t="s">
        <v>130</v>
      </c>
      <c r="H1357" s="216"/>
      <c r="I1357" s="216"/>
      <c r="J1357" s="216"/>
      <c r="K1357" s="216"/>
      <c r="L1357" s="216"/>
      <c r="M1357" s="216"/>
      <c r="N1357" s="216"/>
      <c r="O1357" s="216"/>
      <c r="P1357" s="216"/>
      <c r="Q1357" s="216"/>
      <c r="R1357" s="216"/>
      <c r="S1357" s="216"/>
      <c r="T1357" s="216"/>
      <c r="U1357" s="216"/>
      <c r="V1357" s="216"/>
      <c r="W1357" s="216"/>
      <c r="X1357" s="216"/>
      <c r="Y1357" s="216"/>
      <c r="Z1357" s="216"/>
    </row>
    <row r="1358" spans="1:26" ht="15" customHeight="1">
      <c r="A1358" s="134" t="s">
        <v>130</v>
      </c>
      <c r="B1358" s="133" t="s">
        <v>105</v>
      </c>
      <c r="C1358" s="133" t="s">
        <v>9344</v>
      </c>
      <c r="D1358" s="116" t="s">
        <v>7778</v>
      </c>
      <c r="E1358" s="749" t="s">
        <v>9345</v>
      </c>
      <c r="F1358" s="528">
        <v>1</v>
      </c>
      <c r="G1358" s="338" t="s">
        <v>130</v>
      </c>
      <c r="H1358" s="216"/>
      <c r="I1358" s="216"/>
      <c r="J1358" s="216"/>
      <c r="K1358" s="216"/>
      <c r="L1358" s="216"/>
      <c r="M1358" s="216"/>
      <c r="N1358" s="216"/>
      <c r="O1358" s="216"/>
      <c r="P1358" s="216"/>
      <c r="Q1358" s="216"/>
      <c r="R1358" s="216"/>
      <c r="S1358" s="216"/>
      <c r="T1358" s="216"/>
      <c r="U1358" s="216"/>
      <c r="V1358" s="216"/>
      <c r="W1358" s="216"/>
      <c r="X1358" s="216"/>
      <c r="Y1358" s="216"/>
      <c r="Z1358" s="216"/>
    </row>
    <row r="1359" spans="1:26" ht="15" customHeight="1">
      <c r="A1359" s="134" t="s">
        <v>130</v>
      </c>
      <c r="B1359" s="133" t="s">
        <v>105</v>
      </c>
      <c r="C1359" s="133" t="s">
        <v>9346</v>
      </c>
      <c r="D1359" s="100" t="s">
        <v>7778</v>
      </c>
      <c r="E1359" s="742" t="s">
        <v>9347</v>
      </c>
      <c r="F1359" s="528">
        <v>0.7</v>
      </c>
      <c r="G1359" s="338" t="s">
        <v>130</v>
      </c>
      <c r="H1359" s="216"/>
      <c r="I1359" s="216"/>
      <c r="J1359" s="216"/>
      <c r="K1359" s="216"/>
      <c r="L1359" s="216"/>
      <c r="M1359" s="216"/>
      <c r="N1359" s="216"/>
      <c r="O1359" s="216"/>
      <c r="P1359" s="216"/>
      <c r="Q1359" s="216"/>
      <c r="R1359" s="216"/>
      <c r="S1359" s="216"/>
      <c r="T1359" s="216"/>
      <c r="U1359" s="216"/>
      <c r="V1359" s="216"/>
      <c r="W1359" s="216"/>
      <c r="X1359" s="216"/>
      <c r="Y1359" s="216"/>
      <c r="Z1359" s="216"/>
    </row>
    <row r="1360" spans="1:26" ht="15" customHeight="1">
      <c r="A1360" s="134" t="s">
        <v>130</v>
      </c>
      <c r="B1360" s="133" t="s">
        <v>105</v>
      </c>
      <c r="C1360" s="133" t="s">
        <v>9348</v>
      </c>
      <c r="D1360" s="100" t="s">
        <v>7778</v>
      </c>
      <c r="E1360" s="742" t="s">
        <v>9349</v>
      </c>
      <c r="F1360" s="528">
        <v>0.63</v>
      </c>
      <c r="G1360" s="338" t="s">
        <v>130</v>
      </c>
      <c r="H1360" s="216"/>
      <c r="I1360" s="216"/>
      <c r="J1360" s="216"/>
      <c r="K1360" s="216"/>
      <c r="L1360" s="216"/>
      <c r="M1360" s="216"/>
      <c r="N1360" s="216"/>
      <c r="O1360" s="216"/>
      <c r="P1360" s="216"/>
      <c r="Q1360" s="216"/>
      <c r="R1360" s="216"/>
      <c r="S1360" s="216"/>
      <c r="T1360" s="216"/>
      <c r="U1360" s="216"/>
      <c r="V1360" s="216"/>
      <c r="W1360" s="216"/>
      <c r="X1360" s="216"/>
      <c r="Y1360" s="216"/>
      <c r="Z1360" s="216"/>
    </row>
    <row r="1361" spans="1:26" ht="15" customHeight="1">
      <c r="A1361" s="134" t="s">
        <v>130</v>
      </c>
      <c r="B1361" s="133" t="s">
        <v>105</v>
      </c>
      <c r="C1361" s="133" t="s">
        <v>9350</v>
      </c>
      <c r="D1361" s="100" t="s">
        <v>7778</v>
      </c>
      <c r="E1361" s="742" t="s">
        <v>9351</v>
      </c>
      <c r="F1361" s="528">
        <v>2</v>
      </c>
      <c r="G1361" s="338" t="s">
        <v>130</v>
      </c>
      <c r="H1361" s="216"/>
      <c r="I1361" s="216"/>
      <c r="J1361" s="216"/>
      <c r="K1361" s="216"/>
      <c r="L1361" s="216"/>
      <c r="M1361" s="216"/>
      <c r="N1361" s="216"/>
      <c r="O1361" s="216"/>
      <c r="P1361" s="216"/>
      <c r="Q1361" s="216"/>
      <c r="R1361" s="216"/>
      <c r="S1361" s="216"/>
      <c r="T1361" s="216"/>
      <c r="U1361" s="216"/>
      <c r="V1361" s="216"/>
      <c r="W1361" s="216"/>
      <c r="X1361" s="216"/>
      <c r="Y1361" s="216"/>
      <c r="Z1361" s="216"/>
    </row>
    <row r="1362" spans="1:26" ht="15" customHeight="1">
      <c r="A1362" s="134" t="s">
        <v>130</v>
      </c>
      <c r="B1362" s="133" t="s">
        <v>105</v>
      </c>
      <c r="C1362" s="133" t="s">
        <v>9352</v>
      </c>
      <c r="D1362" s="100" t="s">
        <v>7778</v>
      </c>
      <c r="E1362" s="742" t="s">
        <v>9353</v>
      </c>
      <c r="F1362" s="528">
        <v>0.76</v>
      </c>
      <c r="G1362" s="338" t="s">
        <v>130</v>
      </c>
      <c r="H1362" s="216"/>
      <c r="I1362" s="216"/>
      <c r="J1362" s="216"/>
      <c r="K1362" s="216"/>
      <c r="L1362" s="216"/>
      <c r="M1362" s="216"/>
      <c r="N1362" s="216"/>
      <c r="O1362" s="216"/>
      <c r="P1362" s="216"/>
      <c r="Q1362" s="216"/>
      <c r="R1362" s="216"/>
      <c r="S1362" s="216"/>
      <c r="T1362" s="216"/>
      <c r="U1362" s="216"/>
      <c r="V1362" s="216"/>
      <c r="W1362" s="216"/>
      <c r="X1362" s="216"/>
      <c r="Y1362" s="216"/>
      <c r="Z1362" s="216"/>
    </row>
    <row r="1363" spans="1:26" ht="15" customHeight="1">
      <c r="A1363" s="134" t="s">
        <v>138</v>
      </c>
      <c r="B1363" s="133" t="s">
        <v>105</v>
      </c>
      <c r="C1363" s="133" t="s">
        <v>9354</v>
      </c>
      <c r="D1363" s="100" t="s">
        <v>7778</v>
      </c>
      <c r="E1363" s="528">
        <f t="shared" ref="E1363:E1365" si="158">7/3</f>
        <v>2.3333333333333335</v>
      </c>
      <c r="F1363" s="528">
        <f>E1363</f>
        <v>2.3333333333333335</v>
      </c>
      <c r="G1363" s="338" t="s">
        <v>138</v>
      </c>
      <c r="H1363" s="216"/>
      <c r="I1363" s="216"/>
      <c r="J1363" s="216"/>
      <c r="K1363" s="216"/>
      <c r="L1363" s="216"/>
      <c r="M1363" s="216"/>
      <c r="N1363" s="216"/>
      <c r="O1363" s="216"/>
      <c r="P1363" s="216"/>
      <c r="Q1363" s="216"/>
      <c r="R1363" s="216"/>
      <c r="S1363" s="216"/>
      <c r="T1363" s="216"/>
      <c r="U1363" s="216"/>
      <c r="V1363" s="216"/>
      <c r="W1363" s="216"/>
      <c r="X1363" s="216"/>
      <c r="Y1363" s="216"/>
      <c r="Z1363" s="216"/>
    </row>
    <row r="1364" spans="1:26" ht="15" customHeight="1">
      <c r="A1364" s="134" t="s">
        <v>138</v>
      </c>
      <c r="B1364" s="133" t="s">
        <v>105</v>
      </c>
      <c r="C1364" s="133" t="s">
        <v>9355</v>
      </c>
      <c r="D1364" s="100" t="s">
        <v>7790</v>
      </c>
      <c r="E1364" s="528">
        <f t="shared" si="158"/>
        <v>2.3333333333333335</v>
      </c>
      <c r="F1364" s="528">
        <f>E1364*0.5</f>
        <v>1.1666666666666667</v>
      </c>
      <c r="G1364" s="338" t="s">
        <v>138</v>
      </c>
      <c r="H1364" s="216"/>
      <c r="I1364" s="216"/>
      <c r="J1364" s="216"/>
      <c r="K1364" s="216"/>
      <c r="L1364" s="216"/>
      <c r="M1364" s="216"/>
      <c r="N1364" s="216"/>
      <c r="O1364" s="216"/>
      <c r="P1364" s="216"/>
      <c r="Q1364" s="216"/>
      <c r="R1364" s="216"/>
      <c r="S1364" s="216"/>
      <c r="T1364" s="216"/>
      <c r="U1364" s="216"/>
      <c r="V1364" s="216"/>
      <c r="W1364" s="216"/>
      <c r="X1364" s="216"/>
      <c r="Y1364" s="216"/>
      <c r="Z1364" s="216"/>
    </row>
    <row r="1365" spans="1:26" ht="15" customHeight="1">
      <c r="A1365" s="134" t="s">
        <v>138</v>
      </c>
      <c r="B1365" s="133" t="s">
        <v>105</v>
      </c>
      <c r="C1365" s="133" t="s">
        <v>9356</v>
      </c>
      <c r="D1365" s="100" t="s">
        <v>7790</v>
      </c>
      <c r="E1365" s="528">
        <f t="shared" si="158"/>
        <v>2.3333333333333335</v>
      </c>
      <c r="F1365" s="528">
        <f>E1365*0.25*0.5</f>
        <v>0.29166666666666669</v>
      </c>
      <c r="G1365" s="338" t="s">
        <v>138</v>
      </c>
      <c r="H1365" s="216"/>
      <c r="I1365" s="216"/>
      <c r="J1365" s="216"/>
      <c r="K1365" s="216"/>
      <c r="L1365" s="216"/>
      <c r="M1365" s="216"/>
      <c r="N1365" s="216"/>
      <c r="O1365" s="216"/>
      <c r="P1365" s="216"/>
      <c r="Q1365" s="216"/>
      <c r="R1365" s="216"/>
      <c r="S1365" s="216"/>
      <c r="T1365" s="216"/>
      <c r="U1365" s="216"/>
      <c r="V1365" s="216"/>
      <c r="W1365" s="216"/>
      <c r="X1365" s="216"/>
      <c r="Y1365" s="216"/>
      <c r="Z1365" s="216"/>
    </row>
    <row r="1366" spans="1:26" ht="15" customHeight="1">
      <c r="A1366" s="134" t="s">
        <v>138</v>
      </c>
      <c r="B1366" s="133" t="s">
        <v>105</v>
      </c>
      <c r="C1366" s="133" t="s">
        <v>9357</v>
      </c>
      <c r="D1366" s="100" t="s">
        <v>7778</v>
      </c>
      <c r="E1366" s="528">
        <f t="shared" ref="E1366:E1368" si="159">47/3</f>
        <v>15.666666666666666</v>
      </c>
      <c r="F1366" s="528">
        <f>E1366</f>
        <v>15.666666666666666</v>
      </c>
      <c r="G1366" s="338" t="s">
        <v>138</v>
      </c>
      <c r="H1366" s="216"/>
      <c r="I1366" s="216"/>
      <c r="J1366" s="216"/>
      <c r="K1366" s="216"/>
      <c r="L1366" s="216"/>
      <c r="M1366" s="216"/>
      <c r="N1366" s="216"/>
      <c r="O1366" s="216"/>
      <c r="P1366" s="216"/>
      <c r="Q1366" s="216"/>
      <c r="R1366" s="216"/>
      <c r="S1366" s="216"/>
      <c r="T1366" s="216"/>
      <c r="U1366" s="216"/>
      <c r="V1366" s="216"/>
      <c r="W1366" s="216"/>
      <c r="X1366" s="216"/>
      <c r="Y1366" s="216"/>
      <c r="Z1366" s="216"/>
    </row>
    <row r="1367" spans="1:26" ht="15" customHeight="1">
      <c r="A1367" s="134" t="s">
        <v>138</v>
      </c>
      <c r="B1367" s="133" t="s">
        <v>105</v>
      </c>
      <c r="C1367" s="133" t="s">
        <v>9358</v>
      </c>
      <c r="D1367" s="100" t="s">
        <v>7790</v>
      </c>
      <c r="E1367" s="528">
        <f t="shared" si="159"/>
        <v>15.666666666666666</v>
      </c>
      <c r="F1367" s="528">
        <f>E1367*0.5</f>
        <v>7.833333333333333</v>
      </c>
      <c r="G1367" s="338" t="s">
        <v>138</v>
      </c>
      <c r="H1367" s="216"/>
      <c r="I1367" s="216"/>
      <c r="J1367" s="216"/>
      <c r="K1367" s="216"/>
      <c r="L1367" s="216"/>
      <c r="M1367" s="216"/>
      <c r="N1367" s="216"/>
      <c r="O1367" s="216"/>
      <c r="P1367" s="216"/>
      <c r="Q1367" s="216"/>
      <c r="R1367" s="216"/>
      <c r="S1367" s="216"/>
      <c r="T1367" s="216"/>
      <c r="U1367" s="216"/>
      <c r="V1367" s="216"/>
      <c r="W1367" s="216"/>
      <c r="X1367" s="216"/>
      <c r="Y1367" s="216"/>
      <c r="Z1367" s="216"/>
    </row>
    <row r="1368" spans="1:26" ht="15" customHeight="1">
      <c r="A1368" s="134" t="s">
        <v>138</v>
      </c>
      <c r="B1368" s="133" t="s">
        <v>105</v>
      </c>
      <c r="C1368" s="133" t="s">
        <v>9359</v>
      </c>
      <c r="D1368" s="100" t="s">
        <v>7790</v>
      </c>
      <c r="E1368" s="528">
        <f t="shared" si="159"/>
        <v>15.666666666666666</v>
      </c>
      <c r="F1368" s="528">
        <f>E1368*0.25*0.5</f>
        <v>1.9583333333333333</v>
      </c>
      <c r="G1368" s="338" t="s">
        <v>138</v>
      </c>
      <c r="H1368" s="216"/>
      <c r="I1368" s="216"/>
      <c r="J1368" s="216"/>
      <c r="K1368" s="216"/>
      <c r="L1368" s="216"/>
      <c r="M1368" s="216"/>
      <c r="N1368" s="216"/>
      <c r="O1368" s="216"/>
      <c r="P1368" s="216"/>
      <c r="Q1368" s="216"/>
      <c r="R1368" s="216"/>
      <c r="S1368" s="216"/>
      <c r="T1368" s="216"/>
      <c r="U1368" s="216"/>
      <c r="V1368" s="216"/>
      <c r="W1368" s="216"/>
      <c r="X1368" s="216"/>
      <c r="Y1368" s="216"/>
      <c r="Z1368" s="216"/>
    </row>
    <row r="1369" spans="1:26" ht="15" customHeight="1">
      <c r="A1369" s="134" t="s">
        <v>138</v>
      </c>
      <c r="B1369" s="133" t="s">
        <v>105</v>
      </c>
      <c r="C1369" s="133" t="s">
        <v>9360</v>
      </c>
      <c r="D1369" s="100" t="s">
        <v>7778</v>
      </c>
      <c r="E1369" s="528">
        <f t="shared" ref="E1369:E1371" si="160">20/3</f>
        <v>6.666666666666667</v>
      </c>
      <c r="F1369" s="528">
        <f>E1369</f>
        <v>6.666666666666667</v>
      </c>
      <c r="G1369" s="338" t="s">
        <v>138</v>
      </c>
      <c r="H1369" s="216"/>
      <c r="I1369" s="216"/>
      <c r="J1369" s="216"/>
      <c r="K1369" s="216"/>
      <c r="L1369" s="216"/>
      <c r="M1369" s="216"/>
      <c r="N1369" s="216"/>
      <c r="O1369" s="216"/>
      <c r="P1369" s="216"/>
      <c r="Q1369" s="216"/>
      <c r="R1369" s="216"/>
      <c r="S1369" s="216"/>
      <c r="T1369" s="216"/>
      <c r="U1369" s="216"/>
      <c r="V1369" s="216"/>
      <c r="W1369" s="216"/>
      <c r="X1369" s="216"/>
      <c r="Y1369" s="216"/>
      <c r="Z1369" s="216"/>
    </row>
    <row r="1370" spans="1:26" ht="15" customHeight="1">
      <c r="A1370" s="134" t="s">
        <v>138</v>
      </c>
      <c r="B1370" s="133" t="s">
        <v>105</v>
      </c>
      <c r="C1370" s="133" t="s">
        <v>9361</v>
      </c>
      <c r="D1370" s="100" t="s">
        <v>7790</v>
      </c>
      <c r="E1370" s="528">
        <f t="shared" si="160"/>
        <v>6.666666666666667</v>
      </c>
      <c r="F1370" s="528">
        <f>E1370*0.5</f>
        <v>3.3333333333333335</v>
      </c>
      <c r="G1370" s="338" t="s">
        <v>138</v>
      </c>
      <c r="H1370" s="216"/>
      <c r="I1370" s="216"/>
      <c r="J1370" s="216"/>
      <c r="K1370" s="216"/>
      <c r="L1370" s="216"/>
      <c r="M1370" s="216"/>
      <c r="N1370" s="216"/>
      <c r="O1370" s="216"/>
      <c r="P1370" s="216"/>
      <c r="Q1370" s="216"/>
      <c r="R1370" s="216"/>
      <c r="S1370" s="216"/>
      <c r="T1370" s="216"/>
      <c r="U1370" s="216"/>
      <c r="V1370" s="216"/>
      <c r="W1370" s="216"/>
      <c r="X1370" s="216"/>
      <c r="Y1370" s="216"/>
      <c r="Z1370" s="216"/>
    </row>
    <row r="1371" spans="1:26" ht="15" customHeight="1">
      <c r="A1371" s="134" t="s">
        <v>138</v>
      </c>
      <c r="B1371" s="133" t="s">
        <v>105</v>
      </c>
      <c r="C1371" s="133" t="s">
        <v>9362</v>
      </c>
      <c r="D1371" s="100" t="s">
        <v>7790</v>
      </c>
      <c r="E1371" s="528">
        <f t="shared" si="160"/>
        <v>6.666666666666667</v>
      </c>
      <c r="F1371" s="528">
        <f>E1371*0.25*0.5</f>
        <v>0.83333333333333337</v>
      </c>
      <c r="G1371" s="338" t="s">
        <v>138</v>
      </c>
      <c r="H1371" s="216"/>
      <c r="I1371" s="216"/>
      <c r="J1371" s="216"/>
      <c r="K1371" s="216"/>
      <c r="L1371" s="216"/>
      <c r="M1371" s="216"/>
      <c r="N1371" s="216"/>
      <c r="O1371" s="216"/>
      <c r="P1371" s="216"/>
      <c r="Q1371" s="216"/>
      <c r="R1371" s="216"/>
      <c r="S1371" s="216"/>
      <c r="T1371" s="216"/>
      <c r="U1371" s="216"/>
      <c r="V1371" s="216"/>
      <c r="W1371" s="216"/>
      <c r="X1371" s="216"/>
      <c r="Y1371" s="216"/>
      <c r="Z1371" s="216"/>
    </row>
    <row r="1372" spans="1:26" ht="15" customHeight="1">
      <c r="A1372" s="134" t="s">
        <v>138</v>
      </c>
      <c r="B1372" s="133" t="s">
        <v>105</v>
      </c>
      <c r="C1372" s="133" t="s">
        <v>9363</v>
      </c>
      <c r="D1372" s="100" t="s">
        <v>7778</v>
      </c>
      <c r="E1372" s="528">
        <f t="shared" ref="E1372:E1374" si="161">37/3</f>
        <v>12.333333333333334</v>
      </c>
      <c r="F1372" s="528">
        <f>E1372</f>
        <v>12.333333333333334</v>
      </c>
      <c r="G1372" s="338" t="s">
        <v>138</v>
      </c>
      <c r="H1372" s="216"/>
      <c r="I1372" s="216"/>
      <c r="J1372" s="216"/>
      <c r="K1372" s="216"/>
      <c r="L1372" s="216"/>
      <c r="M1372" s="216"/>
      <c r="N1372" s="216"/>
      <c r="O1372" s="216"/>
      <c r="P1372" s="216"/>
      <c r="Q1372" s="216"/>
      <c r="R1372" s="216"/>
      <c r="S1372" s="216"/>
      <c r="T1372" s="216"/>
      <c r="U1372" s="216"/>
      <c r="V1372" s="216"/>
      <c r="W1372" s="216"/>
      <c r="X1372" s="216"/>
      <c r="Y1372" s="216"/>
      <c r="Z1372" s="216"/>
    </row>
    <row r="1373" spans="1:26" ht="15" customHeight="1">
      <c r="A1373" s="134" t="s">
        <v>138</v>
      </c>
      <c r="B1373" s="133" t="s">
        <v>105</v>
      </c>
      <c r="C1373" s="133" t="s">
        <v>9364</v>
      </c>
      <c r="D1373" s="100" t="s">
        <v>7790</v>
      </c>
      <c r="E1373" s="528">
        <f t="shared" si="161"/>
        <v>12.333333333333334</v>
      </c>
      <c r="F1373" s="528">
        <f>E1373*0.5</f>
        <v>6.166666666666667</v>
      </c>
      <c r="G1373" s="338" t="s">
        <v>138</v>
      </c>
      <c r="H1373" s="216"/>
      <c r="I1373" s="216"/>
      <c r="J1373" s="216"/>
      <c r="K1373" s="216"/>
      <c r="L1373" s="216"/>
      <c r="M1373" s="216"/>
      <c r="N1373" s="216"/>
      <c r="O1373" s="216"/>
      <c r="P1373" s="216"/>
      <c r="Q1373" s="216"/>
      <c r="R1373" s="216"/>
      <c r="S1373" s="216"/>
      <c r="T1373" s="216"/>
      <c r="U1373" s="216"/>
      <c r="V1373" s="216"/>
      <c r="W1373" s="216"/>
      <c r="X1373" s="216"/>
      <c r="Y1373" s="216"/>
      <c r="Z1373" s="216"/>
    </row>
    <row r="1374" spans="1:26" ht="15" customHeight="1">
      <c r="A1374" s="134" t="s">
        <v>138</v>
      </c>
      <c r="B1374" s="133" t="s">
        <v>105</v>
      </c>
      <c r="C1374" s="133" t="s">
        <v>9364</v>
      </c>
      <c r="D1374" s="100" t="s">
        <v>7790</v>
      </c>
      <c r="E1374" s="528">
        <f t="shared" si="161"/>
        <v>12.333333333333334</v>
      </c>
      <c r="F1374" s="528">
        <f>E1374*0.25*0.5</f>
        <v>1.5416666666666667</v>
      </c>
      <c r="G1374" s="338" t="s">
        <v>138</v>
      </c>
      <c r="H1374" s="216"/>
      <c r="I1374" s="216"/>
      <c r="J1374" s="216"/>
      <c r="K1374" s="216"/>
      <c r="L1374" s="216"/>
      <c r="M1374" s="216"/>
      <c r="N1374" s="216"/>
      <c r="O1374" s="216"/>
      <c r="P1374" s="216"/>
      <c r="Q1374" s="216"/>
      <c r="R1374" s="216"/>
      <c r="S1374" s="216"/>
      <c r="T1374" s="216"/>
      <c r="U1374" s="216"/>
      <c r="V1374" s="216"/>
      <c r="W1374" s="216"/>
      <c r="X1374" s="216"/>
      <c r="Y1374" s="216"/>
      <c r="Z1374" s="216"/>
    </row>
    <row r="1375" spans="1:26" ht="15" customHeight="1">
      <c r="A1375" s="134" t="s">
        <v>138</v>
      </c>
      <c r="B1375" s="133" t="s">
        <v>105</v>
      </c>
      <c r="C1375" s="133" t="s">
        <v>9365</v>
      </c>
      <c r="D1375" s="100" t="s">
        <v>7778</v>
      </c>
      <c r="E1375" s="528">
        <f t="shared" ref="E1375:E1380" si="162">12/3</f>
        <v>4</v>
      </c>
      <c r="F1375" s="528">
        <f>E1375</f>
        <v>4</v>
      </c>
      <c r="G1375" s="338" t="s">
        <v>138</v>
      </c>
      <c r="H1375" s="216"/>
      <c r="I1375" s="216"/>
      <c r="J1375" s="216"/>
      <c r="K1375" s="216"/>
      <c r="L1375" s="216"/>
      <c r="M1375" s="216"/>
      <c r="N1375" s="216"/>
      <c r="O1375" s="216"/>
      <c r="P1375" s="216"/>
      <c r="Q1375" s="216"/>
      <c r="R1375" s="216"/>
      <c r="S1375" s="216"/>
      <c r="T1375" s="216"/>
      <c r="U1375" s="216"/>
      <c r="V1375" s="216"/>
      <c r="W1375" s="216"/>
      <c r="X1375" s="216"/>
      <c r="Y1375" s="216"/>
      <c r="Z1375" s="216"/>
    </row>
    <row r="1376" spans="1:26" ht="15" customHeight="1">
      <c r="A1376" s="134" t="s">
        <v>138</v>
      </c>
      <c r="B1376" s="133" t="s">
        <v>105</v>
      </c>
      <c r="C1376" s="133" t="s">
        <v>9366</v>
      </c>
      <c r="D1376" s="100" t="s">
        <v>7790</v>
      </c>
      <c r="E1376" s="528">
        <f t="shared" si="162"/>
        <v>4</v>
      </c>
      <c r="F1376" s="528">
        <f>E1376*0.5</f>
        <v>2</v>
      </c>
      <c r="G1376" s="338" t="s">
        <v>138</v>
      </c>
      <c r="H1376" s="216"/>
      <c r="I1376" s="216"/>
      <c r="J1376" s="216"/>
      <c r="K1376" s="216"/>
      <c r="L1376" s="216"/>
      <c r="M1376" s="216"/>
      <c r="N1376" s="216"/>
      <c r="O1376" s="216"/>
      <c r="P1376" s="216"/>
      <c r="Q1376" s="216"/>
      <c r="R1376" s="216"/>
      <c r="S1376" s="216"/>
      <c r="T1376" s="216"/>
      <c r="U1376" s="216"/>
      <c r="V1376" s="216"/>
      <c r="W1376" s="216"/>
      <c r="X1376" s="216"/>
      <c r="Y1376" s="216"/>
      <c r="Z1376" s="216"/>
    </row>
    <row r="1377" spans="1:26" ht="15" customHeight="1">
      <c r="A1377" s="134" t="s">
        <v>138</v>
      </c>
      <c r="B1377" s="133" t="s">
        <v>105</v>
      </c>
      <c r="C1377" s="133" t="s">
        <v>9367</v>
      </c>
      <c r="D1377" s="100" t="s">
        <v>7790</v>
      </c>
      <c r="E1377" s="528">
        <f t="shared" si="162"/>
        <v>4</v>
      </c>
      <c r="F1377" s="528">
        <f>E1377*0.25*0.5</f>
        <v>0.5</v>
      </c>
      <c r="G1377" s="338" t="s">
        <v>138</v>
      </c>
      <c r="H1377" s="216"/>
      <c r="I1377" s="216"/>
      <c r="J1377" s="216"/>
      <c r="K1377" s="216"/>
      <c r="L1377" s="216"/>
      <c r="M1377" s="216"/>
      <c r="N1377" s="216"/>
      <c r="O1377" s="216"/>
      <c r="P1377" s="216"/>
      <c r="Q1377" s="216"/>
      <c r="R1377" s="216"/>
      <c r="S1377" s="216"/>
      <c r="T1377" s="216"/>
      <c r="U1377" s="216"/>
      <c r="V1377" s="216"/>
      <c r="W1377" s="216"/>
      <c r="X1377" s="216"/>
      <c r="Y1377" s="216"/>
      <c r="Z1377" s="216"/>
    </row>
    <row r="1378" spans="1:26" ht="15" customHeight="1">
      <c r="A1378" s="134" t="s">
        <v>138</v>
      </c>
      <c r="B1378" s="133" t="s">
        <v>105</v>
      </c>
      <c r="C1378" s="133" t="s">
        <v>9368</v>
      </c>
      <c r="D1378" s="100" t="s">
        <v>7778</v>
      </c>
      <c r="E1378" s="528">
        <f t="shared" si="162"/>
        <v>4</v>
      </c>
      <c r="F1378" s="528">
        <f>E1378</f>
        <v>4</v>
      </c>
      <c r="G1378" s="338" t="s">
        <v>138</v>
      </c>
      <c r="H1378" s="216"/>
      <c r="I1378" s="216"/>
      <c r="J1378" s="216"/>
      <c r="K1378" s="216"/>
      <c r="L1378" s="216"/>
      <c r="M1378" s="216"/>
      <c r="N1378" s="216"/>
      <c r="O1378" s="216"/>
      <c r="P1378" s="216"/>
      <c r="Q1378" s="216"/>
      <c r="R1378" s="216"/>
      <c r="S1378" s="216"/>
      <c r="T1378" s="216"/>
      <c r="U1378" s="216"/>
      <c r="V1378" s="216"/>
      <c r="W1378" s="216"/>
      <c r="X1378" s="216"/>
      <c r="Y1378" s="216"/>
      <c r="Z1378" s="216"/>
    </row>
    <row r="1379" spans="1:26" ht="15" customHeight="1">
      <c r="A1379" s="134" t="s">
        <v>138</v>
      </c>
      <c r="B1379" s="133" t="s">
        <v>105</v>
      </c>
      <c r="C1379" s="133" t="s">
        <v>9369</v>
      </c>
      <c r="D1379" s="100" t="s">
        <v>7790</v>
      </c>
      <c r="E1379" s="528">
        <f t="shared" si="162"/>
        <v>4</v>
      </c>
      <c r="F1379" s="528">
        <f>E1379*0.5</f>
        <v>2</v>
      </c>
      <c r="G1379" s="338" t="s">
        <v>138</v>
      </c>
      <c r="H1379" s="216"/>
      <c r="I1379" s="216"/>
      <c r="J1379" s="216"/>
      <c r="K1379" s="216"/>
      <c r="L1379" s="216"/>
      <c r="M1379" s="216"/>
      <c r="N1379" s="216"/>
      <c r="O1379" s="216"/>
      <c r="P1379" s="216"/>
      <c r="Q1379" s="216"/>
      <c r="R1379" s="216"/>
      <c r="S1379" s="216"/>
      <c r="T1379" s="216"/>
      <c r="U1379" s="216"/>
      <c r="V1379" s="216"/>
      <c r="W1379" s="216"/>
      <c r="X1379" s="216"/>
      <c r="Y1379" s="216"/>
      <c r="Z1379" s="216"/>
    </row>
    <row r="1380" spans="1:26" ht="15" customHeight="1">
      <c r="A1380" s="134" t="s">
        <v>138</v>
      </c>
      <c r="B1380" s="133" t="s">
        <v>105</v>
      </c>
      <c r="C1380" s="133" t="s">
        <v>9370</v>
      </c>
      <c r="D1380" s="100" t="s">
        <v>7790</v>
      </c>
      <c r="E1380" s="528">
        <f t="shared" si="162"/>
        <v>4</v>
      </c>
      <c r="F1380" s="528">
        <f>E1380*0.25*0.5</f>
        <v>0.5</v>
      </c>
      <c r="G1380" s="338" t="s">
        <v>138</v>
      </c>
      <c r="H1380" s="216"/>
      <c r="I1380" s="216"/>
      <c r="J1380" s="216"/>
      <c r="K1380" s="216"/>
      <c r="L1380" s="216"/>
      <c r="M1380" s="216"/>
      <c r="N1380" s="216"/>
      <c r="O1380" s="216"/>
      <c r="P1380" s="216"/>
      <c r="Q1380" s="216"/>
      <c r="R1380" s="216"/>
      <c r="S1380" s="216"/>
      <c r="T1380" s="216"/>
      <c r="U1380" s="216"/>
      <c r="V1380" s="216"/>
      <c r="W1380" s="216"/>
      <c r="X1380" s="216"/>
      <c r="Y1380" s="216"/>
      <c r="Z1380" s="216"/>
    </row>
    <row r="1381" spans="1:26" ht="15" customHeight="1">
      <c r="A1381" s="134" t="s">
        <v>138</v>
      </c>
      <c r="B1381" s="133" t="s">
        <v>105</v>
      </c>
      <c r="C1381" s="133" t="s">
        <v>9371</v>
      </c>
      <c r="D1381" s="100" t="s">
        <v>7778</v>
      </c>
      <c r="E1381" s="528">
        <f t="shared" ref="E1381:E1386" si="163">18/3</f>
        <v>6</v>
      </c>
      <c r="F1381" s="528">
        <f>E1381</f>
        <v>6</v>
      </c>
      <c r="G1381" s="338" t="s">
        <v>138</v>
      </c>
      <c r="H1381" s="216"/>
      <c r="I1381" s="216"/>
      <c r="J1381" s="216"/>
      <c r="K1381" s="216"/>
      <c r="L1381" s="216"/>
      <c r="M1381" s="216"/>
      <c r="N1381" s="216"/>
      <c r="O1381" s="216"/>
      <c r="P1381" s="216"/>
      <c r="Q1381" s="216"/>
      <c r="R1381" s="216"/>
      <c r="S1381" s="216"/>
      <c r="T1381" s="216"/>
      <c r="U1381" s="216"/>
      <c r="V1381" s="216"/>
      <c r="W1381" s="216"/>
      <c r="X1381" s="216"/>
      <c r="Y1381" s="216"/>
      <c r="Z1381" s="216"/>
    </row>
    <row r="1382" spans="1:26" ht="15" customHeight="1">
      <c r="A1382" s="134" t="s">
        <v>138</v>
      </c>
      <c r="B1382" s="133" t="s">
        <v>105</v>
      </c>
      <c r="C1382" s="133" t="s">
        <v>9372</v>
      </c>
      <c r="D1382" s="100" t="s">
        <v>7790</v>
      </c>
      <c r="E1382" s="528">
        <f t="shared" si="163"/>
        <v>6</v>
      </c>
      <c r="F1382" s="528">
        <f>E1382*0.5</f>
        <v>3</v>
      </c>
      <c r="G1382" s="338" t="s">
        <v>138</v>
      </c>
      <c r="H1382" s="216"/>
      <c r="I1382" s="216"/>
      <c r="J1382" s="216"/>
      <c r="K1382" s="216"/>
      <c r="L1382" s="216"/>
      <c r="M1382" s="216"/>
      <c r="N1382" s="216"/>
      <c r="O1382" s="216"/>
      <c r="P1382" s="216"/>
      <c r="Q1382" s="216"/>
      <c r="R1382" s="216"/>
      <c r="S1382" s="216"/>
      <c r="T1382" s="216"/>
      <c r="U1382" s="216"/>
      <c r="V1382" s="216"/>
      <c r="W1382" s="216"/>
      <c r="X1382" s="216"/>
      <c r="Y1382" s="216"/>
      <c r="Z1382" s="216"/>
    </row>
    <row r="1383" spans="1:26" ht="15" customHeight="1">
      <c r="A1383" s="134" t="s">
        <v>138</v>
      </c>
      <c r="B1383" s="133" t="s">
        <v>105</v>
      </c>
      <c r="C1383" s="133" t="s">
        <v>9373</v>
      </c>
      <c r="D1383" s="100" t="s">
        <v>7790</v>
      </c>
      <c r="E1383" s="528">
        <f t="shared" si="163"/>
        <v>6</v>
      </c>
      <c r="F1383" s="528">
        <f>E1383*0.25*0.5</f>
        <v>0.75</v>
      </c>
      <c r="G1383" s="338" t="s">
        <v>138</v>
      </c>
      <c r="H1383" s="216"/>
      <c r="I1383" s="216"/>
      <c r="J1383" s="216"/>
      <c r="K1383" s="216"/>
      <c r="L1383" s="216"/>
      <c r="M1383" s="216"/>
      <c r="N1383" s="216"/>
      <c r="O1383" s="216"/>
      <c r="P1383" s="216"/>
      <c r="Q1383" s="216"/>
      <c r="R1383" s="216"/>
      <c r="S1383" s="216"/>
      <c r="T1383" s="216"/>
      <c r="U1383" s="216"/>
      <c r="V1383" s="216"/>
      <c r="W1383" s="216"/>
      <c r="X1383" s="216"/>
      <c r="Y1383" s="216"/>
      <c r="Z1383" s="216"/>
    </row>
    <row r="1384" spans="1:26" ht="15" customHeight="1">
      <c r="A1384" s="134" t="s">
        <v>138</v>
      </c>
      <c r="B1384" s="133" t="s">
        <v>105</v>
      </c>
      <c r="C1384" s="133" t="s">
        <v>9374</v>
      </c>
      <c r="D1384" s="100" t="s">
        <v>7778</v>
      </c>
      <c r="E1384" s="528">
        <f t="shared" si="163"/>
        <v>6</v>
      </c>
      <c r="F1384" s="528">
        <f>E1384</f>
        <v>6</v>
      </c>
      <c r="G1384" s="338" t="s">
        <v>138</v>
      </c>
      <c r="H1384" s="216"/>
      <c r="I1384" s="216"/>
      <c r="J1384" s="216"/>
      <c r="K1384" s="216"/>
      <c r="L1384" s="216"/>
      <c r="M1384" s="216"/>
      <c r="N1384" s="216"/>
      <c r="O1384" s="216"/>
      <c r="P1384" s="216"/>
      <c r="Q1384" s="216"/>
      <c r="R1384" s="216"/>
      <c r="S1384" s="216"/>
      <c r="T1384" s="216"/>
      <c r="U1384" s="216"/>
      <c r="V1384" s="216"/>
      <c r="W1384" s="216"/>
      <c r="X1384" s="216"/>
      <c r="Y1384" s="216"/>
      <c r="Z1384" s="216"/>
    </row>
    <row r="1385" spans="1:26" ht="15" customHeight="1">
      <c r="A1385" s="134" t="s">
        <v>138</v>
      </c>
      <c r="B1385" s="133" t="s">
        <v>105</v>
      </c>
      <c r="C1385" s="133" t="s">
        <v>9375</v>
      </c>
      <c r="D1385" s="100" t="s">
        <v>7790</v>
      </c>
      <c r="E1385" s="528">
        <f t="shared" si="163"/>
        <v>6</v>
      </c>
      <c r="F1385" s="528">
        <f>E1385*0.5</f>
        <v>3</v>
      </c>
      <c r="G1385" s="338" t="s">
        <v>138</v>
      </c>
      <c r="H1385" s="216"/>
      <c r="I1385" s="216"/>
      <c r="J1385" s="216"/>
      <c r="K1385" s="216"/>
      <c r="L1385" s="216"/>
      <c r="M1385" s="216"/>
      <c r="N1385" s="216"/>
      <c r="O1385" s="216"/>
      <c r="P1385" s="216"/>
      <c r="Q1385" s="216"/>
      <c r="R1385" s="216"/>
      <c r="S1385" s="216"/>
      <c r="T1385" s="216"/>
      <c r="U1385" s="216"/>
      <c r="V1385" s="216"/>
      <c r="W1385" s="216"/>
      <c r="X1385" s="216"/>
      <c r="Y1385" s="216"/>
      <c r="Z1385" s="216"/>
    </row>
    <row r="1386" spans="1:26" ht="15" customHeight="1">
      <c r="A1386" s="134" t="s">
        <v>138</v>
      </c>
      <c r="B1386" s="133" t="s">
        <v>105</v>
      </c>
      <c r="C1386" s="133" t="s">
        <v>9376</v>
      </c>
      <c r="D1386" s="100" t="s">
        <v>7790</v>
      </c>
      <c r="E1386" s="528">
        <f t="shared" si="163"/>
        <v>6</v>
      </c>
      <c r="F1386" s="528">
        <f>E1386*0.25*0.5</f>
        <v>0.75</v>
      </c>
      <c r="G1386" s="338" t="s">
        <v>138</v>
      </c>
      <c r="H1386" s="216"/>
      <c r="I1386" s="216"/>
      <c r="J1386" s="216"/>
      <c r="K1386" s="216"/>
      <c r="L1386" s="216"/>
      <c r="M1386" s="216"/>
      <c r="N1386" s="216"/>
      <c r="O1386" s="216"/>
      <c r="P1386" s="216"/>
      <c r="Q1386" s="216"/>
      <c r="R1386" s="216"/>
      <c r="S1386" s="216"/>
      <c r="T1386" s="216"/>
      <c r="U1386" s="216"/>
      <c r="V1386" s="216"/>
      <c r="W1386" s="216"/>
      <c r="X1386" s="216"/>
      <c r="Y1386" s="216"/>
      <c r="Z1386" s="216"/>
    </row>
    <row r="1387" spans="1:26" ht="15" customHeight="1">
      <c r="A1387" s="134" t="s">
        <v>138</v>
      </c>
      <c r="B1387" s="133" t="s">
        <v>105</v>
      </c>
      <c r="C1387" s="133" t="s">
        <v>9377</v>
      </c>
      <c r="D1387" s="100" t="s">
        <v>7778</v>
      </c>
      <c r="E1387" s="528">
        <f t="shared" ref="E1387:E1392" si="164">27/3</f>
        <v>9</v>
      </c>
      <c r="F1387" s="528">
        <f>E1387</f>
        <v>9</v>
      </c>
      <c r="G1387" s="338" t="s">
        <v>138</v>
      </c>
      <c r="H1387" s="216"/>
      <c r="I1387" s="216"/>
      <c r="J1387" s="216"/>
      <c r="K1387" s="216"/>
      <c r="L1387" s="216"/>
      <c r="M1387" s="216"/>
      <c r="N1387" s="216"/>
      <c r="O1387" s="216"/>
      <c r="P1387" s="216"/>
      <c r="Q1387" s="216"/>
      <c r="R1387" s="216"/>
      <c r="S1387" s="216"/>
      <c r="T1387" s="216"/>
      <c r="U1387" s="216"/>
      <c r="V1387" s="216"/>
      <c r="W1387" s="216"/>
      <c r="X1387" s="216"/>
      <c r="Y1387" s="216"/>
      <c r="Z1387" s="216"/>
    </row>
    <row r="1388" spans="1:26" ht="15" customHeight="1">
      <c r="A1388" s="134" t="s">
        <v>138</v>
      </c>
      <c r="B1388" s="133" t="s">
        <v>105</v>
      </c>
      <c r="C1388" s="133" t="s">
        <v>9378</v>
      </c>
      <c r="D1388" s="100" t="s">
        <v>7790</v>
      </c>
      <c r="E1388" s="528">
        <f t="shared" si="164"/>
        <v>9</v>
      </c>
      <c r="F1388" s="528">
        <f>E1388*0.5</f>
        <v>4.5</v>
      </c>
      <c r="G1388" s="338" t="s">
        <v>138</v>
      </c>
      <c r="H1388" s="216"/>
      <c r="I1388" s="216"/>
      <c r="J1388" s="216"/>
      <c r="K1388" s="216"/>
      <c r="L1388" s="216"/>
      <c r="M1388" s="216"/>
      <c r="N1388" s="216"/>
      <c r="O1388" s="216"/>
      <c r="P1388" s="216"/>
      <c r="Q1388" s="216"/>
      <c r="R1388" s="216"/>
      <c r="S1388" s="216"/>
      <c r="T1388" s="216"/>
      <c r="U1388" s="216"/>
      <c r="V1388" s="216"/>
      <c r="W1388" s="216"/>
      <c r="X1388" s="216"/>
      <c r="Y1388" s="216"/>
      <c r="Z1388" s="216"/>
    </row>
    <row r="1389" spans="1:26" ht="15" customHeight="1">
      <c r="A1389" s="134" t="s">
        <v>138</v>
      </c>
      <c r="B1389" s="133" t="s">
        <v>105</v>
      </c>
      <c r="C1389" s="133" t="s">
        <v>9379</v>
      </c>
      <c r="D1389" s="100" t="s">
        <v>7790</v>
      </c>
      <c r="E1389" s="528">
        <f t="shared" si="164"/>
        <v>9</v>
      </c>
      <c r="F1389" s="528">
        <f>E1389*0.25*0.5</f>
        <v>1.125</v>
      </c>
      <c r="G1389" s="338" t="s">
        <v>138</v>
      </c>
      <c r="H1389" s="216"/>
      <c r="I1389" s="216"/>
      <c r="J1389" s="216"/>
      <c r="K1389" s="216"/>
      <c r="L1389" s="216"/>
      <c r="M1389" s="216"/>
      <c r="N1389" s="216"/>
      <c r="O1389" s="216"/>
      <c r="P1389" s="216"/>
      <c r="Q1389" s="216"/>
      <c r="R1389" s="216"/>
      <c r="S1389" s="216"/>
      <c r="T1389" s="216"/>
      <c r="U1389" s="216"/>
      <c r="V1389" s="216"/>
      <c r="W1389" s="216"/>
      <c r="X1389" s="216"/>
      <c r="Y1389" s="216"/>
      <c r="Z1389" s="216"/>
    </row>
    <row r="1390" spans="1:26" ht="15" customHeight="1">
      <c r="A1390" s="134" t="s">
        <v>138</v>
      </c>
      <c r="B1390" s="133" t="s">
        <v>105</v>
      </c>
      <c r="C1390" s="133" t="s">
        <v>9380</v>
      </c>
      <c r="D1390" s="100" t="s">
        <v>7778</v>
      </c>
      <c r="E1390" s="528">
        <f t="shared" si="164"/>
        <v>9</v>
      </c>
      <c r="F1390" s="528">
        <f>E1390</f>
        <v>9</v>
      </c>
      <c r="G1390" s="338" t="s">
        <v>138</v>
      </c>
      <c r="H1390" s="216"/>
      <c r="I1390" s="216"/>
      <c r="J1390" s="216"/>
      <c r="K1390" s="216"/>
      <c r="L1390" s="216"/>
      <c r="M1390" s="216"/>
      <c r="N1390" s="216"/>
      <c r="O1390" s="216"/>
      <c r="P1390" s="216"/>
      <c r="Q1390" s="216"/>
      <c r="R1390" s="216"/>
      <c r="S1390" s="216"/>
      <c r="T1390" s="216"/>
      <c r="U1390" s="216"/>
      <c r="V1390" s="216"/>
      <c r="W1390" s="216"/>
      <c r="X1390" s="216"/>
      <c r="Y1390" s="216"/>
      <c r="Z1390" s="216"/>
    </row>
    <row r="1391" spans="1:26" ht="15" customHeight="1">
      <c r="A1391" s="134" t="s">
        <v>138</v>
      </c>
      <c r="B1391" s="133" t="s">
        <v>105</v>
      </c>
      <c r="C1391" s="133" t="s">
        <v>9381</v>
      </c>
      <c r="D1391" s="100" t="s">
        <v>7790</v>
      </c>
      <c r="E1391" s="528">
        <f t="shared" si="164"/>
        <v>9</v>
      </c>
      <c r="F1391" s="528">
        <f>E1391*0.5</f>
        <v>4.5</v>
      </c>
      <c r="G1391" s="338" t="s">
        <v>138</v>
      </c>
      <c r="H1391" s="216"/>
      <c r="I1391" s="216"/>
      <c r="J1391" s="216"/>
      <c r="K1391" s="216"/>
      <c r="L1391" s="216"/>
      <c r="M1391" s="216"/>
      <c r="N1391" s="216"/>
      <c r="O1391" s="216"/>
      <c r="P1391" s="216"/>
      <c r="Q1391" s="216"/>
      <c r="R1391" s="216"/>
      <c r="S1391" s="216"/>
      <c r="T1391" s="216"/>
      <c r="U1391" s="216"/>
      <c r="V1391" s="216"/>
      <c r="W1391" s="216"/>
      <c r="X1391" s="216"/>
      <c r="Y1391" s="216"/>
      <c r="Z1391" s="216"/>
    </row>
    <row r="1392" spans="1:26" ht="15" customHeight="1">
      <c r="A1392" s="134" t="s">
        <v>138</v>
      </c>
      <c r="B1392" s="133" t="s">
        <v>105</v>
      </c>
      <c r="C1392" s="133" t="s">
        <v>9382</v>
      </c>
      <c r="D1392" s="100" t="s">
        <v>7790</v>
      </c>
      <c r="E1392" s="528">
        <f t="shared" si="164"/>
        <v>9</v>
      </c>
      <c r="F1392" s="528">
        <f>E1392*0.25*0.5</f>
        <v>1.125</v>
      </c>
      <c r="G1392" s="338" t="s">
        <v>138</v>
      </c>
      <c r="H1392" s="216"/>
      <c r="I1392" s="216"/>
      <c r="J1392" s="216"/>
      <c r="K1392" s="216"/>
      <c r="L1392" s="216"/>
      <c r="M1392" s="216"/>
      <c r="N1392" s="216"/>
      <c r="O1392" s="216"/>
      <c r="P1392" s="216"/>
      <c r="Q1392" s="216"/>
      <c r="R1392" s="216"/>
      <c r="S1392" s="216"/>
      <c r="T1392" s="216"/>
      <c r="U1392" s="216"/>
      <c r="V1392" s="216"/>
      <c r="W1392" s="216"/>
      <c r="X1392" s="216"/>
      <c r="Y1392" s="216"/>
      <c r="Z1392" s="216"/>
    </row>
    <row r="1393" spans="1:26" ht="15" customHeight="1">
      <c r="A1393" s="134" t="s">
        <v>111</v>
      </c>
      <c r="B1393" s="133" t="s">
        <v>8972</v>
      </c>
      <c r="C1393" s="133" t="s">
        <v>9383</v>
      </c>
      <c r="D1393" s="116" t="s">
        <v>7778</v>
      </c>
      <c r="E1393" s="528">
        <f t="shared" ref="E1393:E1394" si="165">47/3</f>
        <v>15.666666666666666</v>
      </c>
      <c r="F1393" s="528">
        <f t="shared" ref="F1393:F1431" si="166">E1393</f>
        <v>15.666666666666666</v>
      </c>
      <c r="G1393" s="338" t="s">
        <v>111</v>
      </c>
      <c r="H1393" s="216"/>
      <c r="I1393" s="216"/>
      <c r="J1393" s="216"/>
      <c r="K1393" s="216"/>
      <c r="L1393" s="216"/>
      <c r="M1393" s="216"/>
      <c r="N1393" s="216"/>
      <c r="O1393" s="216"/>
      <c r="P1393" s="216"/>
      <c r="Q1393" s="216"/>
      <c r="R1393" s="216"/>
      <c r="S1393" s="216"/>
      <c r="T1393" s="216"/>
      <c r="U1393" s="216"/>
      <c r="V1393" s="216"/>
      <c r="W1393" s="216"/>
      <c r="X1393" s="216"/>
      <c r="Y1393" s="216"/>
      <c r="Z1393" s="216"/>
    </row>
    <row r="1394" spans="1:26" ht="15" customHeight="1">
      <c r="A1394" s="134" t="s">
        <v>111</v>
      </c>
      <c r="B1394" s="133" t="s">
        <v>8972</v>
      </c>
      <c r="C1394" s="133" t="s">
        <v>9384</v>
      </c>
      <c r="D1394" s="116" t="s">
        <v>7778</v>
      </c>
      <c r="E1394" s="528">
        <f t="shared" si="165"/>
        <v>15.666666666666666</v>
      </c>
      <c r="F1394" s="528">
        <f t="shared" si="166"/>
        <v>15.666666666666666</v>
      </c>
      <c r="G1394" s="338" t="s">
        <v>111</v>
      </c>
      <c r="H1394" s="216"/>
      <c r="I1394" s="216"/>
      <c r="J1394" s="216"/>
      <c r="K1394" s="216"/>
      <c r="L1394" s="216"/>
      <c r="M1394" s="216"/>
      <c r="N1394" s="216"/>
      <c r="O1394" s="216"/>
      <c r="P1394" s="216"/>
      <c r="Q1394" s="216"/>
      <c r="R1394" s="216"/>
      <c r="S1394" s="216"/>
      <c r="T1394" s="216"/>
      <c r="U1394" s="216"/>
      <c r="V1394" s="216"/>
      <c r="W1394" s="216"/>
      <c r="X1394" s="216"/>
      <c r="Y1394" s="216"/>
      <c r="Z1394" s="216"/>
    </row>
    <row r="1395" spans="1:26" ht="15" customHeight="1">
      <c r="A1395" s="134" t="s">
        <v>111</v>
      </c>
      <c r="B1395" s="133" t="s">
        <v>8972</v>
      </c>
      <c r="C1395" s="133" t="s">
        <v>9385</v>
      </c>
      <c r="D1395" s="116" t="s">
        <v>7778</v>
      </c>
      <c r="E1395" s="528">
        <f>11/3</f>
        <v>3.6666666666666665</v>
      </c>
      <c r="F1395" s="528">
        <f t="shared" si="166"/>
        <v>3.6666666666666665</v>
      </c>
      <c r="G1395" s="338" t="s">
        <v>111</v>
      </c>
      <c r="H1395" s="216"/>
      <c r="I1395" s="216"/>
      <c r="J1395" s="216"/>
      <c r="K1395" s="216"/>
      <c r="L1395" s="216"/>
      <c r="M1395" s="216"/>
      <c r="N1395" s="216"/>
      <c r="O1395" s="216"/>
      <c r="P1395" s="216"/>
      <c r="Q1395" s="216"/>
      <c r="R1395" s="216"/>
      <c r="S1395" s="216"/>
      <c r="T1395" s="216"/>
      <c r="U1395" s="216"/>
      <c r="V1395" s="216"/>
      <c r="W1395" s="216"/>
      <c r="X1395" s="216"/>
      <c r="Y1395" s="216"/>
      <c r="Z1395" s="216"/>
    </row>
    <row r="1396" spans="1:26" ht="15" customHeight="1">
      <c r="A1396" s="134" t="s">
        <v>111</v>
      </c>
      <c r="B1396" s="133" t="s">
        <v>8972</v>
      </c>
      <c r="C1396" s="133" t="s">
        <v>9386</v>
      </c>
      <c r="D1396" s="116" t="s">
        <v>7778</v>
      </c>
      <c r="E1396" s="528">
        <f>4/3</f>
        <v>1.3333333333333333</v>
      </c>
      <c r="F1396" s="528">
        <f t="shared" si="166"/>
        <v>1.3333333333333333</v>
      </c>
      <c r="G1396" s="338" t="s">
        <v>111</v>
      </c>
      <c r="H1396" s="216"/>
      <c r="I1396" s="216"/>
      <c r="J1396" s="216"/>
      <c r="K1396" s="216"/>
      <c r="L1396" s="216"/>
      <c r="M1396" s="216"/>
      <c r="N1396" s="216"/>
      <c r="O1396" s="216"/>
      <c r="P1396" s="216"/>
      <c r="Q1396" s="216"/>
      <c r="R1396" s="216"/>
      <c r="S1396" s="216"/>
      <c r="T1396" s="216"/>
      <c r="U1396" s="216"/>
      <c r="V1396" s="216"/>
      <c r="W1396" s="216"/>
      <c r="X1396" s="216"/>
      <c r="Y1396" s="216"/>
      <c r="Z1396" s="216"/>
    </row>
    <row r="1397" spans="1:26" ht="15" customHeight="1">
      <c r="A1397" s="134" t="s">
        <v>111</v>
      </c>
      <c r="B1397" s="133" t="s">
        <v>8972</v>
      </c>
      <c r="C1397" s="133" t="s">
        <v>9387</v>
      </c>
      <c r="D1397" s="116" t="s">
        <v>7778</v>
      </c>
      <c r="E1397" s="528">
        <f t="shared" ref="E1397:E1398" si="167">9/3</f>
        <v>3</v>
      </c>
      <c r="F1397" s="528">
        <f t="shared" si="166"/>
        <v>3</v>
      </c>
      <c r="G1397" s="338" t="s">
        <v>111</v>
      </c>
      <c r="H1397" s="216"/>
      <c r="I1397" s="216"/>
      <c r="J1397" s="216"/>
      <c r="K1397" s="216"/>
      <c r="L1397" s="216"/>
      <c r="M1397" s="216"/>
      <c r="N1397" s="216"/>
      <c r="O1397" s="216"/>
      <c r="P1397" s="216"/>
      <c r="Q1397" s="216"/>
      <c r="R1397" s="216"/>
      <c r="S1397" s="216"/>
      <c r="T1397" s="216"/>
      <c r="U1397" s="216"/>
      <c r="V1397" s="216"/>
      <c r="W1397" s="216"/>
      <c r="X1397" s="216"/>
      <c r="Y1397" s="216"/>
      <c r="Z1397" s="216"/>
    </row>
    <row r="1398" spans="1:26" ht="15" customHeight="1">
      <c r="A1398" s="134" t="s">
        <v>111</v>
      </c>
      <c r="B1398" s="133" t="s">
        <v>8972</v>
      </c>
      <c r="C1398" s="133" t="s">
        <v>9388</v>
      </c>
      <c r="D1398" s="116" t="s">
        <v>7778</v>
      </c>
      <c r="E1398" s="528">
        <f t="shared" si="167"/>
        <v>3</v>
      </c>
      <c r="F1398" s="528">
        <f t="shared" si="166"/>
        <v>3</v>
      </c>
      <c r="G1398" s="338" t="s">
        <v>111</v>
      </c>
      <c r="H1398" s="216"/>
      <c r="I1398" s="216"/>
      <c r="J1398" s="216"/>
      <c r="K1398" s="216"/>
      <c r="L1398" s="216"/>
      <c r="M1398" s="216"/>
      <c r="N1398" s="216"/>
      <c r="O1398" s="216"/>
      <c r="P1398" s="216"/>
      <c r="Q1398" s="216"/>
      <c r="R1398" s="216"/>
      <c r="S1398" s="216"/>
      <c r="T1398" s="216"/>
      <c r="U1398" s="216"/>
      <c r="V1398" s="216"/>
      <c r="W1398" s="216"/>
      <c r="X1398" s="216"/>
      <c r="Y1398" s="216"/>
      <c r="Z1398" s="216"/>
    </row>
    <row r="1399" spans="1:26" ht="15" customHeight="1">
      <c r="A1399" s="134" t="s">
        <v>111</v>
      </c>
      <c r="B1399" s="133" t="s">
        <v>8972</v>
      </c>
      <c r="C1399" s="133" t="s">
        <v>9389</v>
      </c>
      <c r="D1399" s="116" t="s">
        <v>7778</v>
      </c>
      <c r="E1399" s="528">
        <f>2/3</f>
        <v>0.66666666666666663</v>
      </c>
      <c r="F1399" s="528">
        <f t="shared" si="166"/>
        <v>0.66666666666666663</v>
      </c>
      <c r="G1399" s="338" t="s">
        <v>111</v>
      </c>
      <c r="H1399" s="216"/>
      <c r="I1399" s="216"/>
      <c r="J1399" s="216"/>
      <c r="K1399" s="216"/>
      <c r="L1399" s="216"/>
      <c r="M1399" s="216"/>
      <c r="N1399" s="216"/>
      <c r="O1399" s="216"/>
      <c r="P1399" s="216"/>
      <c r="Q1399" s="216"/>
      <c r="R1399" s="216"/>
      <c r="S1399" s="216"/>
      <c r="T1399" s="216"/>
      <c r="U1399" s="216"/>
      <c r="V1399" s="216"/>
      <c r="W1399" s="216"/>
      <c r="X1399" s="216"/>
      <c r="Y1399" s="216"/>
      <c r="Z1399" s="216"/>
    </row>
    <row r="1400" spans="1:26" ht="15" customHeight="1">
      <c r="A1400" s="134" t="s">
        <v>111</v>
      </c>
      <c r="B1400" s="133" t="s">
        <v>8972</v>
      </c>
      <c r="C1400" s="133" t="s">
        <v>9390</v>
      </c>
      <c r="D1400" s="116" t="s">
        <v>7778</v>
      </c>
      <c r="E1400" s="528">
        <f>0/3</f>
        <v>0</v>
      </c>
      <c r="F1400" s="528">
        <f t="shared" si="166"/>
        <v>0</v>
      </c>
      <c r="G1400" s="338" t="s">
        <v>111</v>
      </c>
      <c r="H1400" s="216"/>
      <c r="I1400" s="216"/>
      <c r="J1400" s="216"/>
      <c r="K1400" s="216"/>
      <c r="L1400" s="216"/>
      <c r="M1400" s="216"/>
      <c r="N1400" s="216"/>
      <c r="O1400" s="216"/>
      <c r="P1400" s="216"/>
      <c r="Q1400" s="216"/>
      <c r="R1400" s="216"/>
      <c r="S1400" s="216"/>
      <c r="T1400" s="216"/>
      <c r="U1400" s="216"/>
      <c r="V1400" s="216"/>
      <c r="W1400" s="216"/>
      <c r="X1400" s="216"/>
      <c r="Y1400" s="216"/>
      <c r="Z1400" s="216"/>
    </row>
    <row r="1401" spans="1:26" ht="15" customHeight="1">
      <c r="A1401" s="134" t="s">
        <v>111</v>
      </c>
      <c r="B1401" s="133" t="s">
        <v>8972</v>
      </c>
      <c r="C1401" s="133" t="s">
        <v>9391</v>
      </c>
      <c r="D1401" s="116" t="s">
        <v>7778</v>
      </c>
      <c r="E1401" s="528">
        <f t="shared" ref="E1401:E1402" si="168">53/3</f>
        <v>17.666666666666668</v>
      </c>
      <c r="F1401" s="528">
        <f t="shared" si="166"/>
        <v>17.666666666666668</v>
      </c>
      <c r="G1401" s="338" t="s">
        <v>111</v>
      </c>
      <c r="H1401" s="216"/>
      <c r="I1401" s="216"/>
      <c r="J1401" s="216"/>
      <c r="K1401" s="216"/>
      <c r="L1401" s="216"/>
      <c r="M1401" s="216"/>
      <c r="N1401" s="216"/>
      <c r="O1401" s="216"/>
      <c r="P1401" s="216"/>
      <c r="Q1401" s="216"/>
      <c r="R1401" s="216"/>
      <c r="S1401" s="216"/>
      <c r="T1401" s="216"/>
      <c r="U1401" s="216"/>
      <c r="V1401" s="216"/>
      <c r="W1401" s="216"/>
      <c r="X1401" s="216"/>
      <c r="Y1401" s="216"/>
      <c r="Z1401" s="216"/>
    </row>
    <row r="1402" spans="1:26" ht="15" customHeight="1">
      <c r="A1402" s="134" t="s">
        <v>111</v>
      </c>
      <c r="B1402" s="133" t="s">
        <v>8972</v>
      </c>
      <c r="C1402" s="133" t="s">
        <v>9392</v>
      </c>
      <c r="D1402" s="116" t="s">
        <v>7778</v>
      </c>
      <c r="E1402" s="528">
        <f t="shared" si="168"/>
        <v>17.666666666666668</v>
      </c>
      <c r="F1402" s="528">
        <f t="shared" si="166"/>
        <v>17.666666666666668</v>
      </c>
      <c r="G1402" s="338" t="s">
        <v>111</v>
      </c>
      <c r="H1402" s="216"/>
      <c r="I1402" s="216"/>
      <c r="J1402" s="216"/>
      <c r="K1402" s="216"/>
      <c r="L1402" s="216"/>
      <c r="M1402" s="216"/>
      <c r="N1402" s="216"/>
      <c r="O1402" s="216"/>
      <c r="P1402" s="216"/>
      <c r="Q1402" s="216"/>
      <c r="R1402" s="216"/>
      <c r="S1402" s="216"/>
      <c r="T1402" s="216"/>
      <c r="U1402" s="216"/>
      <c r="V1402" s="216"/>
      <c r="W1402" s="216"/>
      <c r="X1402" s="216"/>
      <c r="Y1402" s="216"/>
      <c r="Z1402" s="216"/>
    </row>
    <row r="1403" spans="1:26" ht="15" customHeight="1">
      <c r="A1403" s="134" t="s">
        <v>111</v>
      </c>
      <c r="B1403" s="133" t="s">
        <v>8972</v>
      </c>
      <c r="C1403" s="133" t="s">
        <v>9393</v>
      </c>
      <c r="D1403" s="116" t="s">
        <v>7778</v>
      </c>
      <c r="E1403" s="528">
        <f>13/3</f>
        <v>4.333333333333333</v>
      </c>
      <c r="F1403" s="528">
        <f t="shared" si="166"/>
        <v>4.333333333333333</v>
      </c>
      <c r="G1403" s="338" t="s">
        <v>111</v>
      </c>
      <c r="H1403" s="216"/>
      <c r="I1403" s="216"/>
      <c r="J1403" s="216"/>
      <c r="K1403" s="216"/>
      <c r="L1403" s="216"/>
      <c r="M1403" s="216"/>
      <c r="N1403" s="216"/>
      <c r="O1403" s="216"/>
      <c r="P1403" s="216"/>
      <c r="Q1403" s="216"/>
      <c r="R1403" s="216"/>
      <c r="S1403" s="216"/>
      <c r="T1403" s="216"/>
      <c r="U1403" s="216"/>
      <c r="V1403" s="216"/>
      <c r="W1403" s="216"/>
      <c r="X1403" s="216"/>
      <c r="Y1403" s="216"/>
      <c r="Z1403" s="216"/>
    </row>
    <row r="1404" spans="1:26" ht="15" customHeight="1">
      <c r="A1404" s="134" t="s">
        <v>111</v>
      </c>
      <c r="B1404" s="133" t="s">
        <v>8972</v>
      </c>
      <c r="C1404" s="133" t="s">
        <v>9394</v>
      </c>
      <c r="D1404" s="116" t="s">
        <v>7778</v>
      </c>
      <c r="E1404" s="528">
        <f>5/3</f>
        <v>1.6666666666666667</v>
      </c>
      <c r="F1404" s="528">
        <f t="shared" si="166"/>
        <v>1.6666666666666667</v>
      </c>
      <c r="G1404" s="338" t="s">
        <v>111</v>
      </c>
      <c r="H1404" s="216"/>
      <c r="I1404" s="216"/>
      <c r="J1404" s="216"/>
      <c r="K1404" s="216"/>
      <c r="L1404" s="216"/>
      <c r="M1404" s="216"/>
      <c r="N1404" s="216"/>
      <c r="O1404" s="216"/>
      <c r="P1404" s="216"/>
      <c r="Q1404" s="216"/>
      <c r="R1404" s="216"/>
      <c r="S1404" s="216"/>
      <c r="T1404" s="216"/>
      <c r="U1404" s="216"/>
      <c r="V1404" s="216"/>
      <c r="W1404" s="216"/>
      <c r="X1404" s="216"/>
      <c r="Y1404" s="216"/>
      <c r="Z1404" s="216"/>
    </row>
    <row r="1405" spans="1:26" ht="15" customHeight="1">
      <c r="A1405" s="134" t="s">
        <v>111</v>
      </c>
      <c r="B1405" s="133" t="s">
        <v>8972</v>
      </c>
      <c r="C1405" s="133" t="s">
        <v>9395</v>
      </c>
      <c r="D1405" s="116" t="s">
        <v>7778</v>
      </c>
      <c r="E1405" s="528">
        <f>13/3</f>
        <v>4.333333333333333</v>
      </c>
      <c r="F1405" s="528">
        <f t="shared" si="166"/>
        <v>4.333333333333333</v>
      </c>
      <c r="G1405" s="338" t="s">
        <v>111</v>
      </c>
      <c r="H1405" s="216"/>
      <c r="I1405" s="216"/>
      <c r="J1405" s="216"/>
      <c r="K1405" s="216"/>
      <c r="L1405" s="216"/>
      <c r="M1405" s="216"/>
      <c r="N1405" s="216"/>
      <c r="O1405" s="216"/>
      <c r="P1405" s="216"/>
      <c r="Q1405" s="216"/>
      <c r="R1405" s="216"/>
      <c r="S1405" s="216"/>
      <c r="T1405" s="216"/>
      <c r="U1405" s="216"/>
      <c r="V1405" s="216"/>
      <c r="W1405" s="216"/>
      <c r="X1405" s="216"/>
      <c r="Y1405" s="216"/>
      <c r="Z1405" s="216"/>
    </row>
    <row r="1406" spans="1:26" ht="15" customHeight="1">
      <c r="A1406" s="134" t="s">
        <v>111</v>
      </c>
      <c r="B1406" s="133" t="s">
        <v>8972</v>
      </c>
      <c r="C1406" s="133" t="s">
        <v>9396</v>
      </c>
      <c r="D1406" s="116" t="s">
        <v>7778</v>
      </c>
      <c r="E1406" s="528">
        <f t="shared" ref="E1406:E1407" si="169">48/3</f>
        <v>16</v>
      </c>
      <c r="F1406" s="528">
        <f t="shared" si="166"/>
        <v>16</v>
      </c>
      <c r="G1406" s="338" t="s">
        <v>111</v>
      </c>
      <c r="H1406" s="216"/>
      <c r="I1406" s="216"/>
      <c r="J1406" s="216"/>
      <c r="K1406" s="216"/>
      <c r="L1406" s="216"/>
      <c r="M1406" s="216"/>
      <c r="N1406" s="216"/>
      <c r="O1406" s="216"/>
      <c r="P1406" s="216"/>
      <c r="Q1406" s="216"/>
      <c r="R1406" s="216"/>
      <c r="S1406" s="216"/>
      <c r="T1406" s="216"/>
      <c r="U1406" s="216"/>
      <c r="V1406" s="216"/>
      <c r="W1406" s="216"/>
      <c r="X1406" s="216"/>
      <c r="Y1406" s="216"/>
      <c r="Z1406" s="216"/>
    </row>
    <row r="1407" spans="1:26" ht="15" customHeight="1">
      <c r="A1407" s="134" t="s">
        <v>111</v>
      </c>
      <c r="B1407" s="133" t="s">
        <v>8972</v>
      </c>
      <c r="C1407" s="133" t="s">
        <v>9397</v>
      </c>
      <c r="D1407" s="116" t="s">
        <v>7778</v>
      </c>
      <c r="E1407" s="528">
        <f t="shared" si="169"/>
        <v>16</v>
      </c>
      <c r="F1407" s="528">
        <f t="shared" si="166"/>
        <v>16</v>
      </c>
      <c r="G1407" s="338" t="s">
        <v>111</v>
      </c>
      <c r="H1407" s="216"/>
      <c r="I1407" s="216"/>
      <c r="J1407" s="216"/>
      <c r="K1407" s="216"/>
      <c r="L1407" s="216"/>
      <c r="M1407" s="216"/>
      <c r="N1407" s="216"/>
      <c r="O1407" s="216"/>
      <c r="P1407" s="216"/>
      <c r="Q1407" s="216"/>
      <c r="R1407" s="216"/>
      <c r="S1407" s="216"/>
      <c r="T1407" s="216"/>
      <c r="U1407" s="216"/>
      <c r="V1407" s="216"/>
      <c r="W1407" s="216"/>
      <c r="X1407" s="216"/>
      <c r="Y1407" s="216"/>
      <c r="Z1407" s="216"/>
    </row>
    <row r="1408" spans="1:26" ht="15" customHeight="1">
      <c r="A1408" s="134" t="s">
        <v>111</v>
      </c>
      <c r="B1408" s="133" t="s">
        <v>8972</v>
      </c>
      <c r="C1408" s="133" t="s">
        <v>9398</v>
      </c>
      <c r="D1408" s="116" t="s">
        <v>7778</v>
      </c>
      <c r="E1408" s="528">
        <f>12/3</f>
        <v>4</v>
      </c>
      <c r="F1408" s="528">
        <f t="shared" si="166"/>
        <v>4</v>
      </c>
      <c r="G1408" s="338" t="s">
        <v>111</v>
      </c>
      <c r="H1408" s="216"/>
      <c r="I1408" s="216"/>
      <c r="J1408" s="216"/>
      <c r="K1408" s="216"/>
      <c r="L1408" s="216"/>
      <c r="M1408" s="216"/>
      <c r="N1408" s="216"/>
      <c r="O1408" s="216"/>
      <c r="P1408" s="216"/>
      <c r="Q1408" s="216"/>
      <c r="R1408" s="216"/>
      <c r="S1408" s="216"/>
      <c r="T1408" s="216"/>
      <c r="U1408" s="216"/>
      <c r="V1408" s="216"/>
      <c r="W1408" s="216"/>
      <c r="X1408" s="216"/>
      <c r="Y1408" s="216"/>
      <c r="Z1408" s="216"/>
    </row>
    <row r="1409" spans="1:26" ht="15" customHeight="1">
      <c r="A1409" s="134" t="s">
        <v>111</v>
      </c>
      <c r="B1409" s="133" t="s">
        <v>8972</v>
      </c>
      <c r="C1409" s="133" t="s">
        <v>9399</v>
      </c>
      <c r="D1409" s="116" t="s">
        <v>7778</v>
      </c>
      <c r="E1409" s="528">
        <f>4/3</f>
        <v>1.3333333333333333</v>
      </c>
      <c r="F1409" s="528">
        <f t="shared" si="166"/>
        <v>1.3333333333333333</v>
      </c>
      <c r="G1409" s="338" t="s">
        <v>111</v>
      </c>
      <c r="H1409" s="216"/>
      <c r="I1409" s="216"/>
      <c r="J1409" s="216"/>
      <c r="K1409" s="216"/>
      <c r="L1409" s="216"/>
      <c r="M1409" s="216"/>
      <c r="N1409" s="216"/>
      <c r="O1409" s="216"/>
      <c r="P1409" s="216"/>
      <c r="Q1409" s="216"/>
      <c r="R1409" s="216"/>
      <c r="S1409" s="216"/>
      <c r="T1409" s="216"/>
      <c r="U1409" s="216"/>
      <c r="V1409" s="216"/>
      <c r="W1409" s="216"/>
      <c r="X1409" s="216"/>
      <c r="Y1409" s="216"/>
      <c r="Z1409" s="216"/>
    </row>
    <row r="1410" spans="1:26" ht="15" customHeight="1">
      <c r="A1410" s="134" t="s">
        <v>111</v>
      </c>
      <c r="B1410" s="133" t="s">
        <v>8972</v>
      </c>
      <c r="C1410" s="133" t="s">
        <v>9400</v>
      </c>
      <c r="D1410" s="116" t="s">
        <v>7778</v>
      </c>
      <c r="E1410" s="528">
        <f>41*2/3</f>
        <v>27.333333333333332</v>
      </c>
      <c r="F1410" s="528">
        <f t="shared" si="166"/>
        <v>27.333333333333332</v>
      </c>
      <c r="G1410" s="338" t="s">
        <v>111</v>
      </c>
      <c r="H1410" s="216"/>
      <c r="I1410" s="216"/>
      <c r="J1410" s="216"/>
      <c r="K1410" s="216"/>
      <c r="L1410" s="216"/>
      <c r="M1410" s="216"/>
      <c r="N1410" s="216"/>
      <c r="O1410" s="216"/>
      <c r="P1410" s="216"/>
      <c r="Q1410" s="216"/>
      <c r="R1410" s="216"/>
      <c r="S1410" s="216"/>
      <c r="T1410" s="216"/>
      <c r="U1410" s="216"/>
      <c r="V1410" s="216"/>
      <c r="W1410" s="216"/>
      <c r="X1410" s="216"/>
      <c r="Y1410" s="216"/>
      <c r="Z1410" s="216"/>
    </row>
    <row r="1411" spans="1:26" ht="15" customHeight="1">
      <c r="A1411" s="134" t="s">
        <v>111</v>
      </c>
      <c r="B1411" s="133" t="s">
        <v>8972</v>
      </c>
      <c r="C1411" s="133" t="s">
        <v>9401</v>
      </c>
      <c r="D1411" s="116" t="s">
        <v>7778</v>
      </c>
      <c r="E1411" s="528">
        <f>3*2/3</f>
        <v>2</v>
      </c>
      <c r="F1411" s="528">
        <f t="shared" si="166"/>
        <v>2</v>
      </c>
      <c r="G1411" s="338" t="s">
        <v>111</v>
      </c>
      <c r="H1411" s="216"/>
      <c r="I1411" s="216"/>
      <c r="J1411" s="216"/>
      <c r="K1411" s="216"/>
      <c r="L1411" s="216"/>
      <c r="M1411" s="216"/>
      <c r="N1411" s="216"/>
      <c r="O1411" s="216"/>
      <c r="P1411" s="216"/>
      <c r="Q1411" s="216"/>
      <c r="R1411" s="216"/>
      <c r="S1411" s="216"/>
      <c r="T1411" s="216"/>
      <c r="U1411" s="216"/>
      <c r="V1411" s="216"/>
      <c r="W1411" s="216"/>
      <c r="X1411" s="216"/>
      <c r="Y1411" s="216"/>
      <c r="Z1411" s="216"/>
    </row>
    <row r="1412" spans="1:26" ht="15" customHeight="1">
      <c r="A1412" s="134" t="s">
        <v>111</v>
      </c>
      <c r="B1412" s="133" t="s">
        <v>8972</v>
      </c>
      <c r="C1412" s="133" t="s">
        <v>9402</v>
      </c>
      <c r="D1412" s="116" t="s">
        <v>7778</v>
      </c>
      <c r="E1412" s="528">
        <f>17*3/3</f>
        <v>17</v>
      </c>
      <c r="F1412" s="528">
        <f t="shared" si="166"/>
        <v>17</v>
      </c>
      <c r="G1412" s="338" t="s">
        <v>111</v>
      </c>
      <c r="H1412" s="216"/>
      <c r="I1412" s="216"/>
      <c r="J1412" s="216"/>
      <c r="K1412" s="216"/>
      <c r="L1412" s="216"/>
      <c r="M1412" s="216"/>
      <c r="N1412" s="216"/>
      <c r="O1412" s="216"/>
      <c r="P1412" s="216"/>
      <c r="Q1412" s="216"/>
      <c r="R1412" s="216"/>
      <c r="S1412" s="216"/>
      <c r="T1412" s="216"/>
      <c r="U1412" s="216"/>
      <c r="V1412" s="216"/>
      <c r="W1412" s="216"/>
      <c r="X1412" s="216"/>
      <c r="Y1412" s="216"/>
      <c r="Z1412" s="216"/>
    </row>
    <row r="1413" spans="1:26" ht="15" customHeight="1">
      <c r="A1413" s="134" t="s">
        <v>111</v>
      </c>
      <c r="B1413" s="133" t="s">
        <v>8972</v>
      </c>
      <c r="C1413" s="133" t="s">
        <v>9403</v>
      </c>
      <c r="D1413" s="116" t="s">
        <v>7778</v>
      </c>
      <c r="E1413" s="528">
        <f>2*3/3</f>
        <v>2</v>
      </c>
      <c r="F1413" s="528">
        <f t="shared" si="166"/>
        <v>2</v>
      </c>
      <c r="G1413" s="338" t="s">
        <v>111</v>
      </c>
      <c r="H1413" s="216"/>
      <c r="I1413" s="216"/>
      <c r="J1413" s="216"/>
      <c r="K1413" s="216"/>
      <c r="L1413" s="216"/>
      <c r="M1413" s="216"/>
      <c r="N1413" s="216"/>
      <c r="O1413" s="216"/>
      <c r="P1413" s="216"/>
      <c r="Q1413" s="216"/>
      <c r="R1413" s="216"/>
      <c r="S1413" s="216"/>
      <c r="T1413" s="216"/>
      <c r="U1413" s="216"/>
      <c r="V1413" s="216"/>
      <c r="W1413" s="216"/>
      <c r="X1413" s="216"/>
      <c r="Y1413" s="216"/>
      <c r="Z1413" s="216"/>
    </row>
    <row r="1414" spans="1:26" ht="15" customHeight="1">
      <c r="A1414" s="134" t="s">
        <v>111</v>
      </c>
      <c r="B1414" s="133" t="s">
        <v>8972</v>
      </c>
      <c r="C1414" s="133" t="s">
        <v>9404</v>
      </c>
      <c r="D1414" s="116" t="s">
        <v>7778</v>
      </c>
      <c r="E1414" s="528">
        <f>1*3/3</f>
        <v>1</v>
      </c>
      <c r="F1414" s="528">
        <f t="shared" si="166"/>
        <v>1</v>
      </c>
      <c r="G1414" s="338" t="s">
        <v>111</v>
      </c>
      <c r="H1414" s="216"/>
      <c r="I1414" s="216"/>
      <c r="J1414" s="216"/>
      <c r="K1414" s="216"/>
      <c r="L1414" s="216"/>
      <c r="M1414" s="216"/>
      <c r="N1414" s="216"/>
      <c r="O1414" s="216"/>
      <c r="P1414" s="216"/>
      <c r="Q1414" s="216"/>
      <c r="R1414" s="216"/>
      <c r="S1414" s="216"/>
      <c r="T1414" s="216"/>
      <c r="U1414" s="216"/>
      <c r="V1414" s="216"/>
      <c r="W1414" s="216"/>
      <c r="X1414" s="216"/>
      <c r="Y1414" s="216"/>
      <c r="Z1414" s="216"/>
    </row>
    <row r="1415" spans="1:26" ht="15" customHeight="1">
      <c r="A1415" s="134" t="s">
        <v>111</v>
      </c>
      <c r="B1415" s="133" t="s">
        <v>8972</v>
      </c>
      <c r="C1415" s="133" t="s">
        <v>9405</v>
      </c>
      <c r="D1415" s="116" t="s">
        <v>7778</v>
      </c>
      <c r="E1415" s="528">
        <f>79*2/3</f>
        <v>52.666666666666664</v>
      </c>
      <c r="F1415" s="528">
        <f t="shared" si="166"/>
        <v>52.666666666666664</v>
      </c>
      <c r="G1415" s="338" t="s">
        <v>111</v>
      </c>
      <c r="H1415" s="216"/>
      <c r="I1415" s="216"/>
      <c r="J1415" s="216"/>
      <c r="K1415" s="216"/>
      <c r="L1415" s="216"/>
      <c r="M1415" s="216"/>
      <c r="N1415" s="216"/>
      <c r="O1415" s="216"/>
      <c r="P1415" s="216"/>
      <c r="Q1415" s="216"/>
      <c r="R1415" s="216"/>
      <c r="S1415" s="216"/>
      <c r="T1415" s="216"/>
      <c r="U1415" s="216"/>
      <c r="V1415" s="216"/>
      <c r="W1415" s="216"/>
      <c r="X1415" s="216"/>
      <c r="Y1415" s="216"/>
      <c r="Z1415" s="216"/>
    </row>
    <row r="1416" spans="1:26" ht="15" customHeight="1">
      <c r="A1416" s="447" t="s">
        <v>7640</v>
      </c>
      <c r="B1416" s="162" t="s">
        <v>105</v>
      </c>
      <c r="C1416" s="162" t="s">
        <v>9406</v>
      </c>
      <c r="D1416" s="737" t="s">
        <v>7778</v>
      </c>
      <c r="E1416" s="483">
        <f t="shared" ref="E1416:E1417" si="170">23/3</f>
        <v>7.666666666666667</v>
      </c>
      <c r="F1416" s="1164">
        <f t="shared" si="166"/>
        <v>7.666666666666667</v>
      </c>
      <c r="G1416" s="338" t="s">
        <v>112</v>
      </c>
      <c r="H1416" s="216"/>
      <c r="I1416" s="216"/>
      <c r="J1416" s="216"/>
      <c r="K1416" s="216"/>
      <c r="L1416" s="216"/>
      <c r="M1416" s="216"/>
      <c r="N1416" s="216"/>
      <c r="O1416" s="216"/>
      <c r="P1416" s="216"/>
      <c r="Q1416" s="216"/>
      <c r="R1416" s="216"/>
      <c r="S1416" s="216"/>
      <c r="T1416" s="216"/>
      <c r="U1416" s="216"/>
      <c r="V1416" s="216"/>
      <c r="W1416" s="216"/>
      <c r="X1416" s="216"/>
      <c r="Y1416" s="216"/>
      <c r="Z1416" s="216"/>
    </row>
    <row r="1417" spans="1:26" ht="15" customHeight="1">
      <c r="A1417" s="447" t="s">
        <v>7640</v>
      </c>
      <c r="B1417" s="162" t="s">
        <v>105</v>
      </c>
      <c r="C1417" s="162" t="s">
        <v>9407</v>
      </c>
      <c r="D1417" s="737" t="s">
        <v>7778</v>
      </c>
      <c r="E1417" s="483">
        <f t="shared" si="170"/>
        <v>7.666666666666667</v>
      </c>
      <c r="F1417" s="1164">
        <f t="shared" si="166"/>
        <v>7.666666666666667</v>
      </c>
      <c r="G1417" s="338" t="s">
        <v>112</v>
      </c>
      <c r="H1417" s="216"/>
      <c r="I1417" s="216"/>
      <c r="J1417" s="216"/>
      <c r="K1417" s="216"/>
      <c r="L1417" s="216"/>
      <c r="M1417" s="216"/>
      <c r="N1417" s="216"/>
      <c r="O1417" s="216"/>
      <c r="P1417" s="216"/>
      <c r="Q1417" s="216"/>
      <c r="R1417" s="216"/>
      <c r="S1417" s="216"/>
      <c r="T1417" s="216"/>
      <c r="U1417" s="216"/>
      <c r="V1417" s="216"/>
      <c r="W1417" s="216"/>
      <c r="X1417" s="216"/>
      <c r="Y1417" s="216"/>
      <c r="Z1417" s="216"/>
    </row>
    <row r="1418" spans="1:26" ht="15" customHeight="1">
      <c r="A1418" s="447" t="s">
        <v>7640</v>
      </c>
      <c r="B1418" s="162" t="s">
        <v>105</v>
      </c>
      <c r="C1418" s="162" t="s">
        <v>9408</v>
      </c>
      <c r="D1418" s="737" t="s">
        <v>7778</v>
      </c>
      <c r="E1418" s="483">
        <f>27/3</f>
        <v>9</v>
      </c>
      <c r="F1418" s="1164">
        <f t="shared" si="166"/>
        <v>9</v>
      </c>
      <c r="G1418" s="338" t="s">
        <v>112</v>
      </c>
      <c r="H1418" s="216"/>
      <c r="I1418" s="216"/>
      <c r="J1418" s="216"/>
      <c r="K1418" s="216"/>
      <c r="L1418" s="216"/>
      <c r="M1418" s="216"/>
      <c r="N1418" s="216"/>
      <c r="O1418" s="216"/>
      <c r="P1418" s="216"/>
      <c r="Q1418" s="216"/>
      <c r="R1418" s="216"/>
      <c r="S1418" s="216"/>
      <c r="T1418" s="216"/>
      <c r="U1418" s="216"/>
      <c r="V1418" s="216"/>
      <c r="W1418" s="216"/>
      <c r="X1418" s="216"/>
      <c r="Y1418" s="216"/>
      <c r="Z1418" s="216"/>
    </row>
    <row r="1419" spans="1:26" ht="15" customHeight="1">
      <c r="A1419" s="447" t="s">
        <v>7640</v>
      </c>
      <c r="B1419" s="162" t="s">
        <v>105</v>
      </c>
      <c r="C1419" s="162" t="s">
        <v>9409</v>
      </c>
      <c r="D1419" s="737" t="s">
        <v>7778</v>
      </c>
      <c r="E1419" s="483">
        <f>31/3</f>
        <v>10.333333333333334</v>
      </c>
      <c r="F1419" s="1164">
        <f t="shared" si="166"/>
        <v>10.333333333333334</v>
      </c>
      <c r="G1419" s="338" t="s">
        <v>112</v>
      </c>
      <c r="H1419" s="216"/>
      <c r="I1419" s="216"/>
      <c r="J1419" s="216"/>
      <c r="K1419" s="216"/>
      <c r="L1419" s="216"/>
      <c r="M1419" s="216"/>
      <c r="N1419" s="216"/>
      <c r="O1419" s="216"/>
      <c r="P1419" s="216"/>
      <c r="Q1419" s="216"/>
      <c r="R1419" s="216"/>
      <c r="S1419" s="216"/>
      <c r="T1419" s="216"/>
      <c r="U1419" s="216"/>
      <c r="V1419" s="216"/>
      <c r="W1419" s="216"/>
      <c r="X1419" s="216"/>
      <c r="Y1419" s="216"/>
      <c r="Z1419" s="216"/>
    </row>
    <row r="1420" spans="1:26" ht="15" customHeight="1">
      <c r="A1420" s="447" t="s">
        <v>7640</v>
      </c>
      <c r="B1420" s="162" t="s">
        <v>105</v>
      </c>
      <c r="C1420" s="162" t="s">
        <v>9410</v>
      </c>
      <c r="D1420" s="737" t="s">
        <v>7778</v>
      </c>
      <c r="E1420" s="483">
        <f t="shared" ref="E1420:E1421" si="171">23/3</f>
        <v>7.666666666666667</v>
      </c>
      <c r="F1420" s="1164">
        <f t="shared" si="166"/>
        <v>7.666666666666667</v>
      </c>
      <c r="G1420" s="338" t="s">
        <v>112</v>
      </c>
      <c r="H1420" s="216"/>
      <c r="I1420" s="216"/>
      <c r="J1420" s="216"/>
      <c r="K1420" s="216"/>
      <c r="L1420" s="216"/>
      <c r="M1420" s="216"/>
      <c r="N1420" s="216"/>
      <c r="O1420" s="216"/>
      <c r="P1420" s="216"/>
      <c r="Q1420" s="216"/>
      <c r="R1420" s="216"/>
      <c r="S1420" s="216"/>
      <c r="T1420" s="216"/>
      <c r="U1420" s="216"/>
      <c r="V1420" s="216"/>
      <c r="W1420" s="216"/>
      <c r="X1420" s="216"/>
      <c r="Y1420" s="216"/>
      <c r="Z1420" s="216"/>
    </row>
    <row r="1421" spans="1:26" ht="15" customHeight="1">
      <c r="A1421" s="447" t="s">
        <v>7640</v>
      </c>
      <c r="B1421" s="162" t="s">
        <v>105</v>
      </c>
      <c r="C1421" s="162" t="s">
        <v>9411</v>
      </c>
      <c r="D1421" s="737" t="s">
        <v>7778</v>
      </c>
      <c r="E1421" s="483">
        <f t="shared" si="171"/>
        <v>7.666666666666667</v>
      </c>
      <c r="F1421" s="1164">
        <f t="shared" si="166"/>
        <v>7.666666666666667</v>
      </c>
      <c r="G1421" s="338" t="s">
        <v>112</v>
      </c>
      <c r="H1421" s="216"/>
      <c r="I1421" s="216"/>
      <c r="J1421" s="216"/>
      <c r="K1421" s="216"/>
      <c r="L1421" s="216"/>
      <c r="M1421" s="216"/>
      <c r="N1421" s="216"/>
      <c r="O1421" s="216"/>
      <c r="P1421" s="216"/>
      <c r="Q1421" s="216"/>
      <c r="R1421" s="216"/>
      <c r="S1421" s="216"/>
      <c r="T1421" s="216"/>
      <c r="U1421" s="216"/>
      <c r="V1421" s="216"/>
      <c r="W1421" s="216"/>
      <c r="X1421" s="216"/>
      <c r="Y1421" s="216"/>
      <c r="Z1421" s="216"/>
    </row>
    <row r="1422" spans="1:26" ht="15" customHeight="1">
      <c r="A1422" s="447" t="s">
        <v>7640</v>
      </c>
      <c r="B1422" s="162" t="s">
        <v>105</v>
      </c>
      <c r="C1422" s="162" t="s">
        <v>9412</v>
      </c>
      <c r="D1422" s="737" t="s">
        <v>7778</v>
      </c>
      <c r="E1422" s="483">
        <f>27/3</f>
        <v>9</v>
      </c>
      <c r="F1422" s="1164">
        <f t="shared" si="166"/>
        <v>9</v>
      </c>
      <c r="G1422" s="338" t="s">
        <v>112</v>
      </c>
      <c r="H1422" s="216"/>
      <c r="I1422" s="216"/>
      <c r="J1422" s="216"/>
      <c r="K1422" s="216"/>
      <c r="L1422" s="216"/>
      <c r="M1422" s="216"/>
      <c r="N1422" s="216"/>
      <c r="O1422" s="216"/>
      <c r="P1422" s="216"/>
      <c r="Q1422" s="216"/>
      <c r="R1422" s="216"/>
      <c r="S1422" s="216"/>
      <c r="T1422" s="216"/>
      <c r="U1422" s="216"/>
      <c r="V1422" s="216"/>
      <c r="W1422" s="216"/>
      <c r="X1422" s="216"/>
      <c r="Y1422" s="216"/>
      <c r="Z1422" s="216"/>
    </row>
    <row r="1423" spans="1:26" ht="15" customHeight="1">
      <c r="A1423" s="447" t="s">
        <v>7640</v>
      </c>
      <c r="B1423" s="162" t="s">
        <v>105</v>
      </c>
      <c r="C1423" s="162" t="s">
        <v>9413</v>
      </c>
      <c r="D1423" s="737" t="s">
        <v>7778</v>
      </c>
      <c r="E1423" s="483">
        <f>(23+27+23)*0.25/3</f>
        <v>6.083333333333333</v>
      </c>
      <c r="F1423" s="1164">
        <f t="shared" si="166"/>
        <v>6.083333333333333</v>
      </c>
      <c r="G1423" s="338" t="s">
        <v>112</v>
      </c>
      <c r="H1423" s="216"/>
      <c r="I1423" s="216"/>
      <c r="J1423" s="216"/>
      <c r="K1423" s="216"/>
      <c r="L1423" s="216"/>
      <c r="M1423" s="216"/>
      <c r="N1423" s="216"/>
      <c r="O1423" s="216"/>
      <c r="P1423" s="216"/>
      <c r="Q1423" s="216"/>
      <c r="R1423" s="216"/>
      <c r="S1423" s="216"/>
      <c r="T1423" s="216"/>
      <c r="U1423" s="216"/>
      <c r="V1423" s="216"/>
      <c r="W1423" s="216"/>
      <c r="X1423" s="216"/>
      <c r="Y1423" s="216"/>
      <c r="Z1423" s="216"/>
    </row>
    <row r="1424" spans="1:26" ht="15" customHeight="1">
      <c r="A1424" s="447" t="s">
        <v>7640</v>
      </c>
      <c r="B1424" s="162" t="s">
        <v>105</v>
      </c>
      <c r="C1424" s="162" t="s">
        <v>9414</v>
      </c>
      <c r="D1424" s="737" t="s">
        <v>7778</v>
      </c>
      <c r="E1424" s="483">
        <f>31*0.25/3</f>
        <v>2.5833333333333335</v>
      </c>
      <c r="F1424" s="1164">
        <f t="shared" si="166"/>
        <v>2.5833333333333335</v>
      </c>
      <c r="G1424" s="338" t="s">
        <v>112</v>
      </c>
      <c r="H1424" s="216"/>
      <c r="I1424" s="216"/>
      <c r="J1424" s="216"/>
      <c r="K1424" s="216"/>
      <c r="L1424" s="216"/>
      <c r="M1424" s="216"/>
      <c r="N1424" s="216"/>
      <c r="O1424" s="216"/>
      <c r="P1424" s="216"/>
      <c r="Q1424" s="216"/>
      <c r="R1424" s="216"/>
      <c r="S1424" s="216"/>
      <c r="T1424" s="216"/>
      <c r="U1424" s="216"/>
      <c r="V1424" s="216"/>
      <c r="W1424" s="216"/>
      <c r="X1424" s="216"/>
      <c r="Y1424" s="216"/>
      <c r="Z1424" s="216"/>
    </row>
    <row r="1425" spans="1:26" ht="15" customHeight="1">
      <c r="A1425" s="447" t="s">
        <v>7640</v>
      </c>
      <c r="B1425" s="162" t="s">
        <v>105</v>
      </c>
      <c r="C1425" s="162" t="s">
        <v>9415</v>
      </c>
      <c r="D1425" s="737" t="s">
        <v>7778</v>
      </c>
      <c r="E1425" s="483">
        <f>(23+27+23)*0.25/3</f>
        <v>6.083333333333333</v>
      </c>
      <c r="F1425" s="1164">
        <f t="shared" si="166"/>
        <v>6.083333333333333</v>
      </c>
      <c r="G1425" s="338" t="s">
        <v>112</v>
      </c>
      <c r="H1425" s="216"/>
      <c r="I1425" s="216"/>
      <c r="J1425" s="216"/>
      <c r="K1425" s="216"/>
      <c r="L1425" s="216"/>
      <c r="M1425" s="216"/>
      <c r="N1425" s="216"/>
      <c r="O1425" s="216"/>
      <c r="P1425" s="216"/>
      <c r="Q1425" s="216"/>
      <c r="R1425" s="216"/>
      <c r="S1425" s="216"/>
      <c r="T1425" s="216"/>
      <c r="U1425" s="216"/>
      <c r="V1425" s="216"/>
      <c r="W1425" s="216"/>
      <c r="X1425" s="216"/>
      <c r="Y1425" s="216"/>
      <c r="Z1425" s="216"/>
    </row>
    <row r="1426" spans="1:26" ht="15" customHeight="1">
      <c r="A1426" s="447" t="s">
        <v>7640</v>
      </c>
      <c r="B1426" s="162" t="s">
        <v>105</v>
      </c>
      <c r="C1426" s="162" t="s">
        <v>9416</v>
      </c>
      <c r="D1426" s="737" t="s">
        <v>7778</v>
      </c>
      <c r="E1426" s="483">
        <f>(23+27+23)*0.1/3</f>
        <v>2.4333333333333336</v>
      </c>
      <c r="F1426" s="1164">
        <f t="shared" si="166"/>
        <v>2.4333333333333336</v>
      </c>
      <c r="G1426" s="338" t="s">
        <v>112</v>
      </c>
      <c r="H1426" s="216"/>
      <c r="I1426" s="216"/>
      <c r="J1426" s="216"/>
      <c r="K1426" s="216"/>
      <c r="L1426" s="216"/>
      <c r="M1426" s="216"/>
      <c r="N1426" s="216"/>
      <c r="O1426" s="216"/>
      <c r="P1426" s="216"/>
      <c r="Q1426" s="216"/>
      <c r="R1426" s="216"/>
      <c r="S1426" s="216"/>
      <c r="T1426" s="216"/>
      <c r="U1426" s="216"/>
      <c r="V1426" s="216"/>
      <c r="W1426" s="216"/>
      <c r="X1426" s="216"/>
      <c r="Y1426" s="216"/>
      <c r="Z1426" s="216"/>
    </row>
    <row r="1427" spans="1:26" ht="15" customHeight="1">
      <c r="A1427" s="447" t="s">
        <v>7640</v>
      </c>
      <c r="B1427" s="162" t="s">
        <v>105</v>
      </c>
      <c r="C1427" s="162" t="s">
        <v>9417</v>
      </c>
      <c r="D1427" s="737" t="s">
        <v>7778</v>
      </c>
      <c r="E1427" s="483">
        <f>31*0.1/3</f>
        <v>1.0333333333333334</v>
      </c>
      <c r="F1427" s="1164">
        <f t="shared" si="166"/>
        <v>1.0333333333333334</v>
      </c>
      <c r="G1427" s="338" t="s">
        <v>112</v>
      </c>
      <c r="H1427" s="216"/>
      <c r="I1427" s="216"/>
      <c r="J1427" s="216"/>
      <c r="K1427" s="216"/>
      <c r="L1427" s="216"/>
      <c r="M1427" s="216"/>
      <c r="N1427" s="216"/>
      <c r="O1427" s="216"/>
      <c r="P1427" s="216"/>
      <c r="Q1427" s="216"/>
      <c r="R1427" s="216"/>
      <c r="S1427" s="216"/>
      <c r="T1427" s="216"/>
      <c r="U1427" s="216"/>
      <c r="V1427" s="216"/>
      <c r="W1427" s="216"/>
      <c r="X1427" s="216"/>
      <c r="Y1427" s="216"/>
      <c r="Z1427" s="216"/>
    </row>
    <row r="1428" spans="1:26" ht="15" customHeight="1">
      <c r="A1428" s="447" t="s">
        <v>7640</v>
      </c>
      <c r="B1428" s="162" t="s">
        <v>105</v>
      </c>
      <c r="C1428" s="162" t="s">
        <v>9418</v>
      </c>
      <c r="D1428" s="737" t="s">
        <v>7778</v>
      </c>
      <c r="E1428" s="483">
        <f>(23+27+23)*0.1/3</f>
        <v>2.4333333333333336</v>
      </c>
      <c r="F1428" s="1164">
        <f t="shared" si="166"/>
        <v>2.4333333333333336</v>
      </c>
      <c r="G1428" s="338" t="s">
        <v>112</v>
      </c>
      <c r="H1428" s="216"/>
      <c r="I1428" s="216"/>
      <c r="J1428" s="216"/>
      <c r="K1428" s="216"/>
      <c r="L1428" s="216"/>
      <c r="M1428" s="216"/>
      <c r="N1428" s="216"/>
      <c r="O1428" s="216"/>
      <c r="P1428" s="216"/>
      <c r="Q1428" s="216"/>
      <c r="R1428" s="216"/>
      <c r="S1428" s="216"/>
      <c r="T1428" s="216"/>
      <c r="U1428" s="216"/>
      <c r="V1428" s="216"/>
      <c r="W1428" s="216"/>
      <c r="X1428" s="216"/>
      <c r="Y1428" s="216"/>
      <c r="Z1428" s="216"/>
    </row>
    <row r="1429" spans="1:26" ht="15" customHeight="1">
      <c r="A1429" s="447" t="s">
        <v>7640</v>
      </c>
      <c r="B1429" s="162" t="s">
        <v>105</v>
      </c>
      <c r="C1429" s="162" t="s">
        <v>9419</v>
      </c>
      <c r="D1429" s="737" t="s">
        <v>7778</v>
      </c>
      <c r="E1429" s="483">
        <f>9*3/3</f>
        <v>9</v>
      </c>
      <c r="F1429" s="1164">
        <f t="shared" si="166"/>
        <v>9</v>
      </c>
      <c r="G1429" s="338" t="s">
        <v>112</v>
      </c>
      <c r="H1429" s="216"/>
      <c r="I1429" s="216"/>
      <c r="J1429" s="216"/>
      <c r="K1429" s="216"/>
      <c r="L1429" s="216"/>
      <c r="M1429" s="216"/>
      <c r="N1429" s="216"/>
      <c r="O1429" s="216"/>
      <c r="P1429" s="216"/>
      <c r="Q1429" s="216"/>
      <c r="R1429" s="216"/>
      <c r="S1429" s="216"/>
      <c r="T1429" s="216"/>
      <c r="U1429" s="216"/>
      <c r="V1429" s="216"/>
      <c r="W1429" s="216"/>
      <c r="X1429" s="216"/>
      <c r="Y1429" s="216"/>
      <c r="Z1429" s="216"/>
    </row>
    <row r="1430" spans="1:26" ht="15" customHeight="1">
      <c r="A1430" s="447" t="s">
        <v>7640</v>
      </c>
      <c r="B1430" s="162" t="s">
        <v>105</v>
      </c>
      <c r="C1430" s="162" t="s">
        <v>9420</v>
      </c>
      <c r="D1430" s="737" t="s">
        <v>7778</v>
      </c>
      <c r="E1430" s="483">
        <f>20*2/3</f>
        <v>13.333333333333334</v>
      </c>
      <c r="F1430" s="1164">
        <f t="shared" si="166"/>
        <v>13.333333333333334</v>
      </c>
      <c r="G1430" s="338" t="s">
        <v>112</v>
      </c>
      <c r="H1430" s="216"/>
      <c r="I1430" s="216"/>
      <c r="J1430" s="216"/>
      <c r="K1430" s="216"/>
      <c r="L1430" s="216"/>
      <c r="M1430" s="216"/>
      <c r="N1430" s="216"/>
      <c r="O1430" s="216"/>
      <c r="P1430" s="216"/>
      <c r="Q1430" s="216"/>
      <c r="R1430" s="216"/>
      <c r="S1430" s="216"/>
      <c r="T1430" s="216"/>
      <c r="U1430" s="216"/>
      <c r="V1430" s="216"/>
      <c r="W1430" s="216"/>
      <c r="X1430" s="216"/>
      <c r="Y1430" s="216"/>
      <c r="Z1430" s="216"/>
    </row>
    <row r="1431" spans="1:26" ht="15" customHeight="1">
      <c r="A1431" s="447" t="s">
        <v>7640</v>
      </c>
      <c r="B1431" s="162" t="s">
        <v>105</v>
      </c>
      <c r="C1431" s="162" t="s">
        <v>9421</v>
      </c>
      <c r="D1431" s="737" t="s">
        <v>7778</v>
      </c>
      <c r="E1431" s="483">
        <f>4*2/3</f>
        <v>2.6666666666666665</v>
      </c>
      <c r="F1431" s="1164">
        <f t="shared" si="166"/>
        <v>2.6666666666666665</v>
      </c>
      <c r="G1431" s="338" t="s">
        <v>112</v>
      </c>
      <c r="H1431" s="216"/>
      <c r="I1431" s="216"/>
      <c r="J1431" s="216"/>
      <c r="K1431" s="216"/>
      <c r="L1431" s="216"/>
      <c r="M1431" s="216"/>
      <c r="N1431" s="216"/>
      <c r="O1431" s="216"/>
      <c r="P1431" s="216"/>
      <c r="Q1431" s="216"/>
      <c r="R1431" s="216"/>
      <c r="S1431" s="216"/>
      <c r="T1431" s="216"/>
      <c r="U1431" s="216"/>
      <c r="V1431" s="216"/>
      <c r="W1431" s="216"/>
      <c r="X1431" s="216"/>
      <c r="Y1431" s="216"/>
      <c r="Z1431" s="216"/>
    </row>
    <row r="1432" spans="1:26" ht="15" customHeight="1">
      <c r="A1432" s="134" t="s">
        <v>120</v>
      </c>
      <c r="B1432" s="133" t="s">
        <v>105</v>
      </c>
      <c r="C1432" s="133" t="s">
        <v>9422</v>
      </c>
      <c r="D1432" s="100" t="s">
        <v>7698</v>
      </c>
      <c r="E1432" s="100" t="s">
        <v>9423</v>
      </c>
      <c r="F1432" s="528">
        <v>9</v>
      </c>
      <c r="G1432" s="338" t="s">
        <v>120</v>
      </c>
      <c r="H1432" s="216"/>
      <c r="I1432" s="216"/>
      <c r="J1432" s="216"/>
      <c r="K1432" s="216"/>
      <c r="L1432" s="216"/>
      <c r="M1432" s="216"/>
      <c r="N1432" s="216"/>
      <c r="O1432" s="216"/>
      <c r="P1432" s="216"/>
      <c r="Q1432" s="216"/>
      <c r="R1432" s="216"/>
      <c r="S1432" s="216"/>
      <c r="T1432" s="216"/>
      <c r="U1432" s="216"/>
      <c r="V1432" s="216"/>
      <c r="W1432" s="216"/>
      <c r="X1432" s="216"/>
      <c r="Y1432" s="216"/>
      <c r="Z1432" s="216"/>
    </row>
    <row r="1433" spans="1:26" ht="15" customHeight="1">
      <c r="A1433" s="134" t="s">
        <v>120</v>
      </c>
      <c r="B1433" s="133" t="s">
        <v>105</v>
      </c>
      <c r="C1433" s="133" t="s">
        <v>9424</v>
      </c>
      <c r="D1433" s="116" t="s">
        <v>7698</v>
      </c>
      <c r="E1433" s="116" t="s">
        <v>9423</v>
      </c>
      <c r="F1433" s="528">
        <v>9</v>
      </c>
      <c r="G1433" s="338" t="s">
        <v>120</v>
      </c>
      <c r="H1433" s="216"/>
      <c r="I1433" s="216"/>
      <c r="J1433" s="216"/>
      <c r="K1433" s="216"/>
      <c r="L1433" s="216"/>
      <c r="M1433" s="216"/>
      <c r="N1433" s="216"/>
      <c r="O1433" s="216"/>
      <c r="P1433" s="216"/>
      <c r="Q1433" s="216"/>
      <c r="R1433" s="216"/>
      <c r="S1433" s="216"/>
      <c r="T1433" s="216"/>
      <c r="U1433" s="216"/>
      <c r="V1433" s="216"/>
      <c r="W1433" s="216"/>
      <c r="X1433" s="216"/>
      <c r="Y1433" s="216"/>
      <c r="Z1433" s="216"/>
    </row>
    <row r="1434" spans="1:26" ht="15" customHeight="1">
      <c r="A1434" s="134" t="s">
        <v>120</v>
      </c>
      <c r="B1434" s="133" t="s">
        <v>105</v>
      </c>
      <c r="C1434" s="133" t="s">
        <v>9425</v>
      </c>
      <c r="D1434" s="116" t="s">
        <v>7698</v>
      </c>
      <c r="E1434" s="116" t="s">
        <v>9423</v>
      </c>
      <c r="F1434" s="528">
        <v>9</v>
      </c>
      <c r="G1434" s="338" t="s">
        <v>120</v>
      </c>
      <c r="H1434" s="216"/>
      <c r="I1434" s="216"/>
      <c r="J1434" s="216"/>
      <c r="K1434" s="216"/>
      <c r="L1434" s="216"/>
      <c r="M1434" s="216"/>
      <c r="N1434" s="216"/>
      <c r="O1434" s="216"/>
      <c r="P1434" s="216"/>
      <c r="Q1434" s="216"/>
      <c r="R1434" s="216"/>
      <c r="S1434" s="216"/>
      <c r="T1434" s="216"/>
      <c r="U1434" s="216"/>
      <c r="V1434" s="216"/>
      <c r="W1434" s="216"/>
      <c r="X1434" s="216"/>
      <c r="Y1434" s="216"/>
      <c r="Z1434" s="216"/>
    </row>
    <row r="1435" spans="1:26" ht="15" customHeight="1">
      <c r="A1435" s="134" t="s">
        <v>120</v>
      </c>
      <c r="B1435" s="133" t="s">
        <v>105</v>
      </c>
      <c r="C1435" s="133" t="s">
        <v>9426</v>
      </c>
      <c r="D1435" s="116" t="s">
        <v>7698</v>
      </c>
      <c r="E1435" s="116" t="s">
        <v>9427</v>
      </c>
      <c r="F1435" s="528">
        <v>16</v>
      </c>
      <c r="G1435" s="338" t="s">
        <v>120</v>
      </c>
      <c r="H1435" s="216"/>
      <c r="I1435" s="216"/>
      <c r="J1435" s="216"/>
      <c r="K1435" s="216"/>
      <c r="L1435" s="216"/>
      <c r="M1435" s="216"/>
      <c r="N1435" s="216"/>
      <c r="O1435" s="216"/>
      <c r="P1435" s="216"/>
      <c r="Q1435" s="216"/>
      <c r="R1435" s="216"/>
      <c r="S1435" s="216"/>
      <c r="T1435" s="216"/>
      <c r="U1435" s="216"/>
      <c r="V1435" s="216"/>
      <c r="W1435" s="216"/>
      <c r="X1435" s="216"/>
      <c r="Y1435" s="216"/>
      <c r="Z1435" s="216"/>
    </row>
    <row r="1436" spans="1:26" ht="15" customHeight="1">
      <c r="A1436" s="134" t="s">
        <v>120</v>
      </c>
      <c r="B1436" s="133" t="s">
        <v>105</v>
      </c>
      <c r="C1436" s="133" t="s">
        <v>9428</v>
      </c>
      <c r="D1436" s="116" t="s">
        <v>7698</v>
      </c>
      <c r="E1436" s="116" t="s">
        <v>9429</v>
      </c>
      <c r="F1436" s="528">
        <v>15.7</v>
      </c>
      <c r="G1436" s="338" t="s">
        <v>120</v>
      </c>
      <c r="H1436" s="216"/>
      <c r="I1436" s="216"/>
      <c r="J1436" s="216"/>
      <c r="K1436" s="216"/>
      <c r="L1436" s="216"/>
      <c r="M1436" s="216"/>
      <c r="N1436" s="216"/>
      <c r="O1436" s="216"/>
      <c r="P1436" s="216"/>
      <c r="Q1436" s="216"/>
      <c r="R1436" s="216"/>
      <c r="S1436" s="216"/>
      <c r="T1436" s="216"/>
      <c r="U1436" s="216"/>
      <c r="V1436" s="216"/>
      <c r="W1436" s="216"/>
      <c r="X1436" s="216"/>
      <c r="Y1436" s="216"/>
      <c r="Z1436" s="216"/>
    </row>
    <row r="1437" spans="1:26" ht="15" customHeight="1">
      <c r="A1437" s="134" t="s">
        <v>120</v>
      </c>
      <c r="B1437" s="133" t="s">
        <v>105</v>
      </c>
      <c r="C1437" s="133" t="s">
        <v>9430</v>
      </c>
      <c r="D1437" s="116" t="s">
        <v>7698</v>
      </c>
      <c r="E1437" s="116" t="s">
        <v>9431</v>
      </c>
      <c r="F1437" s="528">
        <v>4.7</v>
      </c>
      <c r="G1437" s="338" t="s">
        <v>120</v>
      </c>
      <c r="H1437" s="216"/>
      <c r="I1437" s="216"/>
      <c r="J1437" s="216"/>
      <c r="K1437" s="216"/>
      <c r="L1437" s="216"/>
      <c r="M1437" s="216"/>
      <c r="N1437" s="216"/>
      <c r="O1437" s="216"/>
      <c r="P1437" s="216"/>
      <c r="Q1437" s="216"/>
      <c r="R1437" s="216"/>
      <c r="S1437" s="216"/>
      <c r="T1437" s="216"/>
      <c r="U1437" s="216"/>
      <c r="V1437" s="216"/>
      <c r="W1437" s="216"/>
      <c r="X1437" s="216"/>
      <c r="Y1437" s="216"/>
      <c r="Z1437" s="216"/>
    </row>
    <row r="1438" spans="1:26" ht="15" customHeight="1">
      <c r="A1438" s="134" t="s">
        <v>120</v>
      </c>
      <c r="B1438" s="133" t="s">
        <v>105</v>
      </c>
      <c r="C1438" s="133" t="s">
        <v>9432</v>
      </c>
      <c r="D1438" s="116" t="s">
        <v>7698</v>
      </c>
      <c r="E1438" s="116" t="s">
        <v>9431</v>
      </c>
      <c r="F1438" s="528">
        <v>4.7</v>
      </c>
      <c r="G1438" s="338" t="s">
        <v>120</v>
      </c>
      <c r="H1438" s="216"/>
      <c r="I1438" s="216"/>
      <c r="J1438" s="216"/>
      <c r="K1438" s="216"/>
      <c r="L1438" s="216"/>
      <c r="M1438" s="216"/>
      <c r="N1438" s="216"/>
      <c r="O1438" s="216"/>
      <c r="P1438" s="216"/>
      <c r="Q1438" s="216"/>
      <c r="R1438" s="216"/>
      <c r="S1438" s="216"/>
      <c r="T1438" s="216"/>
      <c r="U1438" s="216"/>
      <c r="V1438" s="216"/>
      <c r="W1438" s="216"/>
      <c r="X1438" s="216"/>
      <c r="Y1438" s="216"/>
      <c r="Z1438" s="216"/>
    </row>
    <row r="1439" spans="1:26" ht="15" customHeight="1">
      <c r="A1439" s="134" t="s">
        <v>120</v>
      </c>
      <c r="B1439" s="133" t="s">
        <v>105</v>
      </c>
      <c r="C1439" s="133" t="s">
        <v>9433</v>
      </c>
      <c r="D1439" s="116" t="s">
        <v>7698</v>
      </c>
      <c r="E1439" s="749" t="s">
        <v>9434</v>
      </c>
      <c r="F1439" s="528">
        <v>2</v>
      </c>
      <c r="G1439" s="338" t="s">
        <v>120</v>
      </c>
      <c r="H1439" s="216"/>
      <c r="I1439" s="216"/>
      <c r="J1439" s="216"/>
      <c r="K1439" s="216"/>
      <c r="L1439" s="216"/>
      <c r="M1439" s="216"/>
      <c r="N1439" s="216"/>
      <c r="O1439" s="216"/>
      <c r="P1439" s="216"/>
      <c r="Q1439" s="216"/>
      <c r="R1439" s="216"/>
      <c r="S1439" s="216"/>
      <c r="T1439" s="216"/>
      <c r="U1439" s="216"/>
      <c r="V1439" s="216"/>
      <c r="W1439" s="216"/>
      <c r="X1439" s="216"/>
      <c r="Y1439" s="216"/>
      <c r="Z1439" s="216"/>
    </row>
    <row r="1440" spans="1:26" ht="15" customHeight="1">
      <c r="A1440" s="134" t="s">
        <v>120</v>
      </c>
      <c r="B1440" s="133" t="s">
        <v>105</v>
      </c>
      <c r="C1440" s="133" t="s">
        <v>9435</v>
      </c>
      <c r="D1440" s="116" t="s">
        <v>7698</v>
      </c>
      <c r="E1440" s="749" t="s">
        <v>9434</v>
      </c>
      <c r="F1440" s="528">
        <v>2</v>
      </c>
      <c r="G1440" s="338" t="s">
        <v>120</v>
      </c>
      <c r="H1440" s="216"/>
      <c r="I1440" s="216"/>
      <c r="J1440" s="216"/>
      <c r="K1440" s="216"/>
      <c r="L1440" s="216"/>
      <c r="M1440" s="216"/>
      <c r="N1440" s="216"/>
      <c r="O1440" s="216"/>
      <c r="P1440" s="216"/>
      <c r="Q1440" s="216"/>
      <c r="R1440" s="216"/>
      <c r="S1440" s="216"/>
      <c r="T1440" s="216"/>
      <c r="U1440" s="216"/>
      <c r="V1440" s="216"/>
      <c r="W1440" s="216"/>
      <c r="X1440" s="216"/>
      <c r="Y1440" s="216"/>
      <c r="Z1440" s="216"/>
    </row>
    <row r="1441" spans="1:26" ht="15" customHeight="1">
      <c r="A1441" s="134" t="s">
        <v>120</v>
      </c>
      <c r="B1441" s="133" t="s">
        <v>105</v>
      </c>
      <c r="C1441" s="133" t="s">
        <v>9436</v>
      </c>
      <c r="D1441" s="116" t="s">
        <v>7698</v>
      </c>
      <c r="E1441" s="749" t="s">
        <v>9434</v>
      </c>
      <c r="F1441" s="528">
        <v>2</v>
      </c>
      <c r="G1441" s="338" t="s">
        <v>120</v>
      </c>
      <c r="H1441" s="216"/>
      <c r="I1441" s="216"/>
      <c r="J1441" s="216"/>
      <c r="K1441" s="216"/>
      <c r="L1441" s="216"/>
      <c r="M1441" s="216"/>
      <c r="N1441" s="216"/>
      <c r="O1441" s="216"/>
      <c r="P1441" s="216"/>
      <c r="Q1441" s="216"/>
      <c r="R1441" s="216"/>
      <c r="S1441" s="216"/>
      <c r="T1441" s="216"/>
      <c r="U1441" s="216"/>
      <c r="V1441" s="216"/>
      <c r="W1441" s="216"/>
      <c r="X1441" s="216"/>
      <c r="Y1441" s="216"/>
      <c r="Z1441" s="216"/>
    </row>
    <row r="1442" spans="1:26" ht="15" customHeight="1">
      <c r="A1442" s="134" t="s">
        <v>120</v>
      </c>
      <c r="B1442" s="133" t="s">
        <v>105</v>
      </c>
      <c r="C1442" s="133" t="s">
        <v>9437</v>
      </c>
      <c r="D1442" s="116" t="s">
        <v>7698</v>
      </c>
      <c r="E1442" s="749" t="s">
        <v>9438</v>
      </c>
      <c r="F1442" s="528">
        <v>4</v>
      </c>
      <c r="G1442" s="338" t="s">
        <v>120</v>
      </c>
      <c r="H1442" s="216"/>
      <c r="I1442" s="216"/>
      <c r="J1442" s="216"/>
      <c r="K1442" s="216"/>
      <c r="L1442" s="216"/>
      <c r="M1442" s="216"/>
      <c r="N1442" s="216"/>
      <c r="O1442" s="216"/>
      <c r="P1442" s="216"/>
      <c r="Q1442" s="216"/>
      <c r="R1442" s="216"/>
      <c r="S1442" s="216"/>
      <c r="T1442" s="216"/>
      <c r="U1442" s="216"/>
      <c r="V1442" s="216"/>
      <c r="W1442" s="216"/>
      <c r="X1442" s="216"/>
      <c r="Y1442" s="216"/>
      <c r="Z1442" s="216"/>
    </row>
    <row r="1443" spans="1:26" ht="15" customHeight="1">
      <c r="A1443" s="134" t="s">
        <v>120</v>
      </c>
      <c r="B1443" s="133" t="s">
        <v>105</v>
      </c>
      <c r="C1443" s="133" t="s">
        <v>9439</v>
      </c>
      <c r="D1443" s="116" t="s">
        <v>7698</v>
      </c>
      <c r="E1443" s="749" t="s">
        <v>9438</v>
      </c>
      <c r="F1443" s="528">
        <v>4</v>
      </c>
      <c r="G1443" s="338" t="s">
        <v>120</v>
      </c>
      <c r="H1443" s="216"/>
      <c r="I1443" s="216"/>
      <c r="J1443" s="216"/>
      <c r="K1443" s="216"/>
      <c r="L1443" s="216"/>
      <c r="M1443" s="216"/>
      <c r="N1443" s="216"/>
      <c r="O1443" s="216"/>
      <c r="P1443" s="216"/>
      <c r="Q1443" s="216"/>
      <c r="R1443" s="216"/>
      <c r="S1443" s="216"/>
      <c r="T1443" s="216"/>
      <c r="U1443" s="216"/>
      <c r="V1443" s="216"/>
      <c r="W1443" s="216"/>
      <c r="X1443" s="216"/>
      <c r="Y1443" s="216"/>
      <c r="Z1443" s="216"/>
    </row>
    <row r="1444" spans="1:26" ht="15" customHeight="1">
      <c r="A1444" s="134" t="s">
        <v>120</v>
      </c>
      <c r="B1444" s="133" t="s">
        <v>105</v>
      </c>
      <c r="C1444" s="133" t="s">
        <v>9440</v>
      </c>
      <c r="D1444" s="116" t="s">
        <v>7698</v>
      </c>
      <c r="E1444" s="749" t="s">
        <v>9441</v>
      </c>
      <c r="F1444" s="528">
        <v>1</v>
      </c>
      <c r="G1444" s="338" t="s">
        <v>120</v>
      </c>
      <c r="H1444" s="216"/>
      <c r="I1444" s="216"/>
      <c r="J1444" s="216"/>
      <c r="K1444" s="216"/>
      <c r="L1444" s="216"/>
      <c r="M1444" s="216"/>
      <c r="N1444" s="216"/>
      <c r="O1444" s="216"/>
      <c r="P1444" s="216"/>
      <c r="Q1444" s="216"/>
      <c r="R1444" s="216"/>
      <c r="S1444" s="216"/>
      <c r="T1444" s="216"/>
      <c r="U1444" s="216"/>
      <c r="V1444" s="216"/>
      <c r="W1444" s="216"/>
      <c r="X1444" s="216"/>
      <c r="Y1444" s="216"/>
      <c r="Z1444" s="216"/>
    </row>
    <row r="1445" spans="1:26" ht="15" customHeight="1">
      <c r="A1445" s="134" t="s">
        <v>120</v>
      </c>
      <c r="B1445" s="133" t="s">
        <v>105</v>
      </c>
      <c r="C1445" s="133" t="s">
        <v>9442</v>
      </c>
      <c r="D1445" s="116" t="s">
        <v>7698</v>
      </c>
      <c r="E1445" s="749" t="s">
        <v>9441</v>
      </c>
      <c r="F1445" s="528">
        <v>1</v>
      </c>
      <c r="G1445" s="338" t="s">
        <v>120</v>
      </c>
      <c r="H1445" s="216"/>
      <c r="I1445" s="216"/>
      <c r="J1445" s="216"/>
      <c r="K1445" s="216"/>
      <c r="L1445" s="216"/>
      <c r="M1445" s="216"/>
      <c r="N1445" s="216"/>
      <c r="O1445" s="216"/>
      <c r="P1445" s="216"/>
      <c r="Q1445" s="216"/>
      <c r="R1445" s="216"/>
      <c r="S1445" s="216"/>
      <c r="T1445" s="216"/>
      <c r="U1445" s="216"/>
      <c r="V1445" s="216"/>
      <c r="W1445" s="216"/>
      <c r="X1445" s="216"/>
      <c r="Y1445" s="216"/>
      <c r="Z1445" s="216"/>
    </row>
    <row r="1446" spans="1:26" ht="15" customHeight="1">
      <c r="A1446" s="134" t="s">
        <v>120</v>
      </c>
      <c r="B1446" s="133" t="s">
        <v>105</v>
      </c>
      <c r="C1446" s="133" t="s">
        <v>9443</v>
      </c>
      <c r="D1446" s="116" t="s">
        <v>9444</v>
      </c>
      <c r="E1446" s="116" t="s">
        <v>9445</v>
      </c>
      <c r="F1446" s="528">
        <v>10</v>
      </c>
      <c r="G1446" s="338" t="s">
        <v>120</v>
      </c>
      <c r="H1446" s="216"/>
      <c r="I1446" s="216"/>
      <c r="J1446" s="216"/>
      <c r="K1446" s="216"/>
      <c r="L1446" s="216"/>
      <c r="M1446" s="216"/>
      <c r="N1446" s="216"/>
      <c r="O1446" s="216"/>
      <c r="P1446" s="216"/>
      <c r="Q1446" s="216"/>
      <c r="R1446" s="216"/>
      <c r="S1446" s="216"/>
      <c r="T1446" s="216"/>
      <c r="U1446" s="216"/>
      <c r="V1446" s="216"/>
      <c r="W1446" s="216"/>
      <c r="X1446" s="216"/>
      <c r="Y1446" s="216"/>
      <c r="Z1446" s="216"/>
    </row>
    <row r="1447" spans="1:26" ht="15" customHeight="1">
      <c r="A1447" s="134" t="s">
        <v>120</v>
      </c>
      <c r="B1447" s="133" t="s">
        <v>105</v>
      </c>
      <c r="C1447" s="133" t="s">
        <v>9446</v>
      </c>
      <c r="D1447" s="116" t="s">
        <v>9444</v>
      </c>
      <c r="E1447" s="116" t="s">
        <v>9447</v>
      </c>
      <c r="F1447" s="528">
        <v>3</v>
      </c>
      <c r="G1447" s="338" t="s">
        <v>120</v>
      </c>
      <c r="H1447" s="216"/>
      <c r="I1447" s="216"/>
      <c r="J1447" s="216"/>
      <c r="K1447" s="216"/>
      <c r="L1447" s="216"/>
      <c r="M1447" s="216"/>
      <c r="N1447" s="216"/>
      <c r="O1447" s="216"/>
      <c r="P1447" s="216"/>
      <c r="Q1447" s="216"/>
      <c r="R1447" s="216"/>
      <c r="S1447" s="216"/>
      <c r="T1447" s="216"/>
      <c r="U1447" s="216"/>
      <c r="V1447" s="216"/>
      <c r="W1447" s="216"/>
      <c r="X1447" s="216"/>
      <c r="Y1447" s="216"/>
      <c r="Z1447" s="216"/>
    </row>
    <row r="1448" spans="1:26" ht="15" customHeight="1">
      <c r="A1448" s="134" t="s">
        <v>120</v>
      </c>
      <c r="B1448" s="133" t="s">
        <v>105</v>
      </c>
      <c r="C1448" s="133" t="s">
        <v>9448</v>
      </c>
      <c r="D1448" s="116" t="s">
        <v>9444</v>
      </c>
      <c r="E1448" s="116" t="s">
        <v>9449</v>
      </c>
      <c r="F1448" s="528">
        <v>3</v>
      </c>
      <c r="G1448" s="338" t="s">
        <v>120</v>
      </c>
      <c r="H1448" s="216"/>
      <c r="I1448" s="216"/>
      <c r="J1448" s="216"/>
      <c r="K1448" s="216"/>
      <c r="L1448" s="216"/>
      <c r="M1448" s="216"/>
      <c r="N1448" s="216"/>
      <c r="O1448" s="216"/>
      <c r="P1448" s="216"/>
      <c r="Q1448" s="216"/>
      <c r="R1448" s="216"/>
      <c r="S1448" s="216"/>
      <c r="T1448" s="216"/>
      <c r="U1448" s="216"/>
      <c r="V1448" s="216"/>
      <c r="W1448" s="216"/>
      <c r="X1448" s="216"/>
      <c r="Y1448" s="216"/>
      <c r="Z1448" s="216"/>
    </row>
    <row r="1449" spans="1:26" ht="15" customHeight="1">
      <c r="A1449" s="134" t="s">
        <v>120</v>
      </c>
      <c r="B1449" s="133" t="s">
        <v>105</v>
      </c>
      <c r="C1449" s="133" t="s">
        <v>9450</v>
      </c>
      <c r="D1449" s="116" t="s">
        <v>9444</v>
      </c>
      <c r="E1449" s="116" t="s">
        <v>9451</v>
      </c>
      <c r="F1449" s="528">
        <v>50</v>
      </c>
      <c r="G1449" s="338" t="s">
        <v>120</v>
      </c>
      <c r="H1449" s="216"/>
      <c r="I1449" s="216"/>
      <c r="J1449" s="216"/>
      <c r="K1449" s="216"/>
      <c r="L1449" s="216"/>
      <c r="M1449" s="216"/>
      <c r="N1449" s="216"/>
      <c r="O1449" s="216"/>
      <c r="P1449" s="216"/>
      <c r="Q1449" s="216"/>
      <c r="R1449" s="216"/>
      <c r="S1449" s="216"/>
      <c r="T1449" s="216"/>
      <c r="U1449" s="216"/>
      <c r="V1449" s="216"/>
      <c r="W1449" s="216"/>
      <c r="X1449" s="216"/>
      <c r="Y1449" s="216"/>
      <c r="Z1449" s="216"/>
    </row>
    <row r="1450" spans="1:26" ht="15" customHeight="1">
      <c r="A1450" s="134" t="s">
        <v>6907</v>
      </c>
      <c r="B1450" s="133" t="s">
        <v>105</v>
      </c>
      <c r="C1450" s="133" t="s">
        <v>9452</v>
      </c>
      <c r="D1450" s="100" t="s">
        <v>7698</v>
      </c>
      <c r="E1450" s="186">
        <f>14/3</f>
        <v>4.666666666666667</v>
      </c>
      <c r="F1450" s="528">
        <f t="shared" ref="F1450:F1478" si="172">E1450</f>
        <v>4.666666666666667</v>
      </c>
      <c r="G1450" s="338" t="s">
        <v>113</v>
      </c>
      <c r="H1450" s="216"/>
      <c r="I1450" s="216"/>
      <c r="J1450" s="216"/>
      <c r="K1450" s="216"/>
      <c r="L1450" s="216"/>
      <c r="M1450" s="216"/>
      <c r="N1450" s="216"/>
      <c r="O1450" s="216"/>
      <c r="P1450" s="216"/>
      <c r="Q1450" s="216"/>
      <c r="R1450" s="216"/>
      <c r="S1450" s="216"/>
      <c r="T1450" s="216"/>
      <c r="U1450" s="216"/>
      <c r="V1450" s="216"/>
      <c r="W1450" s="216"/>
      <c r="X1450" s="216"/>
      <c r="Y1450" s="216"/>
      <c r="Z1450" s="216"/>
    </row>
    <row r="1451" spans="1:26" ht="15" customHeight="1">
      <c r="A1451" s="134" t="s">
        <v>6907</v>
      </c>
      <c r="B1451" s="133" t="s">
        <v>8972</v>
      </c>
      <c r="C1451" s="133" t="s">
        <v>9453</v>
      </c>
      <c r="D1451" s="100" t="s">
        <v>7698</v>
      </c>
      <c r="E1451" s="528">
        <f>26/3</f>
        <v>8.6666666666666661</v>
      </c>
      <c r="F1451" s="528">
        <f t="shared" si="172"/>
        <v>8.6666666666666661</v>
      </c>
      <c r="G1451" s="338" t="s">
        <v>113</v>
      </c>
      <c r="H1451" s="216"/>
      <c r="I1451" s="216"/>
      <c r="J1451" s="216"/>
      <c r="K1451" s="216"/>
      <c r="L1451" s="216"/>
      <c r="M1451" s="216"/>
      <c r="N1451" s="216"/>
      <c r="O1451" s="216"/>
      <c r="P1451" s="216"/>
      <c r="Q1451" s="216"/>
      <c r="R1451" s="216"/>
      <c r="S1451" s="216"/>
      <c r="T1451" s="216"/>
      <c r="U1451" s="216"/>
      <c r="V1451" s="216"/>
      <c r="W1451" s="216"/>
      <c r="X1451" s="216"/>
      <c r="Y1451" s="216"/>
      <c r="Z1451" s="216"/>
    </row>
    <row r="1452" spans="1:26" ht="15" customHeight="1">
      <c r="A1452" s="134" t="s">
        <v>6907</v>
      </c>
      <c r="B1452" s="133" t="s">
        <v>8972</v>
      </c>
      <c r="C1452" s="133" t="s">
        <v>9454</v>
      </c>
      <c r="D1452" s="100" t="s">
        <v>7698</v>
      </c>
      <c r="E1452" s="186">
        <f>(27+18)/3</f>
        <v>15</v>
      </c>
      <c r="F1452" s="528">
        <f t="shared" si="172"/>
        <v>15</v>
      </c>
      <c r="G1452" s="338" t="s">
        <v>113</v>
      </c>
      <c r="H1452" s="216"/>
      <c r="I1452" s="216"/>
      <c r="J1452" s="216"/>
      <c r="K1452" s="216"/>
      <c r="L1452" s="216"/>
      <c r="M1452" s="216"/>
      <c r="N1452" s="216"/>
      <c r="O1452" s="216"/>
      <c r="P1452" s="216"/>
      <c r="Q1452" s="216"/>
      <c r="R1452" s="216"/>
      <c r="S1452" s="216"/>
      <c r="T1452" s="216"/>
      <c r="U1452" s="216"/>
      <c r="V1452" s="216"/>
      <c r="W1452" s="216"/>
      <c r="X1452" s="216"/>
      <c r="Y1452" s="216"/>
      <c r="Z1452" s="216"/>
    </row>
    <row r="1453" spans="1:26" ht="15" customHeight="1">
      <c r="A1453" s="134" t="s">
        <v>6907</v>
      </c>
      <c r="B1453" s="133" t="s">
        <v>8972</v>
      </c>
      <c r="C1453" s="133" t="s">
        <v>9455</v>
      </c>
      <c r="D1453" s="100" t="s">
        <v>7698</v>
      </c>
      <c r="E1453" s="186">
        <f>26/3</f>
        <v>8.6666666666666661</v>
      </c>
      <c r="F1453" s="528">
        <f t="shared" si="172"/>
        <v>8.6666666666666661</v>
      </c>
      <c r="G1453" s="338" t="s">
        <v>113</v>
      </c>
      <c r="H1453" s="216"/>
      <c r="I1453" s="216"/>
      <c r="J1453" s="216"/>
      <c r="K1453" s="216"/>
      <c r="L1453" s="216"/>
      <c r="M1453" s="216"/>
      <c r="N1453" s="216"/>
      <c r="O1453" s="216"/>
      <c r="P1453" s="216"/>
      <c r="Q1453" s="216"/>
      <c r="R1453" s="216"/>
      <c r="S1453" s="216"/>
      <c r="T1453" s="216"/>
      <c r="U1453" s="216"/>
      <c r="V1453" s="216"/>
      <c r="W1453" s="216"/>
      <c r="X1453" s="216"/>
      <c r="Y1453" s="216"/>
      <c r="Z1453" s="216"/>
    </row>
    <row r="1454" spans="1:26" ht="15" customHeight="1">
      <c r="A1454" s="134" t="s">
        <v>6907</v>
      </c>
      <c r="B1454" s="133" t="s">
        <v>8972</v>
      </c>
      <c r="C1454" s="133" t="s">
        <v>9456</v>
      </c>
      <c r="D1454" s="100" t="s">
        <v>7698</v>
      </c>
      <c r="E1454" s="186">
        <f>14/3</f>
        <v>4.666666666666667</v>
      </c>
      <c r="F1454" s="528">
        <f t="shared" si="172"/>
        <v>4.666666666666667</v>
      </c>
      <c r="G1454" s="338" t="s">
        <v>113</v>
      </c>
      <c r="H1454" s="216"/>
      <c r="I1454" s="216"/>
      <c r="J1454" s="216"/>
      <c r="K1454" s="216"/>
      <c r="L1454" s="216"/>
      <c r="M1454" s="216"/>
      <c r="N1454" s="216"/>
      <c r="O1454" s="216"/>
      <c r="P1454" s="216"/>
      <c r="Q1454" s="216"/>
      <c r="R1454" s="216"/>
      <c r="S1454" s="216"/>
      <c r="T1454" s="216"/>
      <c r="U1454" s="216"/>
      <c r="V1454" s="216"/>
      <c r="W1454" s="216"/>
      <c r="X1454" s="216"/>
      <c r="Y1454" s="216"/>
      <c r="Z1454" s="216"/>
    </row>
    <row r="1455" spans="1:26" ht="15" customHeight="1">
      <c r="A1455" s="134" t="s">
        <v>6907</v>
      </c>
      <c r="B1455" s="133" t="s">
        <v>8972</v>
      </c>
      <c r="C1455" s="133" t="s">
        <v>9457</v>
      </c>
      <c r="D1455" s="100" t="s">
        <v>7698</v>
      </c>
      <c r="E1455" s="528">
        <f>26/3</f>
        <v>8.6666666666666661</v>
      </c>
      <c r="F1455" s="528">
        <f t="shared" si="172"/>
        <v>8.6666666666666661</v>
      </c>
      <c r="G1455" s="338" t="s">
        <v>113</v>
      </c>
      <c r="H1455" s="216"/>
      <c r="I1455" s="216"/>
      <c r="J1455" s="216"/>
      <c r="K1455" s="216"/>
      <c r="L1455" s="216"/>
      <c r="M1455" s="216"/>
      <c r="N1455" s="216"/>
      <c r="O1455" s="216"/>
      <c r="P1455" s="216"/>
      <c r="Q1455" s="216"/>
      <c r="R1455" s="216"/>
      <c r="S1455" s="216"/>
      <c r="T1455" s="216"/>
      <c r="U1455" s="216"/>
      <c r="V1455" s="216"/>
      <c r="W1455" s="216"/>
      <c r="X1455" s="216"/>
      <c r="Y1455" s="216"/>
      <c r="Z1455" s="216"/>
    </row>
    <row r="1456" spans="1:26" ht="15" customHeight="1">
      <c r="A1456" s="134" t="s">
        <v>6907</v>
      </c>
      <c r="B1456" s="133" t="s">
        <v>8972</v>
      </c>
      <c r="C1456" s="133" t="s">
        <v>9458</v>
      </c>
      <c r="D1456" s="100" t="s">
        <v>7698</v>
      </c>
      <c r="E1456" s="186">
        <f>(27+18)/3</f>
        <v>15</v>
      </c>
      <c r="F1456" s="528">
        <f t="shared" si="172"/>
        <v>15</v>
      </c>
      <c r="G1456" s="338" t="s">
        <v>113</v>
      </c>
      <c r="H1456" s="216"/>
      <c r="I1456" s="216"/>
      <c r="J1456" s="216"/>
      <c r="K1456" s="216"/>
      <c r="L1456" s="216"/>
      <c r="M1456" s="216"/>
      <c r="N1456" s="216"/>
      <c r="O1456" s="216"/>
      <c r="P1456" s="216"/>
      <c r="Q1456" s="216"/>
      <c r="R1456" s="216"/>
      <c r="S1456" s="216"/>
      <c r="T1456" s="216"/>
      <c r="U1456" s="216"/>
      <c r="V1456" s="216"/>
      <c r="W1456" s="216"/>
      <c r="X1456" s="216"/>
      <c r="Y1456" s="216"/>
      <c r="Z1456" s="216"/>
    </row>
    <row r="1457" spans="1:26" ht="15" customHeight="1">
      <c r="A1457" s="134" t="s">
        <v>6907</v>
      </c>
      <c r="B1457" s="133" t="s">
        <v>8972</v>
      </c>
      <c r="C1457" s="133" t="s">
        <v>9459</v>
      </c>
      <c r="D1457" s="100" t="s">
        <v>7698</v>
      </c>
      <c r="E1457" s="186">
        <f>26/3</f>
        <v>8.6666666666666661</v>
      </c>
      <c r="F1457" s="528">
        <f t="shared" si="172"/>
        <v>8.6666666666666661</v>
      </c>
      <c r="G1457" s="338" t="s">
        <v>113</v>
      </c>
      <c r="H1457" s="216"/>
      <c r="I1457" s="216"/>
      <c r="J1457" s="216"/>
      <c r="K1457" s="216"/>
      <c r="L1457" s="216"/>
      <c r="M1457" s="216"/>
      <c r="N1457" s="216"/>
      <c r="O1457" s="216"/>
      <c r="P1457" s="216"/>
      <c r="Q1457" s="216"/>
      <c r="R1457" s="216"/>
      <c r="S1457" s="216"/>
      <c r="T1457" s="216"/>
      <c r="U1457" s="216"/>
      <c r="V1457" s="216"/>
      <c r="W1457" s="216"/>
      <c r="X1457" s="216"/>
      <c r="Y1457" s="216"/>
      <c r="Z1457" s="216"/>
    </row>
    <row r="1458" spans="1:26" ht="15" customHeight="1">
      <c r="A1458" s="134" t="s">
        <v>6907</v>
      </c>
      <c r="B1458" s="133" t="s">
        <v>105</v>
      </c>
      <c r="C1458" s="133" t="s">
        <v>9460</v>
      </c>
      <c r="D1458" s="100" t="s">
        <v>7698</v>
      </c>
      <c r="E1458" s="186">
        <f>14/3*0.25</f>
        <v>1.1666666666666667</v>
      </c>
      <c r="F1458" s="528">
        <f t="shared" si="172"/>
        <v>1.1666666666666667</v>
      </c>
      <c r="G1458" s="338" t="s">
        <v>113</v>
      </c>
      <c r="H1458" s="216"/>
      <c r="I1458" s="216"/>
      <c r="J1458" s="216"/>
      <c r="K1458" s="216"/>
      <c r="L1458" s="216"/>
      <c r="M1458" s="216"/>
      <c r="N1458" s="216"/>
      <c r="O1458" s="216"/>
      <c r="P1458" s="216"/>
      <c r="Q1458" s="216"/>
      <c r="R1458" s="216"/>
      <c r="S1458" s="216"/>
      <c r="T1458" s="216"/>
      <c r="U1458" s="216"/>
      <c r="V1458" s="216"/>
      <c r="W1458" s="216"/>
      <c r="X1458" s="216"/>
      <c r="Y1458" s="216"/>
      <c r="Z1458" s="216"/>
    </row>
    <row r="1459" spans="1:26" ht="15" customHeight="1">
      <c r="A1459" s="134" t="s">
        <v>6907</v>
      </c>
      <c r="B1459" s="133" t="s">
        <v>8972</v>
      </c>
      <c r="C1459" s="133" t="s">
        <v>9461</v>
      </c>
      <c r="D1459" s="100" t="s">
        <v>7698</v>
      </c>
      <c r="E1459" s="528">
        <f>26/3*0.25</f>
        <v>2.1666666666666665</v>
      </c>
      <c r="F1459" s="528">
        <f t="shared" si="172"/>
        <v>2.1666666666666665</v>
      </c>
      <c r="G1459" s="338" t="s">
        <v>113</v>
      </c>
      <c r="H1459" s="216"/>
      <c r="I1459" s="216"/>
      <c r="J1459" s="216"/>
      <c r="K1459" s="216"/>
      <c r="L1459" s="216"/>
      <c r="M1459" s="216"/>
      <c r="N1459" s="216"/>
      <c r="O1459" s="216"/>
      <c r="P1459" s="216"/>
      <c r="Q1459" s="216"/>
      <c r="R1459" s="216"/>
      <c r="S1459" s="216"/>
      <c r="T1459" s="216"/>
      <c r="U1459" s="216"/>
      <c r="V1459" s="216"/>
      <c r="W1459" s="216"/>
      <c r="X1459" s="216"/>
      <c r="Y1459" s="216"/>
      <c r="Z1459" s="216"/>
    </row>
    <row r="1460" spans="1:26" ht="15" customHeight="1">
      <c r="A1460" s="134" t="s">
        <v>6907</v>
      </c>
      <c r="B1460" s="133" t="s">
        <v>8972</v>
      </c>
      <c r="C1460" s="133" t="s">
        <v>9462</v>
      </c>
      <c r="D1460" s="100" t="s">
        <v>7698</v>
      </c>
      <c r="E1460" s="186">
        <f>(27+18)/3*0.25</f>
        <v>3.75</v>
      </c>
      <c r="F1460" s="528">
        <f t="shared" si="172"/>
        <v>3.75</v>
      </c>
      <c r="G1460" s="338" t="s">
        <v>113</v>
      </c>
      <c r="H1460" s="216"/>
      <c r="I1460" s="216"/>
      <c r="J1460" s="216"/>
      <c r="K1460" s="216"/>
      <c r="L1460" s="216"/>
      <c r="M1460" s="216"/>
      <c r="N1460" s="216"/>
      <c r="O1460" s="216"/>
      <c r="P1460" s="216"/>
      <c r="Q1460" s="216"/>
      <c r="R1460" s="216"/>
      <c r="S1460" s="216"/>
      <c r="T1460" s="216"/>
      <c r="U1460" s="216"/>
      <c r="V1460" s="216"/>
      <c r="W1460" s="216"/>
      <c r="X1460" s="216"/>
      <c r="Y1460" s="216"/>
      <c r="Z1460" s="216"/>
    </row>
    <row r="1461" spans="1:26" ht="15" customHeight="1">
      <c r="A1461" s="134" t="s">
        <v>6907</v>
      </c>
      <c r="B1461" s="133" t="s">
        <v>8972</v>
      </c>
      <c r="C1461" s="133" t="s">
        <v>9463</v>
      </c>
      <c r="D1461" s="100" t="s">
        <v>7698</v>
      </c>
      <c r="E1461" s="186">
        <f>26/3*0.25</f>
        <v>2.1666666666666665</v>
      </c>
      <c r="F1461" s="528">
        <f t="shared" si="172"/>
        <v>2.1666666666666665</v>
      </c>
      <c r="G1461" s="338" t="s">
        <v>113</v>
      </c>
      <c r="H1461" s="216"/>
      <c r="I1461" s="216"/>
      <c r="J1461" s="216"/>
      <c r="K1461" s="216"/>
      <c r="L1461" s="216"/>
      <c r="M1461" s="216"/>
      <c r="N1461" s="216"/>
      <c r="O1461" s="216"/>
      <c r="P1461" s="216"/>
      <c r="Q1461" s="216"/>
      <c r="R1461" s="216"/>
      <c r="S1461" s="216"/>
      <c r="T1461" s="216"/>
      <c r="U1461" s="216"/>
      <c r="V1461" s="216"/>
      <c r="W1461" s="216"/>
      <c r="X1461" s="216"/>
      <c r="Y1461" s="216"/>
      <c r="Z1461" s="216"/>
    </row>
    <row r="1462" spans="1:26" ht="15" customHeight="1">
      <c r="A1462" s="134" t="s">
        <v>6907</v>
      </c>
      <c r="B1462" s="133" t="s">
        <v>105</v>
      </c>
      <c r="C1462" s="133" t="s">
        <v>9030</v>
      </c>
      <c r="D1462" s="116" t="s">
        <v>7778</v>
      </c>
      <c r="E1462" s="528">
        <f>48/3*2</f>
        <v>32</v>
      </c>
      <c r="F1462" s="528">
        <f t="shared" si="172"/>
        <v>32</v>
      </c>
      <c r="G1462" s="338" t="s">
        <v>113</v>
      </c>
      <c r="H1462" s="216"/>
      <c r="I1462" s="216"/>
      <c r="J1462" s="216"/>
      <c r="K1462" s="216"/>
      <c r="L1462" s="216"/>
      <c r="M1462" s="216"/>
      <c r="N1462" s="216"/>
      <c r="O1462" s="216"/>
      <c r="P1462" s="216"/>
      <c r="Q1462" s="216"/>
      <c r="R1462" s="216"/>
      <c r="S1462" s="216"/>
      <c r="T1462" s="216"/>
      <c r="U1462" s="216"/>
      <c r="V1462" s="216"/>
      <c r="W1462" s="216"/>
      <c r="X1462" s="216"/>
      <c r="Y1462" s="216"/>
      <c r="Z1462" s="216"/>
    </row>
    <row r="1463" spans="1:26" ht="15" customHeight="1">
      <c r="A1463" s="134" t="s">
        <v>6907</v>
      </c>
      <c r="B1463" s="133" t="s">
        <v>8972</v>
      </c>
      <c r="C1463" s="133" t="s">
        <v>9245</v>
      </c>
      <c r="D1463" s="100" t="s">
        <v>7778</v>
      </c>
      <c r="E1463" s="528">
        <f>3/3*2</f>
        <v>2</v>
      </c>
      <c r="F1463" s="528">
        <f t="shared" si="172"/>
        <v>2</v>
      </c>
      <c r="G1463" s="338" t="s">
        <v>113</v>
      </c>
      <c r="H1463" s="216"/>
      <c r="I1463" s="216"/>
      <c r="J1463" s="216"/>
      <c r="K1463" s="216"/>
      <c r="L1463" s="216"/>
      <c r="M1463" s="216"/>
      <c r="N1463" s="216"/>
      <c r="O1463" s="216"/>
      <c r="P1463" s="216"/>
      <c r="Q1463" s="216"/>
      <c r="R1463" s="216"/>
      <c r="S1463" s="216"/>
      <c r="T1463" s="216"/>
      <c r="U1463" s="216"/>
      <c r="V1463" s="216"/>
      <c r="W1463" s="216"/>
      <c r="X1463" s="216"/>
      <c r="Y1463" s="216"/>
      <c r="Z1463" s="216"/>
    </row>
    <row r="1464" spans="1:26" ht="15" customHeight="1">
      <c r="A1464" s="134" t="s">
        <v>6907</v>
      </c>
      <c r="B1464" s="133" t="s">
        <v>8972</v>
      </c>
      <c r="C1464" s="133" t="s">
        <v>9464</v>
      </c>
      <c r="D1464" s="100" t="s">
        <v>7778</v>
      </c>
      <c r="E1464" s="528">
        <f>39/3*2</f>
        <v>26</v>
      </c>
      <c r="F1464" s="528">
        <f t="shared" si="172"/>
        <v>26</v>
      </c>
      <c r="G1464" s="338" t="s">
        <v>113</v>
      </c>
      <c r="H1464" s="216"/>
      <c r="I1464" s="216"/>
      <c r="J1464" s="216"/>
      <c r="K1464" s="216"/>
      <c r="L1464" s="216"/>
      <c r="M1464" s="216"/>
      <c r="N1464" s="216"/>
      <c r="O1464" s="216"/>
      <c r="P1464" s="216"/>
      <c r="Q1464" s="216"/>
      <c r="R1464" s="216"/>
      <c r="S1464" s="216"/>
      <c r="T1464" s="216"/>
      <c r="U1464" s="216"/>
      <c r="V1464" s="216"/>
      <c r="W1464" s="216"/>
      <c r="X1464" s="216"/>
      <c r="Y1464" s="216"/>
      <c r="Z1464" s="216"/>
    </row>
    <row r="1465" spans="1:26" ht="15" customHeight="1">
      <c r="A1465" s="134" t="s">
        <v>6907</v>
      </c>
      <c r="B1465" s="133" t="s">
        <v>105</v>
      </c>
      <c r="C1465" s="133" t="s">
        <v>9465</v>
      </c>
      <c r="D1465" s="116" t="s">
        <v>7778</v>
      </c>
      <c r="E1465" s="528">
        <f>25/3*3</f>
        <v>25</v>
      </c>
      <c r="F1465" s="528">
        <f t="shared" si="172"/>
        <v>25</v>
      </c>
      <c r="G1465" s="338" t="s">
        <v>113</v>
      </c>
      <c r="H1465" s="216"/>
      <c r="I1465" s="216"/>
      <c r="J1465" s="216"/>
      <c r="K1465" s="216"/>
      <c r="L1465" s="216"/>
      <c r="M1465" s="216"/>
      <c r="N1465" s="216"/>
      <c r="O1465" s="216"/>
      <c r="P1465" s="216"/>
      <c r="Q1465" s="216"/>
      <c r="R1465" s="216"/>
      <c r="S1465" s="216"/>
      <c r="T1465" s="216"/>
      <c r="U1465" s="216"/>
      <c r="V1465" s="216"/>
      <c r="W1465" s="216"/>
      <c r="X1465" s="216"/>
      <c r="Y1465" s="216"/>
      <c r="Z1465" s="216"/>
    </row>
    <row r="1466" spans="1:26" ht="15" customHeight="1">
      <c r="A1466" s="134" t="s">
        <v>6907</v>
      </c>
      <c r="B1466" s="133" t="s">
        <v>105</v>
      </c>
      <c r="C1466" s="133" t="s">
        <v>9032</v>
      </c>
      <c r="D1466" s="116" t="s">
        <v>7778</v>
      </c>
      <c r="E1466" s="528">
        <f>14/3*3</f>
        <v>14</v>
      </c>
      <c r="F1466" s="528">
        <f t="shared" si="172"/>
        <v>14</v>
      </c>
      <c r="G1466" s="338" t="s">
        <v>113</v>
      </c>
      <c r="H1466" s="216"/>
      <c r="I1466" s="216"/>
      <c r="J1466" s="216"/>
      <c r="K1466" s="216"/>
      <c r="L1466" s="216"/>
      <c r="M1466" s="216"/>
      <c r="N1466" s="216"/>
      <c r="O1466" s="216"/>
      <c r="P1466" s="216"/>
      <c r="Q1466" s="216"/>
      <c r="R1466" s="216"/>
      <c r="S1466" s="216"/>
      <c r="T1466" s="216"/>
      <c r="U1466" s="216"/>
      <c r="V1466" s="216"/>
      <c r="W1466" s="216"/>
      <c r="X1466" s="216"/>
      <c r="Y1466" s="216"/>
      <c r="Z1466" s="216"/>
    </row>
    <row r="1467" spans="1:26" ht="15" customHeight="1">
      <c r="A1467" s="134" t="s">
        <v>6907</v>
      </c>
      <c r="B1467" s="133" t="s">
        <v>105</v>
      </c>
      <c r="C1467" s="133" t="s">
        <v>9466</v>
      </c>
      <c r="D1467" s="116" t="s">
        <v>7778</v>
      </c>
      <c r="E1467" s="528">
        <f>(1/3)*3</f>
        <v>1</v>
      </c>
      <c r="F1467" s="528">
        <f t="shared" si="172"/>
        <v>1</v>
      </c>
      <c r="G1467" s="338" t="s">
        <v>113</v>
      </c>
      <c r="H1467" s="216"/>
      <c r="I1467" s="216"/>
      <c r="J1467" s="216"/>
      <c r="K1467" s="216"/>
      <c r="L1467" s="216"/>
      <c r="M1467" s="216"/>
      <c r="N1467" s="216"/>
      <c r="O1467" s="216"/>
      <c r="P1467" s="216"/>
      <c r="Q1467" s="216"/>
      <c r="R1467" s="216"/>
      <c r="S1467" s="216"/>
      <c r="T1467" s="216"/>
      <c r="U1467" s="216"/>
      <c r="V1467" s="216"/>
      <c r="W1467" s="216"/>
      <c r="X1467" s="216"/>
      <c r="Y1467" s="216"/>
      <c r="Z1467" s="216"/>
    </row>
    <row r="1468" spans="1:26" ht="15" customHeight="1">
      <c r="A1468" s="134" t="s">
        <v>6907</v>
      </c>
      <c r="B1468" s="133" t="s">
        <v>8972</v>
      </c>
      <c r="C1468" s="133" t="s">
        <v>9246</v>
      </c>
      <c r="D1468" s="100" t="s">
        <v>7778</v>
      </c>
      <c r="E1468" s="186">
        <f>2*56/3</f>
        <v>37.333333333333336</v>
      </c>
      <c r="F1468" s="528">
        <f t="shared" si="172"/>
        <v>37.333333333333336</v>
      </c>
      <c r="G1468" s="338" t="s">
        <v>113</v>
      </c>
      <c r="H1468" s="216"/>
      <c r="I1468" s="216"/>
      <c r="J1468" s="216"/>
      <c r="K1468" s="216"/>
      <c r="L1468" s="216"/>
      <c r="M1468" s="216"/>
      <c r="N1468" s="216"/>
      <c r="O1468" s="216"/>
      <c r="P1468" s="216"/>
      <c r="Q1468" s="216"/>
      <c r="R1468" s="216"/>
      <c r="S1468" s="216"/>
      <c r="T1468" s="216"/>
      <c r="U1468" s="216"/>
      <c r="V1468" s="216"/>
      <c r="W1468" s="216"/>
      <c r="X1468" s="216"/>
      <c r="Y1468" s="216"/>
      <c r="Z1468" s="216"/>
    </row>
    <row r="1469" spans="1:26" ht="15" customHeight="1">
      <c r="A1469" s="134" t="s">
        <v>6907</v>
      </c>
      <c r="B1469" s="133" t="s">
        <v>105</v>
      </c>
      <c r="C1469" s="133" t="s">
        <v>9467</v>
      </c>
      <c r="D1469" s="100" t="s">
        <v>7778</v>
      </c>
      <c r="E1469" s="186">
        <f>3*9/3</f>
        <v>9</v>
      </c>
      <c r="F1469" s="528">
        <f t="shared" si="172"/>
        <v>9</v>
      </c>
      <c r="G1469" s="338" t="s">
        <v>113</v>
      </c>
      <c r="H1469" s="216"/>
      <c r="I1469" s="216"/>
      <c r="J1469" s="216"/>
      <c r="K1469" s="216"/>
      <c r="L1469" s="216"/>
      <c r="M1469" s="216"/>
      <c r="N1469" s="216"/>
      <c r="O1469" s="216"/>
      <c r="P1469" s="216"/>
      <c r="Q1469" s="216"/>
      <c r="R1469" s="216"/>
      <c r="S1469" s="216"/>
      <c r="T1469" s="216"/>
      <c r="U1469" s="216"/>
      <c r="V1469" s="216"/>
      <c r="W1469" s="216"/>
      <c r="X1469" s="216"/>
      <c r="Y1469" s="216"/>
      <c r="Z1469" s="216"/>
    </row>
    <row r="1470" spans="1:26" ht="15" customHeight="1">
      <c r="A1470" s="134" t="s">
        <v>6907</v>
      </c>
      <c r="B1470" s="133" t="s">
        <v>105</v>
      </c>
      <c r="C1470" s="133" t="s">
        <v>9468</v>
      </c>
      <c r="D1470" s="100" t="s">
        <v>7778</v>
      </c>
      <c r="E1470" s="528">
        <f>24/3*2</f>
        <v>16</v>
      </c>
      <c r="F1470" s="528">
        <f t="shared" si="172"/>
        <v>16</v>
      </c>
      <c r="G1470" s="338" t="s">
        <v>113</v>
      </c>
      <c r="H1470" s="216"/>
      <c r="I1470" s="216"/>
      <c r="J1470" s="216"/>
      <c r="K1470" s="216"/>
      <c r="L1470" s="216"/>
      <c r="M1470" s="216"/>
      <c r="N1470" s="216"/>
      <c r="O1470" s="216"/>
      <c r="P1470" s="216"/>
      <c r="Q1470" s="216"/>
      <c r="R1470" s="216"/>
      <c r="S1470" s="216"/>
      <c r="T1470" s="216"/>
      <c r="U1470" s="216"/>
      <c r="V1470" s="216"/>
      <c r="W1470" s="216"/>
      <c r="X1470" s="216"/>
      <c r="Y1470" s="216"/>
      <c r="Z1470" s="216"/>
    </row>
    <row r="1471" spans="1:26" ht="15" customHeight="1">
      <c r="A1471" s="134" t="s">
        <v>131</v>
      </c>
      <c r="B1471" s="133" t="s">
        <v>8972</v>
      </c>
      <c r="C1471" s="133" t="s">
        <v>9469</v>
      </c>
      <c r="D1471" s="116" t="s">
        <v>7778</v>
      </c>
      <c r="E1471" s="528">
        <f t="shared" ref="E1471:E1472" si="173">59/3</f>
        <v>19.666666666666668</v>
      </c>
      <c r="F1471" s="528">
        <f t="shared" si="172"/>
        <v>19.666666666666668</v>
      </c>
      <c r="G1471" s="338" t="s">
        <v>131</v>
      </c>
      <c r="H1471" s="216"/>
      <c r="I1471" s="216"/>
      <c r="J1471" s="216"/>
      <c r="K1471" s="216"/>
      <c r="L1471" s="216"/>
      <c r="M1471" s="216"/>
      <c r="N1471" s="216"/>
      <c r="O1471" s="216"/>
      <c r="P1471" s="216"/>
      <c r="Q1471" s="216"/>
      <c r="R1471" s="216"/>
      <c r="S1471" s="216"/>
      <c r="T1471" s="216"/>
      <c r="U1471" s="216"/>
      <c r="V1471" s="216"/>
      <c r="W1471" s="216"/>
      <c r="X1471" s="216"/>
      <c r="Y1471" s="216"/>
      <c r="Z1471" s="216"/>
    </row>
    <row r="1472" spans="1:26" ht="15" customHeight="1">
      <c r="A1472" s="134" t="s">
        <v>131</v>
      </c>
      <c r="B1472" s="133" t="s">
        <v>8972</v>
      </c>
      <c r="C1472" s="133" t="s">
        <v>9470</v>
      </c>
      <c r="D1472" s="116" t="s">
        <v>7778</v>
      </c>
      <c r="E1472" s="528">
        <f t="shared" si="173"/>
        <v>19.666666666666668</v>
      </c>
      <c r="F1472" s="528">
        <f t="shared" si="172"/>
        <v>19.666666666666668</v>
      </c>
      <c r="G1472" s="338" t="s">
        <v>131</v>
      </c>
      <c r="H1472" s="216"/>
      <c r="I1472" s="216"/>
      <c r="J1472" s="216"/>
      <c r="K1472" s="216"/>
      <c r="L1472" s="216"/>
      <c r="M1472" s="216"/>
      <c r="N1472" s="216"/>
      <c r="O1472" s="216"/>
      <c r="P1472" s="216"/>
      <c r="Q1472" s="216"/>
      <c r="R1472" s="216"/>
      <c r="S1472" s="216"/>
      <c r="T1472" s="216"/>
      <c r="U1472" s="216"/>
      <c r="V1472" s="216"/>
      <c r="W1472" s="216"/>
      <c r="X1472" s="216"/>
      <c r="Y1472" s="216"/>
      <c r="Z1472" s="216"/>
    </row>
    <row r="1473" spans="1:26" ht="15" customHeight="1">
      <c r="A1473" s="134" t="s">
        <v>131</v>
      </c>
      <c r="B1473" s="133" t="s">
        <v>8972</v>
      </c>
      <c r="C1473" s="133" t="s">
        <v>9471</v>
      </c>
      <c r="D1473" s="116" t="s">
        <v>7778</v>
      </c>
      <c r="E1473" s="528">
        <f>59/3*0.25</f>
        <v>4.916666666666667</v>
      </c>
      <c r="F1473" s="528">
        <f t="shared" si="172"/>
        <v>4.916666666666667</v>
      </c>
      <c r="G1473" s="338" t="s">
        <v>131</v>
      </c>
      <c r="H1473" s="216"/>
      <c r="I1473" s="216"/>
      <c r="J1473" s="216"/>
      <c r="K1473" s="216"/>
      <c r="L1473" s="216"/>
      <c r="M1473" s="216"/>
      <c r="N1473" s="216"/>
      <c r="O1473" s="216"/>
      <c r="P1473" s="216"/>
      <c r="Q1473" s="216"/>
      <c r="R1473" s="216"/>
      <c r="S1473" s="216"/>
      <c r="T1473" s="216"/>
      <c r="U1473" s="216"/>
      <c r="V1473" s="216"/>
      <c r="W1473" s="216"/>
      <c r="X1473" s="216"/>
      <c r="Y1473" s="216"/>
      <c r="Z1473" s="216"/>
    </row>
    <row r="1474" spans="1:26" ht="15" customHeight="1">
      <c r="A1474" s="134" t="s">
        <v>131</v>
      </c>
      <c r="B1474" s="133" t="s">
        <v>8972</v>
      </c>
      <c r="C1474" s="133" t="s">
        <v>9472</v>
      </c>
      <c r="D1474" s="116" t="s">
        <v>7778</v>
      </c>
      <c r="E1474" s="528">
        <f>59/3*0.1</f>
        <v>1.9666666666666668</v>
      </c>
      <c r="F1474" s="528">
        <f t="shared" si="172"/>
        <v>1.9666666666666668</v>
      </c>
      <c r="G1474" s="338" t="s">
        <v>131</v>
      </c>
      <c r="H1474" s="216"/>
      <c r="I1474" s="216"/>
      <c r="J1474" s="216"/>
      <c r="K1474" s="216"/>
      <c r="L1474" s="216"/>
      <c r="M1474" s="216"/>
      <c r="N1474" s="216"/>
      <c r="O1474" s="216"/>
      <c r="P1474" s="216"/>
      <c r="Q1474" s="216"/>
      <c r="R1474" s="216"/>
      <c r="S1474" s="216"/>
      <c r="T1474" s="216"/>
      <c r="U1474" s="216"/>
      <c r="V1474" s="216"/>
      <c r="W1474" s="216"/>
      <c r="X1474" s="216"/>
      <c r="Y1474" s="216"/>
      <c r="Z1474" s="216"/>
    </row>
    <row r="1475" spans="1:26" ht="15" customHeight="1">
      <c r="A1475" s="134" t="s">
        <v>131</v>
      </c>
      <c r="B1475" s="133" t="s">
        <v>8972</v>
      </c>
      <c r="C1475" s="133" t="s">
        <v>9473</v>
      </c>
      <c r="D1475" s="116" t="s">
        <v>8056</v>
      </c>
      <c r="E1475" s="528">
        <f t="shared" ref="E1475:E1476" si="174">59/3*0.5</f>
        <v>9.8333333333333339</v>
      </c>
      <c r="F1475" s="528">
        <f t="shared" si="172"/>
        <v>9.8333333333333339</v>
      </c>
      <c r="G1475" s="338" t="s">
        <v>131</v>
      </c>
      <c r="H1475" s="216"/>
      <c r="I1475" s="216"/>
      <c r="J1475" s="216"/>
      <c r="K1475" s="216"/>
      <c r="L1475" s="216"/>
      <c r="M1475" s="216"/>
      <c r="N1475" s="216"/>
      <c r="O1475" s="216"/>
      <c r="P1475" s="216"/>
      <c r="Q1475" s="216"/>
      <c r="R1475" s="216"/>
      <c r="S1475" s="216"/>
      <c r="T1475" s="216"/>
      <c r="U1475" s="216"/>
      <c r="V1475" s="216"/>
      <c r="W1475" s="216"/>
      <c r="X1475" s="216"/>
      <c r="Y1475" s="216"/>
      <c r="Z1475" s="216"/>
    </row>
    <row r="1476" spans="1:26" ht="15" customHeight="1">
      <c r="A1476" s="134" t="s">
        <v>131</v>
      </c>
      <c r="B1476" s="133" t="s">
        <v>8972</v>
      </c>
      <c r="C1476" s="133" t="s">
        <v>9474</v>
      </c>
      <c r="D1476" s="116" t="s">
        <v>8056</v>
      </c>
      <c r="E1476" s="528">
        <f t="shared" si="174"/>
        <v>9.8333333333333339</v>
      </c>
      <c r="F1476" s="528">
        <f t="shared" si="172"/>
        <v>9.8333333333333339</v>
      </c>
      <c r="G1476" s="338" t="s">
        <v>131</v>
      </c>
      <c r="H1476" s="216"/>
      <c r="I1476" s="216"/>
      <c r="J1476" s="216"/>
      <c r="K1476" s="216"/>
      <c r="L1476" s="216"/>
      <c r="M1476" s="216"/>
      <c r="N1476" s="216"/>
      <c r="O1476" s="216"/>
      <c r="P1476" s="216"/>
      <c r="Q1476" s="216"/>
      <c r="R1476" s="216"/>
      <c r="S1476" s="216"/>
      <c r="T1476" s="216"/>
      <c r="U1476" s="216"/>
      <c r="V1476" s="216"/>
      <c r="W1476" s="216"/>
      <c r="X1476" s="216"/>
      <c r="Y1476" s="216"/>
      <c r="Z1476" s="216"/>
    </row>
    <row r="1477" spans="1:26" ht="15" customHeight="1">
      <c r="A1477" s="134" t="s">
        <v>131</v>
      </c>
      <c r="B1477" s="133" t="s">
        <v>8972</v>
      </c>
      <c r="C1477" s="133" t="s">
        <v>9475</v>
      </c>
      <c r="D1477" s="116" t="s">
        <v>8056</v>
      </c>
      <c r="E1477" s="528">
        <f>59/3*0.25*0.5</f>
        <v>2.4583333333333335</v>
      </c>
      <c r="F1477" s="528">
        <f t="shared" si="172"/>
        <v>2.4583333333333335</v>
      </c>
      <c r="G1477" s="338" t="s">
        <v>131</v>
      </c>
      <c r="H1477" s="216"/>
      <c r="I1477" s="216"/>
      <c r="J1477" s="216"/>
      <c r="K1477" s="216"/>
      <c r="L1477" s="216"/>
      <c r="M1477" s="216"/>
      <c r="N1477" s="216"/>
      <c r="O1477" s="216"/>
      <c r="P1477" s="216"/>
      <c r="Q1477" s="216"/>
      <c r="R1477" s="216"/>
      <c r="S1477" s="216"/>
      <c r="T1477" s="216"/>
      <c r="U1477" s="216"/>
      <c r="V1477" s="216"/>
      <c r="W1477" s="216"/>
      <c r="X1477" s="216"/>
      <c r="Y1477" s="216"/>
      <c r="Z1477" s="216"/>
    </row>
    <row r="1478" spans="1:26" ht="15" customHeight="1">
      <c r="A1478" s="134" t="s">
        <v>131</v>
      </c>
      <c r="B1478" s="133" t="s">
        <v>968</v>
      </c>
      <c r="C1478" s="133" t="s">
        <v>9476</v>
      </c>
      <c r="D1478" s="116" t="s">
        <v>8056</v>
      </c>
      <c r="E1478" s="528">
        <f>59/3*0.1*0.5</f>
        <v>0.98333333333333339</v>
      </c>
      <c r="F1478" s="528">
        <f t="shared" si="172"/>
        <v>0.98333333333333339</v>
      </c>
      <c r="G1478" s="338" t="s">
        <v>131</v>
      </c>
      <c r="H1478" s="216"/>
      <c r="I1478" s="216"/>
      <c r="J1478" s="216"/>
      <c r="K1478" s="216"/>
      <c r="L1478" s="216"/>
      <c r="M1478" s="216"/>
      <c r="N1478" s="216"/>
      <c r="O1478" s="216"/>
      <c r="P1478" s="216"/>
      <c r="Q1478" s="216"/>
      <c r="R1478" s="216"/>
      <c r="S1478" s="216"/>
      <c r="T1478" s="216"/>
      <c r="U1478" s="216"/>
      <c r="V1478" s="216"/>
      <c r="W1478" s="216"/>
      <c r="X1478" s="216"/>
      <c r="Y1478" s="216"/>
      <c r="Z1478" s="216"/>
    </row>
    <row r="1479" spans="1:26" ht="15" customHeight="1">
      <c r="A1479" s="134" t="s">
        <v>133</v>
      </c>
      <c r="B1479" s="133" t="s">
        <v>3753</v>
      </c>
      <c r="C1479" s="133" t="s">
        <v>9477</v>
      </c>
      <c r="D1479" s="100" t="s">
        <v>7778</v>
      </c>
      <c r="E1479" s="116">
        <f t="shared" ref="E1479:E1486" si="175">31/3</f>
        <v>10.333333333333334</v>
      </c>
      <c r="F1479" s="100">
        <v>10</v>
      </c>
      <c r="G1479" s="338" t="s">
        <v>133</v>
      </c>
      <c r="H1479" s="216"/>
      <c r="I1479" s="216"/>
      <c r="J1479" s="216"/>
      <c r="K1479" s="216"/>
      <c r="L1479" s="216"/>
      <c r="M1479" s="216"/>
      <c r="N1479" s="216"/>
      <c r="O1479" s="216"/>
      <c r="P1479" s="216"/>
      <c r="Q1479" s="216"/>
      <c r="R1479" s="216"/>
      <c r="S1479" s="216"/>
      <c r="T1479" s="216"/>
      <c r="U1479" s="216"/>
      <c r="V1479" s="216"/>
      <c r="W1479" s="216"/>
      <c r="X1479" s="216"/>
      <c r="Y1479" s="216"/>
      <c r="Z1479" s="216"/>
    </row>
    <row r="1480" spans="1:26" ht="15" customHeight="1">
      <c r="A1480" s="134" t="s">
        <v>133</v>
      </c>
      <c r="B1480" s="133" t="s">
        <v>3753</v>
      </c>
      <c r="C1480" s="133" t="s">
        <v>9478</v>
      </c>
      <c r="D1480" s="100" t="s">
        <v>7778</v>
      </c>
      <c r="E1480" s="116">
        <f t="shared" si="175"/>
        <v>10.333333333333334</v>
      </c>
      <c r="F1480" s="100">
        <v>10</v>
      </c>
      <c r="G1480" s="338" t="s">
        <v>133</v>
      </c>
      <c r="H1480" s="216"/>
      <c r="I1480" s="216"/>
      <c r="J1480" s="216"/>
      <c r="K1480" s="216"/>
      <c r="L1480" s="216"/>
      <c r="M1480" s="216"/>
      <c r="N1480" s="216"/>
      <c r="O1480" s="216"/>
      <c r="P1480" s="216"/>
      <c r="Q1480" s="216"/>
      <c r="R1480" s="216"/>
      <c r="S1480" s="216"/>
      <c r="T1480" s="216"/>
      <c r="U1480" s="216"/>
      <c r="V1480" s="216"/>
      <c r="W1480" s="216"/>
      <c r="X1480" s="216"/>
      <c r="Y1480" s="216"/>
      <c r="Z1480" s="216"/>
    </row>
    <row r="1481" spans="1:26" ht="15" customHeight="1">
      <c r="A1481" s="134" t="s">
        <v>133</v>
      </c>
      <c r="B1481" s="133" t="s">
        <v>3753</v>
      </c>
      <c r="C1481" s="133" t="s">
        <v>9479</v>
      </c>
      <c r="D1481" s="100" t="s">
        <v>7778</v>
      </c>
      <c r="E1481" s="116">
        <f t="shared" si="175"/>
        <v>10.333333333333334</v>
      </c>
      <c r="F1481" s="100">
        <v>10</v>
      </c>
      <c r="G1481" s="338" t="s">
        <v>133</v>
      </c>
      <c r="H1481" s="216"/>
      <c r="I1481" s="216"/>
      <c r="J1481" s="216"/>
      <c r="K1481" s="216"/>
      <c r="L1481" s="216"/>
      <c r="M1481" s="216"/>
      <c r="N1481" s="216"/>
      <c r="O1481" s="216"/>
      <c r="P1481" s="216"/>
      <c r="Q1481" s="216"/>
      <c r="R1481" s="216"/>
      <c r="S1481" s="216"/>
      <c r="T1481" s="216"/>
      <c r="U1481" s="216"/>
      <c r="V1481" s="216"/>
      <c r="W1481" s="216"/>
      <c r="X1481" s="216"/>
      <c r="Y1481" s="216"/>
      <c r="Z1481" s="216"/>
    </row>
    <row r="1482" spans="1:26" ht="15" customHeight="1">
      <c r="A1482" s="134" t="s">
        <v>133</v>
      </c>
      <c r="B1482" s="133" t="s">
        <v>3753</v>
      </c>
      <c r="C1482" s="133" t="s">
        <v>9480</v>
      </c>
      <c r="D1482" s="100" t="s">
        <v>7778</v>
      </c>
      <c r="E1482" s="116">
        <f t="shared" si="175"/>
        <v>10.333333333333334</v>
      </c>
      <c r="F1482" s="100">
        <v>10</v>
      </c>
      <c r="G1482" s="338" t="s">
        <v>133</v>
      </c>
      <c r="H1482" s="216"/>
      <c r="I1482" s="216"/>
      <c r="J1482" s="216"/>
      <c r="K1482" s="216"/>
      <c r="L1482" s="216"/>
      <c r="M1482" s="216"/>
      <c r="N1482" s="216"/>
      <c r="O1482" s="216"/>
      <c r="P1482" s="216"/>
      <c r="Q1482" s="216"/>
      <c r="R1482" s="216"/>
      <c r="S1482" s="216"/>
      <c r="T1482" s="216"/>
      <c r="U1482" s="216"/>
      <c r="V1482" s="216"/>
      <c r="W1482" s="216"/>
      <c r="X1482" s="216"/>
      <c r="Y1482" s="216"/>
      <c r="Z1482" s="216"/>
    </row>
    <row r="1483" spans="1:26" ht="15" customHeight="1">
      <c r="A1483" s="134" t="s">
        <v>133</v>
      </c>
      <c r="B1483" s="133" t="s">
        <v>3753</v>
      </c>
      <c r="C1483" s="133" t="s">
        <v>9481</v>
      </c>
      <c r="D1483" s="100" t="s">
        <v>7778</v>
      </c>
      <c r="E1483" s="116">
        <f t="shared" si="175"/>
        <v>10.333333333333334</v>
      </c>
      <c r="F1483" s="100">
        <v>10</v>
      </c>
      <c r="G1483" s="338" t="s">
        <v>133</v>
      </c>
      <c r="H1483" s="216"/>
      <c r="I1483" s="216"/>
      <c r="J1483" s="216"/>
      <c r="K1483" s="216"/>
      <c r="L1483" s="216"/>
      <c r="M1483" s="216"/>
      <c r="N1483" s="216"/>
      <c r="O1483" s="216"/>
      <c r="P1483" s="216"/>
      <c r="Q1483" s="216"/>
      <c r="R1483" s="216"/>
      <c r="S1483" s="216"/>
      <c r="T1483" s="216"/>
      <c r="U1483" s="216"/>
      <c r="V1483" s="216"/>
      <c r="W1483" s="216"/>
      <c r="X1483" s="216"/>
      <c r="Y1483" s="216"/>
      <c r="Z1483" s="216"/>
    </row>
    <row r="1484" spans="1:26" ht="15" customHeight="1">
      <c r="A1484" s="134" t="s">
        <v>133</v>
      </c>
      <c r="B1484" s="133" t="s">
        <v>3753</v>
      </c>
      <c r="C1484" s="133" t="s">
        <v>9482</v>
      </c>
      <c r="D1484" s="100" t="s">
        <v>7778</v>
      </c>
      <c r="E1484" s="116">
        <f t="shared" si="175"/>
        <v>10.333333333333334</v>
      </c>
      <c r="F1484" s="100">
        <v>10</v>
      </c>
      <c r="G1484" s="338" t="s">
        <v>133</v>
      </c>
      <c r="H1484" s="216"/>
      <c r="I1484" s="216"/>
      <c r="J1484" s="216"/>
      <c r="K1484" s="216"/>
      <c r="L1484" s="216"/>
      <c r="M1484" s="216"/>
      <c r="N1484" s="216"/>
      <c r="O1484" s="216"/>
      <c r="P1484" s="216"/>
      <c r="Q1484" s="216"/>
      <c r="R1484" s="216"/>
      <c r="S1484" s="216"/>
      <c r="T1484" s="216"/>
      <c r="U1484" s="216"/>
      <c r="V1484" s="216"/>
      <c r="W1484" s="216"/>
      <c r="X1484" s="216"/>
      <c r="Y1484" s="216"/>
      <c r="Z1484" s="216"/>
    </row>
    <row r="1485" spans="1:26" ht="15" customHeight="1">
      <c r="A1485" s="134" t="s">
        <v>133</v>
      </c>
      <c r="B1485" s="133" t="s">
        <v>3753</v>
      </c>
      <c r="C1485" s="133" t="s">
        <v>9483</v>
      </c>
      <c r="D1485" s="100" t="s">
        <v>7778</v>
      </c>
      <c r="E1485" s="116">
        <f t="shared" si="175"/>
        <v>10.333333333333334</v>
      </c>
      <c r="F1485" s="100">
        <v>10</v>
      </c>
      <c r="G1485" s="338" t="s">
        <v>133</v>
      </c>
      <c r="H1485" s="216"/>
      <c r="I1485" s="216"/>
      <c r="J1485" s="216"/>
      <c r="K1485" s="216"/>
      <c r="L1485" s="216"/>
      <c r="M1485" s="216"/>
      <c r="N1485" s="216"/>
      <c r="O1485" s="216"/>
      <c r="P1485" s="216"/>
      <c r="Q1485" s="216"/>
      <c r="R1485" s="216"/>
      <c r="S1485" s="216"/>
      <c r="T1485" s="216"/>
      <c r="U1485" s="216"/>
      <c r="V1485" s="216"/>
      <c r="W1485" s="216"/>
      <c r="X1485" s="216"/>
      <c r="Y1485" s="216"/>
      <c r="Z1485" s="216"/>
    </row>
    <row r="1486" spans="1:26" ht="15" customHeight="1">
      <c r="A1486" s="134" t="s">
        <v>133</v>
      </c>
      <c r="B1486" s="133" t="s">
        <v>3753</v>
      </c>
      <c r="C1486" s="133" t="s">
        <v>9484</v>
      </c>
      <c r="D1486" s="100" t="s">
        <v>7778</v>
      </c>
      <c r="E1486" s="116">
        <f t="shared" si="175"/>
        <v>10.333333333333334</v>
      </c>
      <c r="F1486" s="100">
        <v>10</v>
      </c>
      <c r="G1486" s="338" t="s">
        <v>133</v>
      </c>
      <c r="H1486" s="216"/>
      <c r="I1486" s="216"/>
      <c r="J1486" s="216"/>
      <c r="K1486" s="216"/>
      <c r="L1486" s="216"/>
      <c r="M1486" s="216"/>
      <c r="N1486" s="216"/>
      <c r="O1486" s="216"/>
      <c r="P1486" s="216"/>
      <c r="Q1486" s="216"/>
      <c r="R1486" s="216"/>
      <c r="S1486" s="216"/>
      <c r="T1486" s="216"/>
      <c r="U1486" s="216"/>
      <c r="V1486" s="216"/>
      <c r="W1486" s="216"/>
      <c r="X1486" s="216"/>
      <c r="Y1486" s="216"/>
      <c r="Z1486" s="216"/>
    </row>
    <row r="1487" spans="1:26" ht="15" customHeight="1">
      <c r="A1487" s="134" t="s">
        <v>133</v>
      </c>
      <c r="B1487" s="133" t="s">
        <v>3753</v>
      </c>
      <c r="C1487" s="133" t="s">
        <v>9485</v>
      </c>
      <c r="D1487" s="100" t="s">
        <v>7778</v>
      </c>
      <c r="E1487" s="1165">
        <f t="shared" ref="E1487:E1488" si="176">8/3</f>
        <v>2.6666666666666665</v>
      </c>
      <c r="F1487" s="1166">
        <v>2.7</v>
      </c>
      <c r="G1487" s="338" t="s">
        <v>133</v>
      </c>
      <c r="H1487" s="216"/>
      <c r="I1487" s="216"/>
      <c r="J1487" s="216"/>
      <c r="K1487" s="216"/>
      <c r="L1487" s="216"/>
      <c r="M1487" s="216"/>
      <c r="N1487" s="216"/>
      <c r="O1487" s="216"/>
      <c r="P1487" s="216"/>
      <c r="Q1487" s="216"/>
      <c r="R1487" s="216"/>
      <c r="S1487" s="216"/>
      <c r="T1487" s="216"/>
      <c r="U1487" s="216"/>
      <c r="V1487" s="216"/>
      <c r="W1487" s="216"/>
      <c r="X1487" s="216"/>
      <c r="Y1487" s="216"/>
      <c r="Z1487" s="216"/>
    </row>
    <row r="1488" spans="1:26" ht="15" customHeight="1">
      <c r="A1488" s="134" t="s">
        <v>133</v>
      </c>
      <c r="B1488" s="133" t="s">
        <v>3753</v>
      </c>
      <c r="C1488" s="133" t="s">
        <v>9486</v>
      </c>
      <c r="D1488" s="100" t="s">
        <v>7778</v>
      </c>
      <c r="E1488" s="1165">
        <f t="shared" si="176"/>
        <v>2.6666666666666665</v>
      </c>
      <c r="F1488" s="1166">
        <v>2.7</v>
      </c>
      <c r="G1488" s="338" t="s">
        <v>133</v>
      </c>
      <c r="H1488" s="216"/>
      <c r="I1488" s="216"/>
      <c r="J1488" s="216"/>
      <c r="K1488" s="216"/>
      <c r="L1488" s="216"/>
      <c r="M1488" s="216"/>
      <c r="N1488" s="216"/>
      <c r="O1488" s="216"/>
      <c r="P1488" s="216"/>
      <c r="Q1488" s="216"/>
      <c r="R1488" s="216"/>
      <c r="S1488" s="216"/>
      <c r="T1488" s="216"/>
      <c r="U1488" s="216"/>
      <c r="V1488" s="216"/>
      <c r="W1488" s="216"/>
      <c r="X1488" s="216"/>
      <c r="Y1488" s="216"/>
      <c r="Z1488" s="216"/>
    </row>
    <row r="1489" spans="1:26" ht="15" customHeight="1">
      <c r="A1489" s="134" t="s">
        <v>133</v>
      </c>
      <c r="B1489" s="133" t="s">
        <v>3753</v>
      </c>
      <c r="C1489" s="133" t="s">
        <v>9487</v>
      </c>
      <c r="D1489" s="100" t="s">
        <v>7778</v>
      </c>
      <c r="E1489" s="528">
        <f t="shared" ref="E1489:E1492" si="177">19/3</f>
        <v>6.333333333333333</v>
      </c>
      <c r="F1489" s="186">
        <v>6.33</v>
      </c>
      <c r="G1489" s="338" t="s">
        <v>133</v>
      </c>
      <c r="H1489" s="216"/>
      <c r="I1489" s="216"/>
      <c r="J1489" s="216"/>
      <c r="K1489" s="216"/>
      <c r="L1489" s="216"/>
      <c r="M1489" s="216"/>
      <c r="N1489" s="216"/>
      <c r="O1489" s="216"/>
      <c r="P1489" s="216"/>
      <c r="Q1489" s="216"/>
      <c r="R1489" s="216"/>
      <c r="S1489" s="216"/>
      <c r="T1489" s="216"/>
      <c r="U1489" s="216"/>
      <c r="V1489" s="216"/>
      <c r="W1489" s="216"/>
      <c r="X1489" s="216"/>
      <c r="Y1489" s="216"/>
      <c r="Z1489" s="216"/>
    </row>
    <row r="1490" spans="1:26" ht="15" customHeight="1">
      <c r="A1490" s="134" t="s">
        <v>133</v>
      </c>
      <c r="B1490" s="133" t="s">
        <v>3753</v>
      </c>
      <c r="C1490" s="133" t="s">
        <v>9488</v>
      </c>
      <c r="D1490" s="100" t="s">
        <v>7778</v>
      </c>
      <c r="E1490" s="528">
        <f t="shared" si="177"/>
        <v>6.333333333333333</v>
      </c>
      <c r="F1490" s="186">
        <v>6.33</v>
      </c>
      <c r="G1490" s="338" t="s">
        <v>133</v>
      </c>
      <c r="H1490" s="216"/>
      <c r="I1490" s="216"/>
      <c r="J1490" s="216"/>
      <c r="K1490" s="216"/>
      <c r="L1490" s="216"/>
      <c r="M1490" s="216"/>
      <c r="N1490" s="216"/>
      <c r="O1490" s="216"/>
      <c r="P1490" s="216"/>
      <c r="Q1490" s="216"/>
      <c r="R1490" s="216"/>
      <c r="S1490" s="216"/>
      <c r="T1490" s="216"/>
      <c r="U1490" s="216"/>
      <c r="V1490" s="216"/>
      <c r="W1490" s="216"/>
      <c r="X1490" s="216"/>
      <c r="Y1490" s="216"/>
      <c r="Z1490" s="216"/>
    </row>
    <row r="1491" spans="1:26" ht="15" customHeight="1">
      <c r="A1491" s="134" t="s">
        <v>133</v>
      </c>
      <c r="B1491" s="133" t="s">
        <v>3753</v>
      </c>
      <c r="C1491" s="133" t="s">
        <v>9489</v>
      </c>
      <c r="D1491" s="100" t="s">
        <v>7778</v>
      </c>
      <c r="E1491" s="528">
        <f t="shared" si="177"/>
        <v>6.333333333333333</v>
      </c>
      <c r="F1491" s="186">
        <v>6.33</v>
      </c>
      <c r="G1491" s="338" t="s">
        <v>133</v>
      </c>
      <c r="H1491" s="216"/>
      <c r="I1491" s="216"/>
      <c r="J1491" s="216"/>
      <c r="K1491" s="216"/>
      <c r="L1491" s="216"/>
      <c r="M1491" s="216"/>
      <c r="N1491" s="216"/>
      <c r="O1491" s="216"/>
      <c r="P1491" s="216"/>
      <c r="Q1491" s="216"/>
      <c r="R1491" s="216"/>
      <c r="S1491" s="216"/>
      <c r="T1491" s="216"/>
      <c r="U1491" s="216"/>
      <c r="V1491" s="216"/>
      <c r="W1491" s="216"/>
      <c r="X1491" s="216"/>
      <c r="Y1491" s="216"/>
      <c r="Z1491" s="216"/>
    </row>
    <row r="1492" spans="1:26" ht="15" customHeight="1">
      <c r="A1492" s="134" t="s">
        <v>133</v>
      </c>
      <c r="B1492" s="133" t="s">
        <v>3753</v>
      </c>
      <c r="C1492" s="133" t="s">
        <v>9490</v>
      </c>
      <c r="D1492" s="100" t="s">
        <v>7778</v>
      </c>
      <c r="E1492" s="528">
        <f t="shared" si="177"/>
        <v>6.333333333333333</v>
      </c>
      <c r="F1492" s="186">
        <v>6.33</v>
      </c>
      <c r="G1492" s="338" t="s">
        <v>133</v>
      </c>
      <c r="H1492" s="216"/>
      <c r="I1492" s="216"/>
      <c r="J1492" s="216"/>
      <c r="K1492" s="216"/>
      <c r="L1492" s="216"/>
      <c r="M1492" s="216"/>
      <c r="N1492" s="216"/>
      <c r="O1492" s="216"/>
      <c r="P1492" s="216"/>
      <c r="Q1492" s="216"/>
      <c r="R1492" s="216"/>
      <c r="S1492" s="216"/>
      <c r="T1492" s="216"/>
      <c r="U1492" s="216"/>
      <c r="V1492" s="216"/>
      <c r="W1492" s="216"/>
      <c r="X1492" s="216"/>
      <c r="Y1492" s="216"/>
      <c r="Z1492" s="216"/>
    </row>
    <row r="1493" spans="1:26" ht="15" customHeight="1">
      <c r="A1493" s="134" t="s">
        <v>133</v>
      </c>
      <c r="B1493" s="133" t="s">
        <v>3753</v>
      </c>
      <c r="C1493" s="133" t="s">
        <v>9491</v>
      </c>
      <c r="D1493" s="100" t="s">
        <v>7778</v>
      </c>
      <c r="E1493" s="528">
        <f>17/3*2</f>
        <v>11.333333333333334</v>
      </c>
      <c r="F1493" s="186">
        <v>11.33</v>
      </c>
      <c r="G1493" s="338" t="s">
        <v>133</v>
      </c>
      <c r="H1493" s="216"/>
      <c r="I1493" s="216"/>
      <c r="J1493" s="216"/>
      <c r="K1493" s="216"/>
      <c r="L1493" s="216"/>
      <c r="M1493" s="216"/>
      <c r="N1493" s="216"/>
      <c r="O1493" s="216"/>
      <c r="P1493" s="216"/>
      <c r="Q1493" s="216"/>
      <c r="R1493" s="216"/>
      <c r="S1493" s="216"/>
      <c r="T1493" s="216"/>
      <c r="U1493" s="216"/>
      <c r="V1493" s="216"/>
      <c r="W1493" s="216"/>
      <c r="X1493" s="216"/>
      <c r="Y1493" s="216"/>
      <c r="Z1493" s="216"/>
    </row>
    <row r="1494" spans="1:26" ht="15" customHeight="1">
      <c r="A1494" s="134" t="s">
        <v>134</v>
      </c>
      <c r="B1494" s="133" t="s">
        <v>8972</v>
      </c>
      <c r="C1494" s="133" t="s">
        <v>9492</v>
      </c>
      <c r="D1494" s="116" t="s">
        <v>7778</v>
      </c>
      <c r="E1494" s="528">
        <f t="shared" ref="E1494:E1495" si="178">19/3</f>
        <v>6.333333333333333</v>
      </c>
      <c r="F1494" s="528">
        <f t="shared" ref="F1494:F1503" si="179">E1494</f>
        <v>6.333333333333333</v>
      </c>
      <c r="G1494" s="338" t="s">
        <v>134</v>
      </c>
      <c r="H1494" s="216"/>
      <c r="I1494" s="216"/>
      <c r="J1494" s="216"/>
      <c r="K1494" s="216"/>
      <c r="L1494" s="216"/>
      <c r="M1494" s="216"/>
      <c r="N1494" s="216"/>
      <c r="O1494" s="216"/>
      <c r="P1494" s="216"/>
      <c r="Q1494" s="216"/>
      <c r="R1494" s="216"/>
      <c r="S1494" s="216"/>
      <c r="T1494" s="216"/>
      <c r="U1494" s="216"/>
      <c r="V1494" s="216"/>
      <c r="W1494" s="216"/>
      <c r="X1494" s="216"/>
      <c r="Y1494" s="216"/>
      <c r="Z1494" s="216"/>
    </row>
    <row r="1495" spans="1:26" ht="15" customHeight="1">
      <c r="A1495" s="134" t="s">
        <v>134</v>
      </c>
      <c r="B1495" s="133" t="s">
        <v>8972</v>
      </c>
      <c r="C1495" s="133" t="s">
        <v>9493</v>
      </c>
      <c r="D1495" s="116" t="s">
        <v>7778</v>
      </c>
      <c r="E1495" s="528">
        <f t="shared" si="178"/>
        <v>6.333333333333333</v>
      </c>
      <c r="F1495" s="528">
        <f t="shared" si="179"/>
        <v>6.333333333333333</v>
      </c>
      <c r="G1495" s="338" t="s">
        <v>134</v>
      </c>
      <c r="H1495" s="216"/>
      <c r="I1495" s="216"/>
      <c r="J1495" s="216"/>
      <c r="K1495" s="216"/>
      <c r="L1495" s="216"/>
      <c r="M1495" s="216"/>
      <c r="N1495" s="216"/>
      <c r="O1495" s="216"/>
      <c r="P1495" s="216"/>
      <c r="Q1495" s="216"/>
      <c r="R1495" s="216"/>
      <c r="S1495" s="216"/>
      <c r="T1495" s="216"/>
      <c r="U1495" s="216"/>
      <c r="V1495" s="216"/>
      <c r="W1495" s="216"/>
      <c r="X1495" s="216"/>
      <c r="Y1495" s="216"/>
      <c r="Z1495" s="216"/>
    </row>
    <row r="1496" spans="1:26" ht="15" customHeight="1">
      <c r="A1496" s="134" t="s">
        <v>134</v>
      </c>
      <c r="B1496" s="133" t="s">
        <v>8972</v>
      </c>
      <c r="C1496" s="133" t="s">
        <v>9494</v>
      </c>
      <c r="D1496" s="116" t="s">
        <v>7778</v>
      </c>
      <c r="E1496" s="528">
        <f t="shared" ref="E1496:E1497" si="180">23/3</f>
        <v>7.666666666666667</v>
      </c>
      <c r="F1496" s="528">
        <f t="shared" si="179"/>
        <v>7.666666666666667</v>
      </c>
      <c r="G1496" s="338" t="s">
        <v>134</v>
      </c>
      <c r="H1496" s="216"/>
      <c r="I1496" s="216"/>
      <c r="J1496" s="216"/>
      <c r="K1496" s="216"/>
      <c r="L1496" s="216"/>
      <c r="M1496" s="216"/>
      <c r="N1496" s="216"/>
      <c r="O1496" s="216"/>
      <c r="P1496" s="216"/>
      <c r="Q1496" s="216"/>
      <c r="R1496" s="216"/>
      <c r="S1496" s="216"/>
      <c r="T1496" s="216"/>
      <c r="U1496" s="216"/>
      <c r="V1496" s="216"/>
      <c r="W1496" s="216"/>
      <c r="X1496" s="216"/>
      <c r="Y1496" s="216"/>
      <c r="Z1496" s="216"/>
    </row>
    <row r="1497" spans="1:26" ht="15" customHeight="1">
      <c r="A1497" s="134" t="s">
        <v>134</v>
      </c>
      <c r="B1497" s="133" t="s">
        <v>8972</v>
      </c>
      <c r="C1497" s="133" t="s">
        <v>9495</v>
      </c>
      <c r="D1497" s="116" t="s">
        <v>7778</v>
      </c>
      <c r="E1497" s="528">
        <f t="shared" si="180"/>
        <v>7.666666666666667</v>
      </c>
      <c r="F1497" s="528">
        <f t="shared" si="179"/>
        <v>7.666666666666667</v>
      </c>
      <c r="G1497" s="338" t="s">
        <v>134</v>
      </c>
      <c r="H1497" s="216"/>
      <c r="I1497" s="216"/>
      <c r="J1497" s="216"/>
      <c r="K1497" s="216"/>
      <c r="L1497" s="216"/>
      <c r="M1497" s="216"/>
      <c r="N1497" s="216"/>
      <c r="O1497" s="216"/>
      <c r="P1497" s="216"/>
      <c r="Q1497" s="216"/>
      <c r="R1497" s="216"/>
      <c r="S1497" s="216"/>
      <c r="T1497" s="216"/>
      <c r="U1497" s="216"/>
      <c r="V1497" s="216"/>
      <c r="W1497" s="216"/>
      <c r="X1497" s="216"/>
      <c r="Y1497" s="216"/>
      <c r="Z1497" s="216"/>
    </row>
    <row r="1498" spans="1:26" ht="15" customHeight="1">
      <c r="A1498" s="134" t="s">
        <v>134</v>
      </c>
      <c r="B1498" s="133" t="s">
        <v>8972</v>
      </c>
      <c r="C1498" s="133" t="s">
        <v>9496</v>
      </c>
      <c r="D1498" s="116" t="s">
        <v>8056</v>
      </c>
      <c r="E1498" s="528">
        <f>8/3*0.5</f>
        <v>1.3333333333333333</v>
      </c>
      <c r="F1498" s="528">
        <f t="shared" si="179"/>
        <v>1.3333333333333333</v>
      </c>
      <c r="G1498" s="338" t="s">
        <v>134</v>
      </c>
      <c r="H1498" s="216"/>
      <c r="I1498" s="216"/>
      <c r="J1498" s="216"/>
      <c r="K1498" s="216"/>
      <c r="L1498" s="216"/>
      <c r="M1498" s="216"/>
      <c r="N1498" s="216"/>
      <c r="O1498" s="216"/>
      <c r="P1498" s="216"/>
      <c r="Q1498" s="216"/>
      <c r="R1498" s="216"/>
      <c r="S1498" s="216"/>
      <c r="T1498" s="216"/>
      <c r="U1498" s="216"/>
      <c r="V1498" s="216"/>
      <c r="W1498" s="216"/>
      <c r="X1498" s="216"/>
      <c r="Y1498" s="216"/>
      <c r="Z1498" s="216"/>
    </row>
    <row r="1499" spans="1:26" ht="15" customHeight="1">
      <c r="A1499" s="134" t="s">
        <v>134</v>
      </c>
      <c r="B1499" s="133" t="s">
        <v>8972</v>
      </c>
      <c r="C1499" s="133" t="s">
        <v>9497</v>
      </c>
      <c r="D1499" s="116" t="s">
        <v>7778</v>
      </c>
      <c r="E1499" s="528">
        <f t="shared" ref="E1499:E1500" si="181">8/3</f>
        <v>2.6666666666666665</v>
      </c>
      <c r="F1499" s="528">
        <f t="shared" si="179"/>
        <v>2.6666666666666665</v>
      </c>
      <c r="G1499" s="338" t="s">
        <v>134</v>
      </c>
      <c r="H1499" s="216"/>
      <c r="I1499" s="216"/>
      <c r="J1499" s="216"/>
      <c r="K1499" s="216"/>
      <c r="L1499" s="216"/>
      <c r="M1499" s="216"/>
      <c r="N1499" s="216"/>
      <c r="O1499" s="216"/>
      <c r="P1499" s="216"/>
      <c r="Q1499" s="216"/>
      <c r="R1499" s="216"/>
      <c r="S1499" s="216"/>
      <c r="T1499" s="216"/>
      <c r="U1499" s="216"/>
      <c r="V1499" s="216"/>
      <c r="W1499" s="216"/>
      <c r="X1499" s="216"/>
      <c r="Y1499" s="216"/>
      <c r="Z1499" s="216"/>
    </row>
    <row r="1500" spans="1:26" ht="15" customHeight="1">
      <c r="A1500" s="134" t="s">
        <v>134</v>
      </c>
      <c r="B1500" s="133" t="s">
        <v>8972</v>
      </c>
      <c r="C1500" s="133" t="s">
        <v>9498</v>
      </c>
      <c r="D1500" s="116" t="s">
        <v>7778</v>
      </c>
      <c r="E1500" s="528">
        <f t="shared" si="181"/>
        <v>2.6666666666666665</v>
      </c>
      <c r="F1500" s="528">
        <f t="shared" si="179"/>
        <v>2.6666666666666665</v>
      </c>
      <c r="G1500" s="338" t="s">
        <v>134</v>
      </c>
      <c r="H1500" s="216"/>
      <c r="I1500" s="216"/>
      <c r="J1500" s="216"/>
      <c r="K1500" s="216"/>
      <c r="L1500" s="216"/>
      <c r="M1500" s="216"/>
      <c r="N1500" s="216"/>
      <c r="O1500" s="216"/>
      <c r="P1500" s="216"/>
      <c r="Q1500" s="216"/>
      <c r="R1500" s="216"/>
      <c r="S1500" s="216"/>
      <c r="T1500" s="216"/>
      <c r="U1500" s="216"/>
      <c r="V1500" s="216"/>
      <c r="W1500" s="216"/>
      <c r="X1500" s="216"/>
      <c r="Y1500" s="216"/>
      <c r="Z1500" s="216"/>
    </row>
    <row r="1501" spans="1:26" ht="15" customHeight="1">
      <c r="A1501" s="134" t="s">
        <v>134</v>
      </c>
      <c r="B1501" s="133" t="s">
        <v>8972</v>
      </c>
      <c r="C1501" s="133" t="s">
        <v>9499</v>
      </c>
      <c r="D1501" s="116" t="s">
        <v>8056</v>
      </c>
      <c r="E1501" s="528">
        <f>8/3*0.5</f>
        <v>1.3333333333333333</v>
      </c>
      <c r="F1501" s="528">
        <f t="shared" si="179"/>
        <v>1.3333333333333333</v>
      </c>
      <c r="G1501" s="338" t="s">
        <v>134</v>
      </c>
      <c r="H1501" s="216"/>
      <c r="I1501" s="216"/>
      <c r="J1501" s="216"/>
      <c r="K1501" s="216"/>
      <c r="L1501" s="216"/>
      <c r="M1501" s="216"/>
      <c r="N1501" s="216"/>
      <c r="O1501" s="216"/>
      <c r="P1501" s="216"/>
      <c r="Q1501" s="216"/>
      <c r="R1501" s="216"/>
      <c r="S1501" s="216"/>
      <c r="T1501" s="216"/>
      <c r="U1501" s="216"/>
      <c r="V1501" s="216"/>
      <c r="W1501" s="216"/>
      <c r="X1501" s="216"/>
      <c r="Y1501" s="216"/>
      <c r="Z1501" s="216"/>
    </row>
    <row r="1502" spans="1:26" ht="15" customHeight="1">
      <c r="A1502" s="134" t="s">
        <v>134</v>
      </c>
      <c r="B1502" s="133" t="s">
        <v>8972</v>
      </c>
      <c r="C1502" s="133" t="s">
        <v>9500</v>
      </c>
      <c r="D1502" s="116" t="s">
        <v>8056</v>
      </c>
      <c r="E1502" s="528">
        <f>17/3</f>
        <v>5.666666666666667</v>
      </c>
      <c r="F1502" s="528">
        <f t="shared" si="179"/>
        <v>5.666666666666667</v>
      </c>
      <c r="G1502" s="338" t="s">
        <v>134</v>
      </c>
      <c r="H1502" s="216"/>
      <c r="I1502" s="216"/>
      <c r="J1502" s="216"/>
      <c r="K1502" s="216"/>
      <c r="L1502" s="216"/>
      <c r="M1502" s="216"/>
      <c r="N1502" s="216"/>
      <c r="O1502" s="216"/>
      <c r="P1502" s="216"/>
      <c r="Q1502" s="216"/>
      <c r="R1502" s="216"/>
      <c r="S1502" s="216"/>
      <c r="T1502" s="216"/>
      <c r="U1502" s="216"/>
      <c r="V1502" s="216"/>
      <c r="W1502" s="216"/>
      <c r="X1502" s="216"/>
      <c r="Y1502" s="216"/>
      <c r="Z1502" s="216"/>
    </row>
    <row r="1503" spans="1:26" ht="15" customHeight="1">
      <c r="A1503" s="134" t="s">
        <v>134</v>
      </c>
      <c r="B1503" s="133" t="s">
        <v>8972</v>
      </c>
      <c r="C1503" s="133" t="s">
        <v>9500</v>
      </c>
      <c r="D1503" s="116" t="s">
        <v>8056</v>
      </c>
      <c r="E1503" s="528">
        <f>17/3*0.5</f>
        <v>2.8333333333333335</v>
      </c>
      <c r="F1503" s="528">
        <f t="shared" si="179"/>
        <v>2.8333333333333335</v>
      </c>
      <c r="G1503" s="338" t="s">
        <v>134</v>
      </c>
      <c r="H1503" s="216"/>
      <c r="I1503" s="216"/>
      <c r="J1503" s="216"/>
      <c r="K1503" s="216"/>
      <c r="L1503" s="216"/>
      <c r="M1503" s="216"/>
      <c r="N1503" s="216"/>
      <c r="O1503" s="216"/>
      <c r="P1503" s="216"/>
      <c r="Q1503" s="216"/>
      <c r="R1503" s="216"/>
      <c r="S1503" s="216"/>
      <c r="T1503" s="216"/>
      <c r="U1503" s="216"/>
      <c r="V1503" s="216"/>
      <c r="W1503" s="216"/>
      <c r="X1503" s="216"/>
      <c r="Y1503" s="216"/>
      <c r="Z1503" s="216"/>
    </row>
    <row r="1504" spans="1:26" ht="15.75" customHeight="1"/>
    <row r="1505" spans="1:8" ht="15" customHeight="1">
      <c r="A1505" s="332" t="s">
        <v>169</v>
      </c>
      <c r="F1505" s="1116">
        <f>SUM(F15:F1503)</f>
        <v>14888.779666666633</v>
      </c>
    </row>
    <row r="1506" spans="1:8" ht="15.75" customHeight="1"/>
    <row r="1507" spans="1:8" ht="15" customHeight="1">
      <c r="A1507" s="1231" t="s">
        <v>1156</v>
      </c>
      <c r="B1507" s="1232"/>
      <c r="C1507" s="1232"/>
      <c r="D1507" s="1232"/>
      <c r="E1507" s="1232"/>
      <c r="F1507" s="1232"/>
      <c r="G1507" s="1232"/>
      <c r="H1507" s="1233"/>
    </row>
  </sheetData>
  <mergeCells count="13">
    <mergeCell ref="A1507:H1507"/>
    <mergeCell ref="A2:F2"/>
    <mergeCell ref="A4:F4"/>
    <mergeCell ref="A5:F5"/>
    <mergeCell ref="A6:F6"/>
    <mergeCell ref="A7:F7"/>
    <mergeCell ref="A8:F8"/>
    <mergeCell ref="A9:F9"/>
    <mergeCell ref="A10:F10"/>
    <mergeCell ref="A11:F11"/>
    <mergeCell ref="A12:F12"/>
    <mergeCell ref="A738:A748"/>
    <mergeCell ref="B738:B748"/>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64"/>
      <c r="B1" s="64"/>
      <c r="C1" s="65"/>
      <c r="D1" s="65"/>
      <c r="E1" s="65"/>
      <c r="F1" s="1"/>
      <c r="G1" s="1"/>
      <c r="H1" s="1"/>
    </row>
    <row r="2" spans="1:25" ht="15.75" customHeight="1">
      <c r="A2" s="1234" t="s">
        <v>9501</v>
      </c>
      <c r="B2" s="1227"/>
      <c r="C2" s="1227"/>
      <c r="D2" s="1227"/>
      <c r="E2" s="1228"/>
      <c r="F2" s="1114"/>
      <c r="G2" s="1114"/>
      <c r="H2" s="1114"/>
      <c r="I2" s="69"/>
      <c r="J2" s="69"/>
      <c r="K2" s="69"/>
      <c r="L2" s="69"/>
      <c r="M2" s="69"/>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14.25" customHeight="1">
      <c r="A4" s="1236" t="s">
        <v>9502</v>
      </c>
      <c r="B4" s="1227"/>
      <c r="C4" s="1227"/>
      <c r="D4" s="1227"/>
      <c r="E4" s="1228"/>
      <c r="F4" s="1114"/>
      <c r="G4" s="1114"/>
      <c r="H4" s="1114"/>
      <c r="I4" s="69"/>
      <c r="J4" s="69"/>
      <c r="K4" s="69"/>
      <c r="L4" s="69"/>
      <c r="M4" s="69"/>
      <c r="N4" s="69"/>
      <c r="O4" s="69"/>
      <c r="P4" s="69"/>
      <c r="Q4" s="69"/>
      <c r="R4" s="69"/>
      <c r="S4" s="69"/>
      <c r="T4" s="69"/>
      <c r="U4" s="69"/>
      <c r="V4" s="69"/>
      <c r="W4" s="69"/>
      <c r="X4" s="69"/>
      <c r="Y4" s="69"/>
    </row>
    <row r="5" spans="1:25" ht="16.5" customHeight="1">
      <c r="A5" s="1244" t="s">
        <v>9503</v>
      </c>
      <c r="B5" s="1227"/>
      <c r="C5" s="1227"/>
      <c r="D5" s="1227"/>
      <c r="E5" s="1228"/>
      <c r="F5" s="1114"/>
      <c r="G5" s="1114"/>
      <c r="H5" s="1114"/>
      <c r="I5" s="69"/>
      <c r="J5" s="69"/>
      <c r="K5" s="69"/>
      <c r="L5" s="69"/>
      <c r="M5" s="69"/>
      <c r="N5" s="69"/>
      <c r="O5" s="69"/>
      <c r="P5" s="69"/>
      <c r="Q5" s="69"/>
      <c r="R5" s="69"/>
      <c r="S5" s="69"/>
      <c r="T5" s="69"/>
      <c r="U5" s="69"/>
      <c r="V5" s="69"/>
      <c r="W5" s="69"/>
      <c r="X5" s="69"/>
      <c r="Y5" s="69"/>
    </row>
    <row r="6" spans="1:25" ht="62.25" customHeight="1">
      <c r="A6" s="1258" t="s">
        <v>9504</v>
      </c>
      <c r="B6" s="1227"/>
      <c r="C6" s="1227"/>
      <c r="D6" s="1227"/>
      <c r="E6" s="1228"/>
      <c r="F6" s="1114"/>
      <c r="G6" s="1114"/>
      <c r="H6" s="1114"/>
      <c r="I6" s="69"/>
      <c r="J6" s="69"/>
      <c r="K6" s="69"/>
      <c r="L6" s="69"/>
      <c r="M6" s="69"/>
      <c r="N6" s="69"/>
      <c r="O6" s="69"/>
      <c r="P6" s="69"/>
      <c r="Q6" s="69"/>
      <c r="R6" s="69"/>
      <c r="S6" s="69"/>
      <c r="T6" s="69"/>
      <c r="U6" s="69"/>
      <c r="V6" s="69"/>
      <c r="W6" s="69"/>
      <c r="X6" s="69"/>
      <c r="Y6" s="69"/>
    </row>
    <row r="7" spans="1:25" ht="14.25">
      <c r="A7" s="77"/>
      <c r="B7" s="77"/>
      <c r="C7" s="78"/>
      <c r="D7" s="78"/>
      <c r="E7" s="78"/>
      <c r="F7" s="77"/>
      <c r="G7" s="77"/>
      <c r="H7" s="77"/>
      <c r="I7" s="69"/>
      <c r="J7" s="69"/>
      <c r="K7" s="69"/>
      <c r="L7" s="69"/>
      <c r="M7" s="69"/>
      <c r="N7" s="69"/>
      <c r="O7" s="69"/>
      <c r="P7" s="69"/>
      <c r="Q7" s="69"/>
      <c r="R7" s="69"/>
      <c r="S7" s="69"/>
      <c r="T7" s="69"/>
      <c r="U7" s="69"/>
      <c r="V7" s="69"/>
      <c r="W7" s="69"/>
      <c r="X7" s="69"/>
      <c r="Y7" s="69"/>
    </row>
    <row r="8" spans="1:25" ht="61.5" customHeight="1">
      <c r="A8" s="377" t="s">
        <v>4419</v>
      </c>
      <c r="B8" s="83" t="s">
        <v>7</v>
      </c>
      <c r="C8" s="377" t="s">
        <v>9505</v>
      </c>
      <c r="D8" s="350" t="s">
        <v>206</v>
      </c>
      <c r="E8" s="350" t="s">
        <v>210</v>
      </c>
      <c r="F8" s="336" t="s">
        <v>211</v>
      </c>
      <c r="I8" s="69"/>
      <c r="J8" s="69"/>
      <c r="K8" s="69"/>
      <c r="L8" s="69"/>
      <c r="M8" s="69"/>
      <c r="N8" s="69"/>
      <c r="O8" s="69"/>
      <c r="P8" s="69"/>
      <c r="Q8" s="69"/>
      <c r="R8" s="69"/>
      <c r="S8" s="69"/>
      <c r="T8" s="69"/>
      <c r="U8" s="69"/>
      <c r="V8" s="69"/>
      <c r="W8" s="69"/>
      <c r="X8" s="69"/>
      <c r="Y8" s="69"/>
    </row>
    <row r="9" spans="1:25" ht="15" customHeight="1">
      <c r="A9" s="134" t="s">
        <v>7647</v>
      </c>
      <c r="B9" s="133" t="s">
        <v>51</v>
      </c>
      <c r="C9" s="133" t="s">
        <v>9506</v>
      </c>
      <c r="D9" s="100">
        <v>30</v>
      </c>
      <c r="E9" s="528">
        <v>30</v>
      </c>
      <c r="F9" s="338" t="s">
        <v>221</v>
      </c>
    </row>
    <row r="10" spans="1:25" ht="15" customHeight="1">
      <c r="A10" s="134" t="s">
        <v>7647</v>
      </c>
      <c r="B10" s="133" t="s">
        <v>51</v>
      </c>
      <c r="C10" s="133" t="s">
        <v>9507</v>
      </c>
      <c r="D10" s="116">
        <v>20</v>
      </c>
      <c r="E10" s="528">
        <v>20</v>
      </c>
      <c r="F10" s="338" t="s">
        <v>221</v>
      </c>
    </row>
    <row r="11" spans="1:25" ht="15" customHeight="1">
      <c r="A11" s="134" t="s">
        <v>7647</v>
      </c>
      <c r="B11" s="133" t="s">
        <v>51</v>
      </c>
      <c r="C11" s="133" t="s">
        <v>9508</v>
      </c>
      <c r="D11" s="100">
        <v>20</v>
      </c>
      <c r="E11" s="528">
        <v>20</v>
      </c>
      <c r="F11" s="338" t="s">
        <v>221</v>
      </c>
    </row>
    <row r="12" spans="1:25" ht="15" customHeight="1">
      <c r="A12" s="134" t="s">
        <v>7647</v>
      </c>
      <c r="B12" s="133" t="s">
        <v>51</v>
      </c>
      <c r="C12" s="133" t="s">
        <v>9509</v>
      </c>
      <c r="D12" s="116">
        <v>20</v>
      </c>
      <c r="E12" s="528">
        <v>20</v>
      </c>
      <c r="F12" s="338" t="s">
        <v>221</v>
      </c>
    </row>
    <row r="13" spans="1:25" ht="15" customHeight="1">
      <c r="A13" s="134" t="s">
        <v>7709</v>
      </c>
      <c r="B13" s="133" t="s">
        <v>51</v>
      </c>
      <c r="C13" s="133" t="s">
        <v>9510</v>
      </c>
      <c r="D13" s="116">
        <v>30</v>
      </c>
      <c r="E13" s="528">
        <v>30</v>
      </c>
      <c r="F13" s="338" t="s">
        <v>7551</v>
      </c>
    </row>
    <row r="14" spans="1:25" ht="15" customHeight="1">
      <c r="A14" s="134" t="s">
        <v>7367</v>
      </c>
      <c r="B14" s="133" t="s">
        <v>51</v>
      </c>
      <c r="C14" s="133" t="s">
        <v>9511</v>
      </c>
      <c r="D14" s="116">
        <v>20</v>
      </c>
      <c r="E14" s="528">
        <v>20</v>
      </c>
      <c r="F14" s="338" t="s">
        <v>1315</v>
      </c>
    </row>
    <row r="15" spans="1:25" ht="15" customHeight="1">
      <c r="A15" s="134" t="s">
        <v>7367</v>
      </c>
      <c r="B15" s="133" t="s">
        <v>105</v>
      </c>
      <c r="C15" s="133" t="s">
        <v>9512</v>
      </c>
      <c r="D15" s="116">
        <v>20</v>
      </c>
      <c r="E15" s="528">
        <v>20</v>
      </c>
      <c r="F15" s="338" t="s">
        <v>1315</v>
      </c>
    </row>
    <row r="16" spans="1:25" ht="15" customHeight="1">
      <c r="A16" s="134" t="s">
        <v>7367</v>
      </c>
      <c r="B16" s="133" t="s">
        <v>2438</v>
      </c>
      <c r="C16" s="133" t="s">
        <v>9513</v>
      </c>
      <c r="D16" s="116">
        <v>30</v>
      </c>
      <c r="E16" s="528">
        <v>30</v>
      </c>
      <c r="F16" s="338" t="s">
        <v>1315</v>
      </c>
    </row>
    <row r="17" spans="1:6" ht="15" customHeight="1">
      <c r="A17" s="134" t="s">
        <v>7367</v>
      </c>
      <c r="B17" s="133" t="s">
        <v>2441</v>
      </c>
      <c r="C17" s="133" t="s">
        <v>9514</v>
      </c>
      <c r="D17" s="116">
        <v>30</v>
      </c>
      <c r="E17" s="528">
        <v>30</v>
      </c>
      <c r="F17" s="338" t="s">
        <v>1315</v>
      </c>
    </row>
    <row r="18" spans="1:6" ht="15" customHeight="1">
      <c r="A18" s="134" t="s">
        <v>7367</v>
      </c>
      <c r="B18" s="133" t="s">
        <v>2444</v>
      </c>
      <c r="C18" s="133" t="s">
        <v>9515</v>
      </c>
      <c r="D18" s="116">
        <v>30</v>
      </c>
      <c r="E18" s="528">
        <v>30</v>
      </c>
      <c r="F18" s="338" t="s">
        <v>1315</v>
      </c>
    </row>
    <row r="19" spans="1:6" ht="15" customHeight="1">
      <c r="A19" s="134" t="s">
        <v>7367</v>
      </c>
      <c r="B19" s="133" t="s">
        <v>2452</v>
      </c>
      <c r="C19" s="133" t="s">
        <v>9516</v>
      </c>
      <c r="D19" s="116">
        <v>30</v>
      </c>
      <c r="E19" s="528">
        <v>30</v>
      </c>
      <c r="F19" s="338" t="s">
        <v>1315</v>
      </c>
    </row>
    <row r="20" spans="1:6" ht="15" customHeight="1">
      <c r="A20" s="134" t="s">
        <v>7367</v>
      </c>
      <c r="B20" s="133" t="s">
        <v>2455</v>
      </c>
      <c r="C20" s="133" t="s">
        <v>9517</v>
      </c>
      <c r="D20" s="259">
        <v>30</v>
      </c>
      <c r="E20" s="528">
        <v>30</v>
      </c>
      <c r="F20" s="338" t="s">
        <v>1315</v>
      </c>
    </row>
    <row r="21" spans="1:6" ht="15" customHeight="1">
      <c r="A21" s="134" t="s">
        <v>7367</v>
      </c>
      <c r="B21" s="133" t="s">
        <v>2458</v>
      </c>
      <c r="C21" s="133" t="s">
        <v>9518</v>
      </c>
      <c r="D21" s="259">
        <v>30</v>
      </c>
      <c r="E21" s="528">
        <v>30</v>
      </c>
      <c r="F21" s="338" t="s">
        <v>1315</v>
      </c>
    </row>
    <row r="22" spans="1:6" ht="15" customHeight="1">
      <c r="A22" s="134" t="s">
        <v>7371</v>
      </c>
      <c r="B22" s="586" t="s">
        <v>51</v>
      </c>
      <c r="C22" s="1167" t="s">
        <v>9519</v>
      </c>
      <c r="D22" s="1158">
        <v>20</v>
      </c>
      <c r="E22" s="528">
        <v>20</v>
      </c>
      <c r="F22" s="338" t="s">
        <v>7371</v>
      </c>
    </row>
    <row r="23" spans="1:6" ht="15" customHeight="1">
      <c r="A23" s="134" t="s">
        <v>7371</v>
      </c>
      <c r="B23" s="275" t="s">
        <v>51</v>
      </c>
      <c r="C23" s="1168" t="s">
        <v>9520</v>
      </c>
      <c r="D23" s="1158">
        <v>20</v>
      </c>
      <c r="E23" s="528">
        <v>20</v>
      </c>
      <c r="F23" s="338" t="s">
        <v>7371</v>
      </c>
    </row>
    <row r="24" spans="1:6" ht="15" customHeight="1">
      <c r="A24" s="1070" t="s">
        <v>7371</v>
      </c>
      <c r="B24" s="133" t="s">
        <v>51</v>
      </c>
      <c r="C24" s="1169" t="s">
        <v>9521</v>
      </c>
      <c r="D24" s="1158">
        <v>20</v>
      </c>
      <c r="E24" s="528">
        <v>20</v>
      </c>
      <c r="F24" s="338" t="s">
        <v>7371</v>
      </c>
    </row>
    <row r="25" spans="1:6" ht="15" customHeight="1">
      <c r="A25" s="1070" t="s">
        <v>7371</v>
      </c>
      <c r="B25" s="133" t="s">
        <v>51</v>
      </c>
      <c r="C25" s="1167" t="s">
        <v>9522</v>
      </c>
      <c r="D25" s="1158">
        <v>30</v>
      </c>
      <c r="E25" s="528">
        <v>30</v>
      </c>
      <c r="F25" s="338" t="s">
        <v>7371</v>
      </c>
    </row>
    <row r="26" spans="1:6" ht="15" customHeight="1">
      <c r="A26" s="1070" t="s">
        <v>7371</v>
      </c>
      <c r="B26" s="133" t="s">
        <v>51</v>
      </c>
      <c r="C26" s="1169" t="s">
        <v>9523</v>
      </c>
      <c r="D26" s="1158">
        <v>30</v>
      </c>
      <c r="E26" s="528">
        <v>30</v>
      </c>
      <c r="F26" s="338" t="s">
        <v>7371</v>
      </c>
    </row>
    <row r="27" spans="1:6" ht="15" customHeight="1">
      <c r="A27" s="1070" t="s">
        <v>7371</v>
      </c>
      <c r="B27" s="133" t="s">
        <v>51</v>
      </c>
      <c r="C27" s="1167" t="s">
        <v>9524</v>
      </c>
      <c r="D27" s="1158">
        <v>30</v>
      </c>
      <c r="E27" s="528">
        <v>30</v>
      </c>
      <c r="F27" s="338" t="s">
        <v>7371</v>
      </c>
    </row>
    <row r="28" spans="1:6" ht="15" customHeight="1">
      <c r="A28" s="134" t="s">
        <v>1331</v>
      </c>
      <c r="B28" s="133" t="s">
        <v>51</v>
      </c>
      <c r="C28" s="133" t="s">
        <v>9525</v>
      </c>
      <c r="D28" s="100">
        <v>20</v>
      </c>
      <c r="E28" s="528">
        <v>20</v>
      </c>
      <c r="F28" s="338" t="s">
        <v>1331</v>
      </c>
    </row>
    <row r="29" spans="1:6" ht="15" customHeight="1">
      <c r="A29" s="134" t="s">
        <v>1331</v>
      </c>
      <c r="B29" s="133" t="s">
        <v>51</v>
      </c>
      <c r="C29" s="133" t="s">
        <v>9526</v>
      </c>
      <c r="D29" s="116">
        <v>20</v>
      </c>
      <c r="E29" s="528">
        <v>20</v>
      </c>
      <c r="F29" s="338" t="s">
        <v>1331</v>
      </c>
    </row>
    <row r="30" spans="1:6" ht="15" customHeight="1">
      <c r="A30" s="134" t="s">
        <v>7553</v>
      </c>
      <c r="B30" s="133" t="s">
        <v>51</v>
      </c>
      <c r="C30" s="133" t="s">
        <v>9527</v>
      </c>
      <c r="D30" s="100">
        <v>20</v>
      </c>
      <c r="E30" s="513">
        <v>10</v>
      </c>
      <c r="F30" s="338" t="s">
        <v>231</v>
      </c>
    </row>
    <row r="31" spans="1:6" ht="15" customHeight="1">
      <c r="A31" s="134" t="s">
        <v>7553</v>
      </c>
      <c r="B31" s="133" t="s">
        <v>51</v>
      </c>
      <c r="C31" s="133" t="s">
        <v>9528</v>
      </c>
      <c r="D31" s="100">
        <v>20</v>
      </c>
      <c r="E31" s="513">
        <v>10</v>
      </c>
      <c r="F31" s="338" t="s">
        <v>231</v>
      </c>
    </row>
    <row r="32" spans="1:6" ht="15" customHeight="1">
      <c r="A32" s="134" t="s">
        <v>7553</v>
      </c>
      <c r="B32" s="133" t="s">
        <v>51</v>
      </c>
      <c r="C32" s="133" t="s">
        <v>9529</v>
      </c>
      <c r="D32" s="100">
        <v>20</v>
      </c>
      <c r="E32" s="513">
        <v>10</v>
      </c>
      <c r="F32" s="338" t="s">
        <v>231</v>
      </c>
    </row>
    <row r="33" spans="1:6" ht="15" customHeight="1">
      <c r="A33" s="134" t="s">
        <v>7553</v>
      </c>
      <c r="B33" s="133" t="s">
        <v>51</v>
      </c>
      <c r="C33" s="133" t="s">
        <v>9530</v>
      </c>
      <c r="D33" s="100">
        <v>20</v>
      </c>
      <c r="E33" s="513">
        <v>10</v>
      </c>
      <c r="F33" s="338" t="s">
        <v>231</v>
      </c>
    </row>
    <row r="34" spans="1:6" ht="15" customHeight="1">
      <c r="A34" s="386" t="s">
        <v>6237</v>
      </c>
      <c r="B34" s="387" t="s">
        <v>51</v>
      </c>
      <c r="C34" s="121" t="s">
        <v>9531</v>
      </c>
      <c r="D34" s="186">
        <v>6.666666666666667</v>
      </c>
      <c r="E34" s="528">
        <f>D34</f>
        <v>6.666666666666667</v>
      </c>
      <c r="F34" s="338" t="s">
        <v>1339</v>
      </c>
    </row>
    <row r="35" spans="1:6" ht="15" customHeight="1">
      <c r="A35" s="134" t="s">
        <v>7554</v>
      </c>
      <c r="B35" s="133" t="s">
        <v>51</v>
      </c>
      <c r="C35" s="133" t="s">
        <v>9532</v>
      </c>
      <c r="D35" s="100">
        <v>20</v>
      </c>
      <c r="E35" s="528">
        <v>10</v>
      </c>
      <c r="F35" s="338" t="s">
        <v>1359</v>
      </c>
    </row>
    <row r="36" spans="1:6" ht="15" customHeight="1">
      <c r="A36" s="134" t="s">
        <v>7554</v>
      </c>
      <c r="B36" s="133" t="s">
        <v>51</v>
      </c>
      <c r="C36" s="133" t="s">
        <v>9533</v>
      </c>
      <c r="D36" s="100">
        <v>20</v>
      </c>
      <c r="E36" s="528">
        <v>10</v>
      </c>
      <c r="F36" s="338" t="s">
        <v>1359</v>
      </c>
    </row>
    <row r="37" spans="1:6" ht="15" customHeight="1">
      <c r="A37" s="134" t="s">
        <v>7554</v>
      </c>
      <c r="B37" s="133" t="s">
        <v>51</v>
      </c>
      <c r="C37" s="133" t="s">
        <v>9534</v>
      </c>
      <c r="D37" s="100">
        <v>20</v>
      </c>
      <c r="E37" s="528">
        <v>10</v>
      </c>
      <c r="F37" s="338" t="s">
        <v>1359</v>
      </c>
    </row>
    <row r="38" spans="1:6" ht="15" customHeight="1">
      <c r="A38" s="134" t="s">
        <v>7554</v>
      </c>
      <c r="B38" s="133" t="s">
        <v>51</v>
      </c>
      <c r="C38" s="133" t="s">
        <v>9535</v>
      </c>
      <c r="D38" s="100">
        <v>20</v>
      </c>
      <c r="E38" s="528">
        <v>10</v>
      </c>
      <c r="F38" s="338" t="s">
        <v>1359</v>
      </c>
    </row>
    <row r="39" spans="1:6" ht="15" customHeight="1">
      <c r="A39" s="134" t="s">
        <v>7554</v>
      </c>
      <c r="B39" s="133" t="s">
        <v>51</v>
      </c>
      <c r="C39" s="133" t="s">
        <v>9536</v>
      </c>
      <c r="D39" s="100">
        <v>20</v>
      </c>
      <c r="E39" s="528">
        <v>10</v>
      </c>
      <c r="F39" s="338" t="s">
        <v>1359</v>
      </c>
    </row>
    <row r="40" spans="1:6" ht="15" customHeight="1">
      <c r="A40" s="134" t="s">
        <v>7554</v>
      </c>
      <c r="B40" s="133" t="s">
        <v>51</v>
      </c>
      <c r="C40" s="133" t="s">
        <v>9537</v>
      </c>
      <c r="D40" s="100">
        <v>20</v>
      </c>
      <c r="E40" s="528">
        <v>10</v>
      </c>
      <c r="F40" s="338" t="s">
        <v>1359</v>
      </c>
    </row>
    <row r="41" spans="1:6" ht="15" customHeight="1">
      <c r="A41" s="134" t="s">
        <v>7554</v>
      </c>
      <c r="B41" s="133" t="s">
        <v>51</v>
      </c>
      <c r="C41" s="133" t="s">
        <v>9538</v>
      </c>
      <c r="D41" s="100">
        <v>20</v>
      </c>
      <c r="E41" s="528">
        <v>10</v>
      </c>
      <c r="F41" s="338" t="s">
        <v>1359</v>
      </c>
    </row>
    <row r="42" spans="1:6" ht="15" customHeight="1">
      <c r="A42" s="1170" t="s">
        <v>6254</v>
      </c>
      <c r="B42" s="1170" t="s">
        <v>51</v>
      </c>
      <c r="C42" s="1170" t="s">
        <v>9539</v>
      </c>
      <c r="D42" s="1171">
        <v>20</v>
      </c>
      <c r="E42" s="1172">
        <f t="shared" ref="E42:E49" si="0">D42</f>
        <v>20</v>
      </c>
      <c r="F42" s="338" t="s">
        <v>249</v>
      </c>
    </row>
    <row r="43" spans="1:6" ht="15" customHeight="1">
      <c r="A43" s="1170" t="s">
        <v>6254</v>
      </c>
      <c r="B43" s="1170" t="s">
        <v>51</v>
      </c>
      <c r="C43" s="155" t="s">
        <v>9540</v>
      </c>
      <c r="D43" s="155">
        <v>20</v>
      </c>
      <c r="E43" s="1172">
        <f t="shared" si="0"/>
        <v>20</v>
      </c>
      <c r="F43" s="338" t="s">
        <v>249</v>
      </c>
    </row>
    <row r="44" spans="1:6" ht="15" customHeight="1">
      <c r="A44" s="1170" t="s">
        <v>6254</v>
      </c>
      <c r="B44" s="1170" t="s">
        <v>51</v>
      </c>
      <c r="C44" s="155" t="s">
        <v>9541</v>
      </c>
      <c r="D44" s="155">
        <v>20</v>
      </c>
      <c r="E44" s="1172">
        <f t="shared" si="0"/>
        <v>20</v>
      </c>
      <c r="F44" s="338" t="s">
        <v>249</v>
      </c>
    </row>
    <row r="45" spans="1:6" ht="15" customHeight="1">
      <c r="A45" s="1170" t="s">
        <v>6254</v>
      </c>
      <c r="B45" s="1170" t="s">
        <v>51</v>
      </c>
      <c r="C45" s="155" t="s">
        <v>9542</v>
      </c>
      <c r="D45" s="155">
        <v>30</v>
      </c>
      <c r="E45" s="1172">
        <f t="shared" si="0"/>
        <v>30</v>
      </c>
      <c r="F45" s="338" t="s">
        <v>249</v>
      </c>
    </row>
    <row r="46" spans="1:6" ht="15" customHeight="1">
      <c r="A46" s="1170" t="s">
        <v>6254</v>
      </c>
      <c r="B46" s="1170" t="s">
        <v>51</v>
      </c>
      <c r="C46" s="155" t="s">
        <v>9543</v>
      </c>
      <c r="D46" s="155">
        <v>30</v>
      </c>
      <c r="E46" s="1172">
        <f t="shared" si="0"/>
        <v>30</v>
      </c>
      <c r="F46" s="338" t="s">
        <v>249</v>
      </c>
    </row>
    <row r="47" spans="1:6" ht="15" customHeight="1">
      <c r="A47" s="1170" t="s">
        <v>6254</v>
      </c>
      <c r="B47" s="1170" t="s">
        <v>51</v>
      </c>
      <c r="C47" s="1173" t="s">
        <v>9544</v>
      </c>
      <c r="D47" s="155">
        <v>20</v>
      </c>
      <c r="E47" s="1172">
        <f t="shared" si="0"/>
        <v>20</v>
      </c>
      <c r="F47" s="338" t="s">
        <v>249</v>
      </c>
    </row>
    <row r="48" spans="1:6" ht="15" customHeight="1">
      <c r="A48" s="1170" t="s">
        <v>6254</v>
      </c>
      <c r="B48" s="1170" t="s">
        <v>51</v>
      </c>
      <c r="C48" s="1170" t="s">
        <v>9545</v>
      </c>
      <c r="D48" s="155">
        <v>20</v>
      </c>
      <c r="E48" s="1172">
        <f t="shared" si="0"/>
        <v>20</v>
      </c>
      <c r="F48" s="338" t="s">
        <v>249</v>
      </c>
    </row>
    <row r="49" spans="1:6" ht="15" customHeight="1">
      <c r="A49" s="1170" t="s">
        <v>6254</v>
      </c>
      <c r="B49" s="1170" t="s">
        <v>51</v>
      </c>
      <c r="C49" s="1173" t="s">
        <v>9546</v>
      </c>
      <c r="D49" s="1171">
        <v>20</v>
      </c>
      <c r="E49" s="1172">
        <f t="shared" si="0"/>
        <v>20</v>
      </c>
      <c r="F49" s="338" t="s">
        <v>249</v>
      </c>
    </row>
    <row r="50" spans="1:6" ht="15" customHeight="1">
      <c r="A50" s="134" t="s">
        <v>4471</v>
      </c>
      <c r="B50" s="133" t="s">
        <v>51</v>
      </c>
      <c r="C50" s="133" t="s">
        <v>9547</v>
      </c>
      <c r="D50" s="100">
        <v>20</v>
      </c>
      <c r="E50" s="528">
        <v>20</v>
      </c>
      <c r="F50" s="338" t="s">
        <v>4471</v>
      </c>
    </row>
    <row r="51" spans="1:6" ht="15" customHeight="1">
      <c r="A51" s="134" t="s">
        <v>7379</v>
      </c>
      <c r="B51" s="134" t="s">
        <v>51</v>
      </c>
      <c r="C51" s="133" t="s">
        <v>9548</v>
      </c>
      <c r="D51" s="100">
        <v>20</v>
      </c>
      <c r="E51" s="528">
        <f t="shared" ref="E51:E60" si="1">D51</f>
        <v>20</v>
      </c>
      <c r="F51" s="338" t="s">
        <v>384</v>
      </c>
    </row>
    <row r="52" spans="1:6" ht="15" customHeight="1">
      <c r="A52" s="134" t="s">
        <v>7379</v>
      </c>
      <c r="B52" s="134" t="s">
        <v>51</v>
      </c>
      <c r="C52" s="133" t="s">
        <v>9549</v>
      </c>
      <c r="D52" s="100">
        <v>20</v>
      </c>
      <c r="E52" s="528">
        <f t="shared" si="1"/>
        <v>20</v>
      </c>
      <c r="F52" s="338" t="s">
        <v>384</v>
      </c>
    </row>
    <row r="53" spans="1:6" ht="15" customHeight="1">
      <c r="A53" s="134" t="s">
        <v>7379</v>
      </c>
      <c r="B53" s="134" t="s">
        <v>51</v>
      </c>
      <c r="C53" s="133" t="s">
        <v>9550</v>
      </c>
      <c r="D53" s="116">
        <v>20</v>
      </c>
      <c r="E53" s="528">
        <f t="shared" si="1"/>
        <v>20</v>
      </c>
    </row>
    <row r="54" spans="1:6" ht="15" customHeight="1">
      <c r="A54" s="134"/>
      <c r="B54" s="134"/>
      <c r="C54" s="133" t="s">
        <v>9551</v>
      </c>
      <c r="D54" s="100">
        <v>20</v>
      </c>
      <c r="E54" s="528">
        <f t="shared" si="1"/>
        <v>20</v>
      </c>
    </row>
    <row r="55" spans="1:6" ht="15" customHeight="1">
      <c r="A55" s="134" t="s">
        <v>7379</v>
      </c>
      <c r="B55" s="134" t="s">
        <v>51</v>
      </c>
      <c r="C55" s="133" t="s">
        <v>9552</v>
      </c>
      <c r="D55" s="116">
        <v>20</v>
      </c>
      <c r="E55" s="528">
        <f t="shared" si="1"/>
        <v>20</v>
      </c>
    </row>
    <row r="56" spans="1:6" ht="15" customHeight="1">
      <c r="A56" s="134" t="s">
        <v>7379</v>
      </c>
      <c r="B56" s="134" t="s">
        <v>51</v>
      </c>
      <c r="C56" s="133" t="s">
        <v>9553</v>
      </c>
      <c r="D56" s="100">
        <v>20</v>
      </c>
      <c r="E56" s="528">
        <f t="shared" si="1"/>
        <v>20</v>
      </c>
    </row>
    <row r="57" spans="1:6" ht="15" customHeight="1">
      <c r="A57" s="134" t="s">
        <v>7379</v>
      </c>
      <c r="B57" s="134" t="s">
        <v>51</v>
      </c>
      <c r="C57" s="133" t="s">
        <v>9554</v>
      </c>
      <c r="D57" s="100">
        <v>30</v>
      </c>
      <c r="E57" s="528">
        <f t="shared" si="1"/>
        <v>30</v>
      </c>
    </row>
    <row r="58" spans="1:6" ht="15" customHeight="1">
      <c r="A58" s="134" t="s">
        <v>7379</v>
      </c>
      <c r="B58" s="134" t="s">
        <v>51</v>
      </c>
      <c r="C58" s="133" t="s">
        <v>9555</v>
      </c>
      <c r="D58" s="116">
        <v>30</v>
      </c>
      <c r="E58" s="528">
        <f t="shared" si="1"/>
        <v>30</v>
      </c>
    </row>
    <row r="59" spans="1:6" ht="15" customHeight="1">
      <c r="A59" s="134" t="s">
        <v>7379</v>
      </c>
      <c r="B59" s="134" t="s">
        <v>51</v>
      </c>
      <c r="C59" s="133" t="s">
        <v>9556</v>
      </c>
      <c r="D59" s="100">
        <v>30</v>
      </c>
      <c r="E59" s="528">
        <f t="shared" si="1"/>
        <v>30</v>
      </c>
    </row>
    <row r="60" spans="1:6" ht="15" customHeight="1">
      <c r="A60" s="134" t="s">
        <v>7379</v>
      </c>
      <c r="B60" s="134" t="s">
        <v>51</v>
      </c>
      <c r="C60" s="133" t="s">
        <v>9557</v>
      </c>
      <c r="D60" s="116">
        <v>30</v>
      </c>
      <c r="E60" s="528">
        <f t="shared" si="1"/>
        <v>30</v>
      </c>
    </row>
    <row r="61" spans="1:6" ht="15" customHeight="1">
      <c r="A61" s="134" t="s">
        <v>7562</v>
      </c>
      <c r="B61" s="133" t="s">
        <v>51</v>
      </c>
      <c r="C61" s="133" t="s">
        <v>9558</v>
      </c>
      <c r="D61" s="100">
        <v>10</v>
      </c>
      <c r="E61" s="528">
        <v>10</v>
      </c>
      <c r="F61" s="338" t="s">
        <v>7563</v>
      </c>
    </row>
    <row r="62" spans="1:6" ht="15" customHeight="1">
      <c r="A62" s="134" t="s">
        <v>7562</v>
      </c>
      <c r="B62" s="133" t="s">
        <v>51</v>
      </c>
      <c r="C62" s="133" t="s">
        <v>9559</v>
      </c>
      <c r="D62" s="116">
        <v>10</v>
      </c>
      <c r="E62" s="528">
        <v>10</v>
      </c>
      <c r="F62" s="338" t="s">
        <v>7563</v>
      </c>
    </row>
    <row r="63" spans="1:6" ht="15" customHeight="1">
      <c r="A63" s="134" t="s">
        <v>7562</v>
      </c>
      <c r="B63" s="133" t="s">
        <v>51</v>
      </c>
      <c r="C63" s="133" t="s">
        <v>9560</v>
      </c>
      <c r="D63" s="100">
        <v>10</v>
      </c>
      <c r="E63" s="528">
        <v>10</v>
      </c>
      <c r="F63" s="338" t="s">
        <v>7563</v>
      </c>
    </row>
    <row r="64" spans="1:6" ht="15" customHeight="1">
      <c r="A64" s="134" t="s">
        <v>7562</v>
      </c>
      <c r="B64" s="133" t="s">
        <v>51</v>
      </c>
      <c r="C64" s="133" t="s">
        <v>9561</v>
      </c>
      <c r="D64" s="116">
        <v>10</v>
      </c>
      <c r="E64" s="528">
        <v>10</v>
      </c>
      <c r="F64" s="338" t="s">
        <v>7563</v>
      </c>
    </row>
    <row r="65" spans="1:6" ht="15" customHeight="1">
      <c r="A65" s="134" t="s">
        <v>1822</v>
      </c>
      <c r="B65" s="133" t="s">
        <v>51</v>
      </c>
      <c r="C65" s="133" t="s">
        <v>9562</v>
      </c>
      <c r="D65" s="100">
        <v>20</v>
      </c>
      <c r="E65" s="528">
        <v>20</v>
      </c>
      <c r="F65" s="338" t="s">
        <v>1822</v>
      </c>
    </row>
    <row r="66" spans="1:6" ht="15" customHeight="1">
      <c r="A66" s="134" t="s">
        <v>1822</v>
      </c>
      <c r="B66" s="133" t="s">
        <v>51</v>
      </c>
      <c r="C66" s="133" t="s">
        <v>9563</v>
      </c>
      <c r="D66" s="100">
        <v>20</v>
      </c>
      <c r="E66" s="528">
        <v>20</v>
      </c>
      <c r="F66" s="338" t="s">
        <v>1822</v>
      </c>
    </row>
    <row r="67" spans="1:6" ht="15" customHeight="1">
      <c r="A67" s="134" t="s">
        <v>1822</v>
      </c>
      <c r="B67" s="133" t="s">
        <v>51</v>
      </c>
      <c r="C67" s="133" t="s">
        <v>9564</v>
      </c>
      <c r="D67" s="100">
        <v>20</v>
      </c>
      <c r="E67" s="528">
        <v>20</v>
      </c>
      <c r="F67" s="338" t="s">
        <v>1822</v>
      </c>
    </row>
    <row r="68" spans="1:6" ht="15" customHeight="1">
      <c r="A68" s="134" t="s">
        <v>1822</v>
      </c>
      <c r="B68" s="133" t="s">
        <v>51</v>
      </c>
      <c r="C68" s="133" t="s">
        <v>9565</v>
      </c>
      <c r="D68" s="100">
        <v>20</v>
      </c>
      <c r="E68" s="528">
        <v>20</v>
      </c>
      <c r="F68" s="338" t="s">
        <v>1822</v>
      </c>
    </row>
    <row r="69" spans="1:6" ht="15" customHeight="1">
      <c r="A69" s="134" t="s">
        <v>1822</v>
      </c>
      <c r="B69" s="133" t="s">
        <v>51</v>
      </c>
      <c r="C69" s="133" t="s">
        <v>9566</v>
      </c>
      <c r="D69" s="100">
        <v>20</v>
      </c>
      <c r="E69" s="528">
        <v>20</v>
      </c>
      <c r="F69" s="338" t="s">
        <v>1822</v>
      </c>
    </row>
    <row r="70" spans="1:6" ht="15" customHeight="1">
      <c r="A70" s="134" t="s">
        <v>1822</v>
      </c>
      <c r="B70" s="133" t="s">
        <v>51</v>
      </c>
      <c r="C70" s="133" t="s">
        <v>9567</v>
      </c>
      <c r="D70" s="100">
        <v>20</v>
      </c>
      <c r="E70" s="528">
        <v>20</v>
      </c>
      <c r="F70" s="338" t="s">
        <v>1822</v>
      </c>
    </row>
    <row r="71" spans="1:6" ht="15" customHeight="1">
      <c r="A71" s="134" t="s">
        <v>1822</v>
      </c>
      <c r="B71" s="133" t="s">
        <v>51</v>
      </c>
      <c r="C71" s="133" t="s">
        <v>9568</v>
      </c>
      <c r="D71" s="100">
        <v>20</v>
      </c>
      <c r="E71" s="528">
        <v>20</v>
      </c>
      <c r="F71" s="338" t="s">
        <v>1822</v>
      </c>
    </row>
    <row r="72" spans="1:6" ht="15" customHeight="1">
      <c r="A72" s="134" t="s">
        <v>1822</v>
      </c>
      <c r="B72" s="133" t="s">
        <v>51</v>
      </c>
      <c r="C72" s="133" t="s">
        <v>9569</v>
      </c>
      <c r="D72" s="100">
        <v>20</v>
      </c>
      <c r="E72" s="528">
        <v>20</v>
      </c>
      <c r="F72" s="338" t="s">
        <v>1822</v>
      </c>
    </row>
    <row r="73" spans="1:6" ht="15" customHeight="1">
      <c r="A73" s="134" t="s">
        <v>7565</v>
      </c>
      <c r="B73" s="586" t="s">
        <v>51</v>
      </c>
      <c r="C73" s="1174" t="s">
        <v>9570</v>
      </c>
      <c r="D73" s="1175">
        <v>20</v>
      </c>
      <c r="E73" s="528">
        <f t="shared" ref="E73:E79" si="2">D73</f>
        <v>20</v>
      </c>
      <c r="F73" s="338" t="s">
        <v>1869</v>
      </c>
    </row>
    <row r="74" spans="1:6" ht="15" customHeight="1">
      <c r="A74" s="134" t="s">
        <v>7565</v>
      </c>
      <c r="B74" s="586" t="s">
        <v>51</v>
      </c>
      <c r="C74" s="1174" t="s">
        <v>9571</v>
      </c>
      <c r="D74" s="1158">
        <v>20</v>
      </c>
      <c r="E74" s="528">
        <f t="shared" si="2"/>
        <v>20</v>
      </c>
      <c r="F74" s="338" t="s">
        <v>1869</v>
      </c>
    </row>
    <row r="75" spans="1:6" ht="15" customHeight="1">
      <c r="A75" s="134" t="s">
        <v>7565</v>
      </c>
      <c r="B75" s="586" t="s">
        <v>51</v>
      </c>
      <c r="C75" s="1174" t="s">
        <v>9572</v>
      </c>
      <c r="D75" s="1175">
        <v>20</v>
      </c>
      <c r="E75" s="528">
        <f t="shared" si="2"/>
        <v>20</v>
      </c>
      <c r="F75" s="338" t="s">
        <v>1869</v>
      </c>
    </row>
    <row r="76" spans="1:6" ht="15" customHeight="1">
      <c r="A76" s="134" t="s">
        <v>7565</v>
      </c>
      <c r="B76" s="586" t="s">
        <v>51</v>
      </c>
      <c r="C76" s="1174" t="s">
        <v>9573</v>
      </c>
      <c r="D76" s="1158">
        <v>20</v>
      </c>
      <c r="E76" s="528">
        <f t="shared" si="2"/>
        <v>20</v>
      </c>
      <c r="F76" s="338" t="s">
        <v>1869</v>
      </c>
    </row>
    <row r="77" spans="1:6" ht="15" customHeight="1">
      <c r="A77" s="134" t="s">
        <v>7565</v>
      </c>
      <c r="B77" s="586" t="s">
        <v>51</v>
      </c>
      <c r="C77" s="1174" t="s">
        <v>9574</v>
      </c>
      <c r="D77" s="1158">
        <v>20</v>
      </c>
      <c r="E77" s="528">
        <f t="shared" si="2"/>
        <v>20</v>
      </c>
      <c r="F77" s="338" t="s">
        <v>1869</v>
      </c>
    </row>
    <row r="78" spans="1:6" ht="15" customHeight="1">
      <c r="A78" s="134" t="s">
        <v>7565</v>
      </c>
      <c r="B78" s="586" t="s">
        <v>51</v>
      </c>
      <c r="C78" s="1174" t="s">
        <v>9575</v>
      </c>
      <c r="D78" s="1158">
        <v>30</v>
      </c>
      <c r="E78" s="528">
        <f t="shared" si="2"/>
        <v>30</v>
      </c>
      <c r="F78" s="338" t="s">
        <v>1869</v>
      </c>
    </row>
    <row r="79" spans="1:6" ht="15" customHeight="1">
      <c r="A79" s="134" t="s">
        <v>7565</v>
      </c>
      <c r="B79" s="586" t="s">
        <v>51</v>
      </c>
      <c r="C79" s="1174" t="s">
        <v>9576</v>
      </c>
      <c r="D79" s="1158">
        <v>30</v>
      </c>
      <c r="E79" s="528">
        <f t="shared" si="2"/>
        <v>30</v>
      </c>
      <c r="F79" s="338" t="s">
        <v>1869</v>
      </c>
    </row>
    <row r="80" spans="1:6" ht="15" customHeight="1">
      <c r="A80" s="134" t="s">
        <v>409</v>
      </c>
      <c r="B80" s="133" t="s">
        <v>401</v>
      </c>
      <c r="C80" s="1176" t="s">
        <v>9577</v>
      </c>
      <c r="D80" s="100">
        <v>20</v>
      </c>
      <c r="E80" s="528">
        <v>20</v>
      </c>
      <c r="F80" s="338" t="s">
        <v>409</v>
      </c>
    </row>
    <row r="81" spans="1:6" ht="15" customHeight="1">
      <c r="A81" s="134" t="s">
        <v>409</v>
      </c>
      <c r="B81" s="133" t="s">
        <v>401</v>
      </c>
      <c r="C81" s="1176" t="s">
        <v>9578</v>
      </c>
      <c r="D81" s="116">
        <v>20</v>
      </c>
      <c r="E81" s="528">
        <v>20</v>
      </c>
      <c r="F81" s="338" t="s">
        <v>409</v>
      </c>
    </row>
    <row r="82" spans="1:6" ht="15" customHeight="1">
      <c r="A82" s="134" t="s">
        <v>409</v>
      </c>
      <c r="B82" s="133" t="s">
        <v>401</v>
      </c>
      <c r="C82" s="1176" t="s">
        <v>9579</v>
      </c>
      <c r="D82" s="116">
        <v>20</v>
      </c>
      <c r="E82" s="528">
        <v>20</v>
      </c>
      <c r="F82" s="338" t="s">
        <v>409</v>
      </c>
    </row>
    <row r="83" spans="1:6" ht="15" customHeight="1">
      <c r="A83" s="134" t="s">
        <v>409</v>
      </c>
      <c r="B83" s="133" t="s">
        <v>401</v>
      </c>
      <c r="C83" s="1177" t="s">
        <v>9580</v>
      </c>
      <c r="D83" s="116">
        <v>20</v>
      </c>
      <c r="E83" s="528">
        <v>20</v>
      </c>
      <c r="F83" s="338" t="s">
        <v>409</v>
      </c>
    </row>
    <row r="84" spans="1:6" ht="15" customHeight="1">
      <c r="A84" s="134" t="s">
        <v>409</v>
      </c>
      <c r="B84" s="133" t="s">
        <v>401</v>
      </c>
      <c r="C84" s="1178" t="s">
        <v>9581</v>
      </c>
      <c r="D84" s="116">
        <v>30</v>
      </c>
      <c r="E84" s="528">
        <v>30</v>
      </c>
      <c r="F84" s="338" t="s">
        <v>409</v>
      </c>
    </row>
    <row r="85" spans="1:6" ht="15" customHeight="1">
      <c r="A85" s="134" t="s">
        <v>409</v>
      </c>
      <c r="B85" s="133" t="s">
        <v>401</v>
      </c>
      <c r="C85" s="1178" t="s">
        <v>9582</v>
      </c>
      <c r="D85" s="116">
        <v>30</v>
      </c>
      <c r="E85" s="528">
        <v>30</v>
      </c>
      <c r="F85" s="338" t="s">
        <v>409</v>
      </c>
    </row>
    <row r="86" spans="1:6" ht="15" customHeight="1">
      <c r="A86" s="134" t="s">
        <v>9583</v>
      </c>
      <c r="B86" s="133" t="s">
        <v>401</v>
      </c>
      <c r="C86" s="133" t="s">
        <v>9584</v>
      </c>
      <c r="D86" s="100">
        <v>30</v>
      </c>
      <c r="E86" s="528">
        <v>15</v>
      </c>
      <c r="F86" s="338" t="s">
        <v>466</v>
      </c>
    </row>
    <row r="87" spans="1:6" ht="15" customHeight="1">
      <c r="A87" s="134" t="s">
        <v>9585</v>
      </c>
      <c r="B87" s="133" t="s">
        <v>401</v>
      </c>
      <c r="C87" s="133" t="s">
        <v>9586</v>
      </c>
      <c r="D87" s="116">
        <v>30</v>
      </c>
      <c r="E87" s="528">
        <v>30</v>
      </c>
      <c r="F87" s="338" t="s">
        <v>466</v>
      </c>
    </row>
    <row r="88" spans="1:6" ht="15" customHeight="1">
      <c r="A88" s="134" t="s">
        <v>9585</v>
      </c>
      <c r="B88" s="133" t="s">
        <v>401</v>
      </c>
      <c r="C88" s="133" t="s">
        <v>9587</v>
      </c>
      <c r="D88" s="100">
        <v>30</v>
      </c>
      <c r="E88" s="528">
        <v>30</v>
      </c>
      <c r="F88" s="338" t="s">
        <v>466</v>
      </c>
    </row>
    <row r="89" spans="1:6" ht="15" customHeight="1">
      <c r="A89" s="134" t="s">
        <v>9588</v>
      </c>
      <c r="B89" s="133" t="s">
        <v>401</v>
      </c>
      <c r="C89" s="133" t="s">
        <v>9589</v>
      </c>
      <c r="D89" s="116">
        <v>30</v>
      </c>
      <c r="E89" s="528">
        <v>15</v>
      </c>
      <c r="F89" s="338" t="s">
        <v>466</v>
      </c>
    </row>
    <row r="90" spans="1:6" ht="15" customHeight="1">
      <c r="A90" s="134" t="s">
        <v>9585</v>
      </c>
      <c r="B90" s="133" t="s">
        <v>401</v>
      </c>
      <c r="C90" s="133" t="s">
        <v>9590</v>
      </c>
      <c r="D90" s="116">
        <v>30</v>
      </c>
      <c r="E90" s="528">
        <v>30</v>
      </c>
      <c r="F90" s="338" t="s">
        <v>466</v>
      </c>
    </row>
    <row r="91" spans="1:6" ht="15" customHeight="1">
      <c r="A91" s="256" t="s">
        <v>9585</v>
      </c>
      <c r="B91" s="469" t="s">
        <v>401</v>
      </c>
      <c r="C91" s="469" t="s">
        <v>9591</v>
      </c>
      <c r="D91" s="259">
        <v>30</v>
      </c>
      <c r="E91" s="1120">
        <v>30</v>
      </c>
      <c r="F91" s="338" t="s">
        <v>466</v>
      </c>
    </row>
    <row r="92" spans="1:6" ht="15" customHeight="1">
      <c r="A92" s="134" t="s">
        <v>9585</v>
      </c>
      <c r="B92" s="133" t="s">
        <v>401</v>
      </c>
      <c r="C92" s="133" t="s">
        <v>9592</v>
      </c>
      <c r="D92" s="116">
        <v>30</v>
      </c>
      <c r="E92" s="528">
        <v>30</v>
      </c>
      <c r="F92" s="338" t="s">
        <v>466</v>
      </c>
    </row>
    <row r="93" spans="1:6" ht="15" customHeight="1">
      <c r="A93" s="134" t="s">
        <v>9583</v>
      </c>
      <c r="B93" s="133" t="s">
        <v>401</v>
      </c>
      <c r="C93" s="133" t="s">
        <v>9593</v>
      </c>
      <c r="D93" s="116">
        <v>30</v>
      </c>
      <c r="E93" s="528">
        <v>15</v>
      </c>
      <c r="F93" s="338" t="s">
        <v>466</v>
      </c>
    </row>
    <row r="94" spans="1:6" ht="15" customHeight="1">
      <c r="A94" s="134" t="s">
        <v>9585</v>
      </c>
      <c r="B94" s="133" t="s">
        <v>401</v>
      </c>
      <c r="C94" s="133" t="s">
        <v>9594</v>
      </c>
      <c r="D94" s="116">
        <v>30</v>
      </c>
      <c r="E94" s="528">
        <v>30</v>
      </c>
      <c r="F94" s="338" t="s">
        <v>466</v>
      </c>
    </row>
    <row r="95" spans="1:6" ht="15" customHeight="1">
      <c r="A95" s="134" t="s">
        <v>9583</v>
      </c>
      <c r="B95" s="133" t="s">
        <v>401</v>
      </c>
      <c r="C95" s="133" t="s">
        <v>9595</v>
      </c>
      <c r="D95" s="116">
        <v>30</v>
      </c>
      <c r="E95" s="528">
        <v>15</v>
      </c>
      <c r="F95" s="338" t="s">
        <v>466</v>
      </c>
    </row>
    <row r="96" spans="1:6" ht="15" customHeight="1">
      <c r="A96" s="134" t="s">
        <v>9585</v>
      </c>
      <c r="B96" s="133" t="s">
        <v>401</v>
      </c>
      <c r="C96" s="133" t="s">
        <v>9596</v>
      </c>
      <c r="D96" s="116">
        <v>30</v>
      </c>
      <c r="E96" s="528">
        <v>30</v>
      </c>
      <c r="F96" s="338" t="s">
        <v>466</v>
      </c>
    </row>
    <row r="97" spans="1:6" ht="15" customHeight="1">
      <c r="A97" s="134" t="s">
        <v>9585</v>
      </c>
      <c r="B97" s="133" t="s">
        <v>401</v>
      </c>
      <c r="C97" s="133" t="s">
        <v>9597</v>
      </c>
      <c r="D97" s="116">
        <v>30</v>
      </c>
      <c r="E97" s="528">
        <v>30</v>
      </c>
      <c r="F97" s="338" t="s">
        <v>466</v>
      </c>
    </row>
    <row r="98" spans="1:6" ht="15" customHeight="1">
      <c r="A98" s="134" t="s">
        <v>9585</v>
      </c>
      <c r="B98" s="133" t="s">
        <v>401</v>
      </c>
      <c r="C98" s="133" t="s">
        <v>9598</v>
      </c>
      <c r="D98" s="116">
        <v>30</v>
      </c>
      <c r="E98" s="528">
        <v>30</v>
      </c>
      <c r="F98" s="338" t="s">
        <v>466</v>
      </c>
    </row>
    <row r="99" spans="1:6" ht="15" customHeight="1">
      <c r="A99" s="134" t="str">
        <f>$A$21</f>
        <v>Beju Livia Dana</v>
      </c>
      <c r="B99" s="133"/>
      <c r="C99" s="133" t="s">
        <v>9599</v>
      </c>
      <c r="D99" s="116">
        <v>20</v>
      </c>
      <c r="E99" s="528">
        <v>20</v>
      </c>
      <c r="F99" s="338" t="s">
        <v>466</v>
      </c>
    </row>
    <row r="100" spans="1:6" ht="15" customHeight="1">
      <c r="A100" s="134" t="s">
        <v>9585</v>
      </c>
      <c r="B100" s="133"/>
      <c r="C100" s="133" t="s">
        <v>9600</v>
      </c>
      <c r="D100" s="116">
        <v>20</v>
      </c>
      <c r="E100" s="528">
        <v>20</v>
      </c>
      <c r="F100" s="338" t="s">
        <v>466</v>
      </c>
    </row>
    <row r="101" spans="1:6" ht="15" customHeight="1">
      <c r="A101" s="134" t="str">
        <f>$A$21</f>
        <v>Beju Livia Dana</v>
      </c>
      <c r="B101" s="133"/>
      <c r="C101" s="133" t="s">
        <v>9601</v>
      </c>
      <c r="D101" s="116">
        <v>20</v>
      </c>
      <c r="E101" s="528">
        <v>20</v>
      </c>
      <c r="F101" s="338" t="s">
        <v>466</v>
      </c>
    </row>
    <row r="102" spans="1:6" ht="15" customHeight="1">
      <c r="A102" s="134" t="s">
        <v>9602</v>
      </c>
      <c r="B102" s="133"/>
      <c r="C102" s="133" t="s">
        <v>9603</v>
      </c>
      <c r="D102" s="116">
        <v>20</v>
      </c>
      <c r="E102" s="528">
        <v>10</v>
      </c>
      <c r="F102" s="338" t="s">
        <v>466</v>
      </c>
    </row>
    <row r="103" spans="1:6" ht="15" customHeight="1">
      <c r="A103" s="134" t="s">
        <v>9585</v>
      </c>
      <c r="B103" s="133"/>
      <c r="C103" s="133" t="s">
        <v>9604</v>
      </c>
      <c r="D103" s="116">
        <v>20</v>
      </c>
      <c r="E103" s="528">
        <v>20</v>
      </c>
      <c r="F103" s="338" t="s">
        <v>466</v>
      </c>
    </row>
    <row r="104" spans="1:6" ht="15" customHeight="1">
      <c r="A104" s="134" t="s">
        <v>9585</v>
      </c>
      <c r="B104" s="133"/>
      <c r="C104" s="133" t="s">
        <v>9605</v>
      </c>
      <c r="D104" s="116">
        <v>20</v>
      </c>
      <c r="E104" s="528">
        <v>20</v>
      </c>
      <c r="F104" s="338" t="s">
        <v>466</v>
      </c>
    </row>
    <row r="105" spans="1:6" ht="15" customHeight="1">
      <c r="A105" s="134" t="s">
        <v>9606</v>
      </c>
      <c r="B105" s="133" t="s">
        <v>51</v>
      </c>
      <c r="C105" s="133" t="s">
        <v>9607</v>
      </c>
      <c r="D105" s="100">
        <v>20</v>
      </c>
      <c r="E105" s="528">
        <v>20</v>
      </c>
      <c r="F105" s="338" t="s">
        <v>7657</v>
      </c>
    </row>
    <row r="106" spans="1:6" ht="15" customHeight="1">
      <c r="A106" s="134" t="s">
        <v>4848</v>
      </c>
      <c r="B106" s="133" t="s">
        <v>51</v>
      </c>
      <c r="C106" s="133" t="s">
        <v>9608</v>
      </c>
      <c r="D106" s="116">
        <v>20</v>
      </c>
      <c r="E106" s="528">
        <v>20</v>
      </c>
      <c r="F106" s="338" t="s">
        <v>2207</v>
      </c>
    </row>
    <row r="107" spans="1:6" ht="15" customHeight="1">
      <c r="A107" s="134" t="s">
        <v>4848</v>
      </c>
      <c r="B107" s="133" t="s">
        <v>51</v>
      </c>
      <c r="C107" s="64" t="s">
        <v>9609</v>
      </c>
      <c r="D107" s="116">
        <v>20</v>
      </c>
      <c r="E107" s="528">
        <v>20</v>
      </c>
      <c r="F107" s="338" t="s">
        <v>2207</v>
      </c>
    </row>
    <row r="108" spans="1:6" ht="15" customHeight="1">
      <c r="A108" s="134" t="s">
        <v>4848</v>
      </c>
      <c r="B108" s="133" t="s">
        <v>51</v>
      </c>
      <c r="C108" s="133" t="s">
        <v>9610</v>
      </c>
      <c r="D108" s="116">
        <v>20</v>
      </c>
      <c r="E108" s="528">
        <v>10</v>
      </c>
      <c r="F108" s="338" t="s">
        <v>2207</v>
      </c>
    </row>
    <row r="109" spans="1:6" ht="15" customHeight="1">
      <c r="A109" s="134" t="s">
        <v>8030</v>
      </c>
      <c r="B109" s="133" t="s">
        <v>51</v>
      </c>
      <c r="C109" s="1179" t="s">
        <v>9611</v>
      </c>
      <c r="D109" s="116">
        <v>30</v>
      </c>
      <c r="E109" s="528">
        <v>30</v>
      </c>
      <c r="F109" s="338" t="s">
        <v>7571</v>
      </c>
    </row>
    <row r="110" spans="1:6" ht="15" customHeight="1">
      <c r="A110" s="134" t="s">
        <v>8030</v>
      </c>
      <c r="B110" s="133" t="s">
        <v>51</v>
      </c>
      <c r="C110" s="133" t="s">
        <v>9612</v>
      </c>
      <c r="D110" s="116">
        <v>30</v>
      </c>
      <c r="E110" s="528">
        <v>30</v>
      </c>
      <c r="F110" s="338" t="s">
        <v>7571</v>
      </c>
    </row>
    <row r="111" spans="1:6" ht="15" customHeight="1">
      <c r="A111" s="134" t="s">
        <v>8030</v>
      </c>
      <c r="B111" s="133" t="s">
        <v>51</v>
      </c>
      <c r="C111" s="1179" t="s">
        <v>9613</v>
      </c>
      <c r="D111" s="116">
        <v>30</v>
      </c>
      <c r="E111" s="528">
        <v>30</v>
      </c>
      <c r="F111" s="338" t="s">
        <v>7571</v>
      </c>
    </row>
    <row r="112" spans="1:6" ht="15" customHeight="1">
      <c r="A112" s="134" t="s">
        <v>8030</v>
      </c>
      <c r="B112" s="133" t="s">
        <v>51</v>
      </c>
      <c r="C112" s="133" t="s">
        <v>9614</v>
      </c>
      <c r="D112" s="116">
        <v>30</v>
      </c>
      <c r="E112" s="528">
        <v>30</v>
      </c>
      <c r="F112" s="338" t="s">
        <v>7571</v>
      </c>
    </row>
    <row r="113" spans="1:6" ht="15" customHeight="1">
      <c r="A113" s="256" t="s">
        <v>8030</v>
      </c>
      <c r="B113" s="469" t="s">
        <v>51</v>
      </c>
      <c r="C113" s="469" t="s">
        <v>9615</v>
      </c>
      <c r="D113" s="259">
        <v>20</v>
      </c>
      <c r="E113" s="1120">
        <v>20</v>
      </c>
      <c r="F113" s="338" t="s">
        <v>7571</v>
      </c>
    </row>
    <row r="114" spans="1:6" ht="15" customHeight="1">
      <c r="A114" s="134" t="s">
        <v>8030</v>
      </c>
      <c r="B114" s="133" t="s">
        <v>51</v>
      </c>
      <c r="C114" s="133" t="s">
        <v>9616</v>
      </c>
      <c r="D114" s="116">
        <v>20</v>
      </c>
      <c r="E114" s="528">
        <v>20</v>
      </c>
      <c r="F114" s="338" t="s">
        <v>7571</v>
      </c>
    </row>
    <row r="115" spans="1:6" ht="15" customHeight="1">
      <c r="A115" s="134" t="s">
        <v>473</v>
      </c>
      <c r="B115" s="133" t="s">
        <v>51</v>
      </c>
      <c r="C115" s="133" t="s">
        <v>9617</v>
      </c>
      <c r="D115" s="100">
        <v>30</v>
      </c>
      <c r="E115" s="528">
        <f t="shared" ref="E115:E134" si="3">D115</f>
        <v>30</v>
      </c>
      <c r="F115" s="338" t="s">
        <v>473</v>
      </c>
    </row>
    <row r="116" spans="1:6" ht="15" customHeight="1">
      <c r="A116" s="134" t="s">
        <v>473</v>
      </c>
      <c r="B116" s="133" t="s">
        <v>51</v>
      </c>
      <c r="C116" s="133" t="s">
        <v>9618</v>
      </c>
      <c r="D116" s="116">
        <v>30</v>
      </c>
      <c r="E116" s="528">
        <f t="shared" si="3"/>
        <v>30</v>
      </c>
      <c r="F116" s="338" t="s">
        <v>473</v>
      </c>
    </row>
    <row r="117" spans="1:6" ht="15" customHeight="1">
      <c r="A117" s="134" t="s">
        <v>473</v>
      </c>
      <c r="B117" s="133" t="s">
        <v>51</v>
      </c>
      <c r="C117" s="133" t="s">
        <v>9619</v>
      </c>
      <c r="D117" s="100">
        <v>20</v>
      </c>
      <c r="E117" s="528">
        <f t="shared" si="3"/>
        <v>20</v>
      </c>
      <c r="F117" s="338" t="s">
        <v>473</v>
      </c>
    </row>
    <row r="118" spans="1:6" ht="15" customHeight="1">
      <c r="A118" s="134" t="s">
        <v>473</v>
      </c>
      <c r="B118" s="133" t="s">
        <v>51</v>
      </c>
      <c r="C118" s="133" t="s">
        <v>9620</v>
      </c>
      <c r="D118" s="116">
        <v>20</v>
      </c>
      <c r="E118" s="528">
        <f t="shared" si="3"/>
        <v>20</v>
      </c>
      <c r="F118" s="338" t="s">
        <v>473</v>
      </c>
    </row>
    <row r="119" spans="1:6" ht="15" customHeight="1">
      <c r="A119" s="134" t="s">
        <v>473</v>
      </c>
      <c r="B119" s="133" t="s">
        <v>51</v>
      </c>
      <c r="C119" s="133" t="s">
        <v>9621</v>
      </c>
      <c r="D119" s="116">
        <v>20</v>
      </c>
      <c r="E119" s="528">
        <f t="shared" si="3"/>
        <v>20</v>
      </c>
      <c r="F119" s="338" t="s">
        <v>473</v>
      </c>
    </row>
    <row r="120" spans="1:6" ht="15" customHeight="1">
      <c r="A120" s="134" t="s">
        <v>473</v>
      </c>
      <c r="B120" s="133" t="s">
        <v>51</v>
      </c>
      <c r="C120" s="133" t="s">
        <v>9622</v>
      </c>
      <c r="D120" s="116">
        <v>20</v>
      </c>
      <c r="E120" s="528">
        <f t="shared" si="3"/>
        <v>20</v>
      </c>
      <c r="F120" s="338" t="s">
        <v>473</v>
      </c>
    </row>
    <row r="121" spans="1:6" ht="15" customHeight="1">
      <c r="A121" s="134" t="s">
        <v>473</v>
      </c>
      <c r="B121" s="133" t="s">
        <v>51</v>
      </c>
      <c r="C121" s="133" t="s">
        <v>9623</v>
      </c>
      <c r="D121" s="116">
        <v>20</v>
      </c>
      <c r="E121" s="528">
        <f t="shared" si="3"/>
        <v>20</v>
      </c>
      <c r="F121" s="338" t="s">
        <v>473</v>
      </c>
    </row>
    <row r="122" spans="1:6" ht="15" customHeight="1">
      <c r="A122" s="134" t="s">
        <v>2260</v>
      </c>
      <c r="B122" s="99" t="s">
        <v>51</v>
      </c>
      <c r="C122" s="133" t="s">
        <v>9624</v>
      </c>
      <c r="D122" s="100">
        <v>20</v>
      </c>
      <c r="E122" s="528">
        <f t="shared" si="3"/>
        <v>20</v>
      </c>
      <c r="F122" s="338" t="s">
        <v>2260</v>
      </c>
    </row>
    <row r="123" spans="1:6" ht="15" customHeight="1">
      <c r="A123" s="134" t="s">
        <v>2260</v>
      </c>
      <c r="B123" s="99" t="s">
        <v>51</v>
      </c>
      <c r="C123" s="133" t="s">
        <v>9625</v>
      </c>
      <c r="D123" s="100">
        <v>20</v>
      </c>
      <c r="E123" s="528">
        <f t="shared" si="3"/>
        <v>20</v>
      </c>
      <c r="F123" s="338" t="s">
        <v>2260</v>
      </c>
    </row>
    <row r="124" spans="1:6" ht="15" customHeight="1">
      <c r="A124" s="134" t="s">
        <v>2260</v>
      </c>
      <c r="B124" s="99" t="s">
        <v>51</v>
      </c>
      <c r="C124" s="133" t="s">
        <v>9626</v>
      </c>
      <c r="D124" s="100">
        <v>20</v>
      </c>
      <c r="E124" s="528">
        <f t="shared" si="3"/>
        <v>20</v>
      </c>
      <c r="F124" s="338" t="s">
        <v>2260</v>
      </c>
    </row>
    <row r="125" spans="1:6" ht="15" customHeight="1">
      <c r="A125" s="134" t="s">
        <v>2260</v>
      </c>
      <c r="B125" s="99" t="s">
        <v>51</v>
      </c>
      <c r="C125" s="133" t="s">
        <v>9627</v>
      </c>
      <c r="D125" s="100">
        <v>20</v>
      </c>
      <c r="E125" s="528">
        <f t="shared" si="3"/>
        <v>20</v>
      </c>
      <c r="F125" s="338" t="s">
        <v>2260</v>
      </c>
    </row>
    <row r="126" spans="1:6" ht="15" customHeight="1">
      <c r="A126" s="134" t="s">
        <v>2260</v>
      </c>
      <c r="B126" s="99" t="s">
        <v>51</v>
      </c>
      <c r="C126" s="133" t="s">
        <v>9628</v>
      </c>
      <c r="D126" s="100">
        <v>20</v>
      </c>
      <c r="E126" s="528">
        <f t="shared" si="3"/>
        <v>20</v>
      </c>
      <c r="F126" s="338" t="s">
        <v>2260</v>
      </c>
    </row>
    <row r="127" spans="1:6" ht="15" customHeight="1">
      <c r="A127" s="134" t="s">
        <v>2260</v>
      </c>
      <c r="B127" s="99" t="s">
        <v>51</v>
      </c>
      <c r="C127" s="133" t="s">
        <v>9629</v>
      </c>
      <c r="D127" s="100">
        <v>20</v>
      </c>
      <c r="E127" s="528">
        <f t="shared" si="3"/>
        <v>20</v>
      </c>
      <c r="F127" s="338" t="s">
        <v>2260</v>
      </c>
    </row>
    <row r="128" spans="1:6" ht="15" customHeight="1">
      <c r="A128" s="134" t="s">
        <v>2260</v>
      </c>
      <c r="B128" s="99" t="s">
        <v>51</v>
      </c>
      <c r="C128" s="133" t="s">
        <v>9630</v>
      </c>
      <c r="D128" s="116">
        <v>20</v>
      </c>
      <c r="E128" s="528">
        <f t="shared" si="3"/>
        <v>20</v>
      </c>
      <c r="F128" s="338" t="s">
        <v>2260</v>
      </c>
    </row>
    <row r="129" spans="1:6" ht="15" customHeight="1">
      <c r="A129" s="134" t="s">
        <v>2260</v>
      </c>
      <c r="B129" s="99" t="s">
        <v>51</v>
      </c>
      <c r="C129" s="133" t="s">
        <v>9631</v>
      </c>
      <c r="D129" s="116">
        <v>30</v>
      </c>
      <c r="E129" s="528">
        <f t="shared" si="3"/>
        <v>30</v>
      </c>
      <c r="F129" s="338" t="s">
        <v>2260</v>
      </c>
    </row>
    <row r="130" spans="1:6" ht="15" customHeight="1">
      <c r="A130" s="134" t="s">
        <v>2260</v>
      </c>
      <c r="B130" s="99" t="s">
        <v>51</v>
      </c>
      <c r="C130" s="133" t="s">
        <v>9632</v>
      </c>
      <c r="D130" s="116">
        <v>30</v>
      </c>
      <c r="E130" s="528">
        <f t="shared" si="3"/>
        <v>30</v>
      </c>
      <c r="F130" s="338" t="s">
        <v>2260</v>
      </c>
    </row>
    <row r="131" spans="1:6" ht="15" customHeight="1">
      <c r="A131" s="134" t="s">
        <v>2260</v>
      </c>
      <c r="B131" s="99" t="s">
        <v>51</v>
      </c>
      <c r="C131" s="133" t="s">
        <v>9633</v>
      </c>
      <c r="D131" s="116">
        <v>30</v>
      </c>
      <c r="E131" s="528">
        <f t="shared" si="3"/>
        <v>30</v>
      </c>
      <c r="F131" s="338" t="s">
        <v>2260</v>
      </c>
    </row>
    <row r="132" spans="1:6" ht="15" customHeight="1">
      <c r="A132" s="134" t="s">
        <v>2260</v>
      </c>
      <c r="B132" s="99" t="s">
        <v>51</v>
      </c>
      <c r="C132" s="469" t="s">
        <v>9634</v>
      </c>
      <c r="D132" s="259">
        <v>30</v>
      </c>
      <c r="E132" s="1120">
        <f t="shared" si="3"/>
        <v>30</v>
      </c>
      <c r="F132" s="338" t="s">
        <v>2260</v>
      </c>
    </row>
    <row r="133" spans="1:6" ht="15" customHeight="1">
      <c r="A133" s="134" t="s">
        <v>2260</v>
      </c>
      <c r="B133" s="99" t="s">
        <v>51</v>
      </c>
      <c r="C133" s="133" t="s">
        <v>9635</v>
      </c>
      <c r="D133" s="116">
        <v>30</v>
      </c>
      <c r="E133" s="528">
        <f t="shared" si="3"/>
        <v>30</v>
      </c>
      <c r="F133" s="338" t="s">
        <v>2260</v>
      </c>
    </row>
    <row r="134" spans="1:6" ht="15" customHeight="1">
      <c r="A134" s="134" t="s">
        <v>2260</v>
      </c>
      <c r="B134" s="99" t="s">
        <v>51</v>
      </c>
      <c r="C134" s="133" t="s">
        <v>9636</v>
      </c>
      <c r="D134" s="116">
        <f>30/2</f>
        <v>15</v>
      </c>
      <c r="E134" s="528">
        <f t="shared" si="3"/>
        <v>15</v>
      </c>
      <c r="F134" s="338" t="s">
        <v>2260</v>
      </c>
    </row>
    <row r="135" spans="1:6" ht="15" customHeight="1">
      <c r="A135" s="134" t="s">
        <v>5254</v>
      </c>
      <c r="B135" s="133" t="s">
        <v>51</v>
      </c>
      <c r="C135" s="133" t="s">
        <v>9637</v>
      </c>
      <c r="D135" s="100">
        <v>20</v>
      </c>
      <c r="E135" s="528">
        <v>20</v>
      </c>
      <c r="F135" s="338" t="s">
        <v>5254</v>
      </c>
    </row>
    <row r="136" spans="1:6" ht="15" customHeight="1">
      <c r="A136" s="134" t="s">
        <v>5254</v>
      </c>
      <c r="B136" s="133" t="s">
        <v>105</v>
      </c>
      <c r="C136" s="133" t="s">
        <v>9638</v>
      </c>
      <c r="D136" s="100">
        <v>20</v>
      </c>
      <c r="E136" s="528">
        <v>20</v>
      </c>
      <c r="F136" s="338" t="s">
        <v>5254</v>
      </c>
    </row>
    <row r="137" spans="1:6" ht="15" customHeight="1">
      <c r="A137" s="134" t="s">
        <v>5254</v>
      </c>
      <c r="B137" s="133" t="s">
        <v>968</v>
      </c>
      <c r="C137" s="133" t="s">
        <v>9639</v>
      </c>
      <c r="D137" s="100">
        <v>20</v>
      </c>
      <c r="E137" s="528">
        <v>20</v>
      </c>
      <c r="F137" s="338" t="s">
        <v>5254</v>
      </c>
    </row>
    <row r="138" spans="1:6" ht="15" customHeight="1">
      <c r="A138" s="134" t="s">
        <v>5254</v>
      </c>
      <c r="B138" s="133" t="s">
        <v>2438</v>
      </c>
      <c r="C138" s="133" t="s">
        <v>9640</v>
      </c>
      <c r="D138" s="100">
        <v>20</v>
      </c>
      <c r="E138" s="528">
        <v>20</v>
      </c>
      <c r="F138" s="338" t="s">
        <v>5254</v>
      </c>
    </row>
    <row r="139" spans="1:6" ht="15" customHeight="1">
      <c r="A139" s="134" t="s">
        <v>5254</v>
      </c>
      <c r="B139" s="133" t="s">
        <v>2441</v>
      </c>
      <c r="C139" s="133" t="s">
        <v>9641</v>
      </c>
      <c r="D139" s="116">
        <v>30</v>
      </c>
      <c r="E139" s="528">
        <v>30</v>
      </c>
      <c r="F139" s="338" t="s">
        <v>5254</v>
      </c>
    </row>
    <row r="140" spans="1:6" ht="15" customHeight="1">
      <c r="A140" s="134" t="s">
        <v>6415</v>
      </c>
      <c r="B140" s="99" t="s">
        <v>51</v>
      </c>
      <c r="C140" s="133" t="s">
        <v>9642</v>
      </c>
      <c r="D140" s="116">
        <v>30</v>
      </c>
      <c r="E140" s="116">
        <v>30</v>
      </c>
      <c r="F140" s="338" t="s">
        <v>482</v>
      </c>
    </row>
    <row r="141" spans="1:6" ht="15" customHeight="1">
      <c r="A141" s="134" t="s">
        <v>6415</v>
      </c>
      <c r="B141" s="99" t="s">
        <v>51</v>
      </c>
      <c r="C141" s="133" t="s">
        <v>9643</v>
      </c>
      <c r="D141" s="116">
        <v>30</v>
      </c>
      <c r="E141" s="116">
        <v>30</v>
      </c>
      <c r="F141" s="338" t="s">
        <v>482</v>
      </c>
    </row>
    <row r="142" spans="1:6" ht="15" customHeight="1">
      <c r="A142" s="134" t="s">
        <v>6415</v>
      </c>
      <c r="B142" s="99" t="s">
        <v>51</v>
      </c>
      <c r="C142" s="133" t="s">
        <v>9644</v>
      </c>
      <c r="D142" s="116">
        <v>30</v>
      </c>
      <c r="E142" s="116">
        <v>30</v>
      </c>
      <c r="F142" s="338" t="s">
        <v>482</v>
      </c>
    </row>
    <row r="143" spans="1:6" ht="15" customHeight="1">
      <c r="A143" s="134" t="s">
        <v>6435</v>
      </c>
      <c r="B143" s="133" t="s">
        <v>51</v>
      </c>
      <c r="C143" s="133" t="s">
        <v>9645</v>
      </c>
      <c r="D143" s="100">
        <v>20</v>
      </c>
      <c r="E143" s="528">
        <v>20</v>
      </c>
      <c r="F143" s="338" t="s">
        <v>2358</v>
      </c>
    </row>
    <row r="144" spans="1:6" ht="15" customHeight="1">
      <c r="A144" s="134" t="s">
        <v>6435</v>
      </c>
      <c r="B144" s="133" t="s">
        <v>51</v>
      </c>
      <c r="C144" s="133" t="s">
        <v>9646</v>
      </c>
      <c r="D144" s="100">
        <v>20</v>
      </c>
      <c r="E144" s="528">
        <v>20</v>
      </c>
      <c r="F144" s="338" t="s">
        <v>2358</v>
      </c>
    </row>
    <row r="145" spans="1:6" ht="15" customHeight="1">
      <c r="A145" s="134" t="s">
        <v>6435</v>
      </c>
      <c r="B145" s="133" t="s">
        <v>51</v>
      </c>
      <c r="C145" s="133" t="s">
        <v>9647</v>
      </c>
      <c r="D145" s="100">
        <v>30</v>
      </c>
      <c r="E145" s="528">
        <v>30</v>
      </c>
      <c r="F145" s="338" t="s">
        <v>2358</v>
      </c>
    </row>
    <row r="146" spans="1:6" ht="15" customHeight="1">
      <c r="A146" s="134" t="s">
        <v>6435</v>
      </c>
      <c r="B146" s="133" t="s">
        <v>51</v>
      </c>
      <c r="C146" s="133" t="s">
        <v>9648</v>
      </c>
      <c r="D146" s="100">
        <v>30</v>
      </c>
      <c r="E146" s="528">
        <v>30</v>
      </c>
      <c r="F146" s="338" t="s">
        <v>2358</v>
      </c>
    </row>
    <row r="147" spans="1:6" ht="15" customHeight="1">
      <c r="A147" s="162" t="s">
        <v>2372</v>
      </c>
      <c r="B147" s="162" t="s">
        <v>51</v>
      </c>
      <c r="C147" s="162" t="s">
        <v>9649</v>
      </c>
      <c r="D147" s="163">
        <v>20</v>
      </c>
      <c r="E147" s="483">
        <v>20</v>
      </c>
      <c r="F147" s="338" t="s">
        <v>2372</v>
      </c>
    </row>
    <row r="148" spans="1:6" ht="15" customHeight="1">
      <c r="A148" s="162" t="s">
        <v>2372</v>
      </c>
      <c r="B148" s="162" t="s">
        <v>51</v>
      </c>
      <c r="C148" s="162" t="s">
        <v>9650</v>
      </c>
      <c r="D148" s="163">
        <v>20</v>
      </c>
      <c r="E148" s="483">
        <v>20</v>
      </c>
      <c r="F148" s="338" t="s">
        <v>2372</v>
      </c>
    </row>
    <row r="149" spans="1:6" ht="15" customHeight="1">
      <c r="A149" s="162" t="s">
        <v>2372</v>
      </c>
      <c r="B149" s="162" t="s">
        <v>51</v>
      </c>
      <c r="C149" s="162" t="s">
        <v>9651</v>
      </c>
      <c r="D149" s="163">
        <v>20</v>
      </c>
      <c r="E149" s="483">
        <v>20</v>
      </c>
      <c r="F149" s="338" t="s">
        <v>2372</v>
      </c>
    </row>
    <row r="150" spans="1:6" ht="15" customHeight="1">
      <c r="A150" s="162" t="s">
        <v>2372</v>
      </c>
      <c r="B150" s="162" t="s">
        <v>51</v>
      </c>
      <c r="C150" s="162" t="s">
        <v>9652</v>
      </c>
      <c r="D150" s="163">
        <v>20</v>
      </c>
      <c r="E150" s="483">
        <v>20</v>
      </c>
      <c r="F150" s="338" t="s">
        <v>2372</v>
      </c>
    </row>
    <row r="151" spans="1:6" ht="15" customHeight="1">
      <c r="A151" s="995" t="s">
        <v>2372</v>
      </c>
      <c r="B151" s="162" t="s">
        <v>51</v>
      </c>
      <c r="C151" s="162" t="s">
        <v>9653</v>
      </c>
      <c r="D151" s="737">
        <v>30</v>
      </c>
      <c r="E151" s="483">
        <v>30</v>
      </c>
      <c r="F151" s="338" t="s">
        <v>2372</v>
      </c>
    </row>
    <row r="152" spans="1:6" ht="15" customHeight="1">
      <c r="A152" s="60" t="s">
        <v>9654</v>
      </c>
      <c r="B152" s="162" t="s">
        <v>51</v>
      </c>
      <c r="C152" s="162" t="s">
        <v>9655</v>
      </c>
      <c r="D152" s="737">
        <v>15</v>
      </c>
      <c r="E152" s="483">
        <v>15</v>
      </c>
      <c r="F152" s="338" t="s">
        <v>2372</v>
      </c>
    </row>
    <row r="153" spans="1:6" ht="15" customHeight="1">
      <c r="A153" s="995" t="s">
        <v>2372</v>
      </c>
      <c r="B153" s="162" t="s">
        <v>51</v>
      </c>
      <c r="C153" s="162" t="s">
        <v>9656</v>
      </c>
      <c r="D153" s="737">
        <v>30</v>
      </c>
      <c r="E153" s="483">
        <v>30</v>
      </c>
      <c r="F153" s="338" t="s">
        <v>2372</v>
      </c>
    </row>
    <row r="154" spans="1:6" ht="15" customHeight="1">
      <c r="A154" s="995" t="s">
        <v>2372</v>
      </c>
      <c r="B154" s="162" t="s">
        <v>51</v>
      </c>
      <c r="C154" s="162" t="s">
        <v>9657</v>
      </c>
      <c r="D154" s="737">
        <v>30</v>
      </c>
      <c r="E154" s="483">
        <v>30</v>
      </c>
      <c r="F154" s="338" t="s">
        <v>2372</v>
      </c>
    </row>
    <row r="155" spans="1:6" ht="15" customHeight="1">
      <c r="A155" s="995" t="s">
        <v>2372</v>
      </c>
      <c r="B155" s="162" t="s">
        <v>51</v>
      </c>
      <c r="C155" s="162" t="s">
        <v>9658</v>
      </c>
      <c r="D155" s="737">
        <v>30</v>
      </c>
      <c r="E155" s="483">
        <v>30</v>
      </c>
      <c r="F155" s="338" t="s">
        <v>2372</v>
      </c>
    </row>
    <row r="156" spans="1:6" ht="15" customHeight="1">
      <c r="A156" s="995" t="s">
        <v>2372</v>
      </c>
      <c r="B156" s="162" t="s">
        <v>51</v>
      </c>
      <c r="C156" s="162" t="s">
        <v>9659</v>
      </c>
      <c r="D156" s="737">
        <v>30</v>
      </c>
      <c r="E156" s="483">
        <v>30</v>
      </c>
      <c r="F156" s="338" t="s">
        <v>2372</v>
      </c>
    </row>
    <row r="157" spans="1:6" ht="15" customHeight="1">
      <c r="A157" s="60" t="s">
        <v>9654</v>
      </c>
      <c r="B157" s="162" t="s">
        <v>51</v>
      </c>
      <c r="C157" s="162" t="s">
        <v>9660</v>
      </c>
      <c r="D157" s="737">
        <v>15</v>
      </c>
      <c r="E157" s="483">
        <v>15</v>
      </c>
      <c r="F157" s="338" t="s">
        <v>2372</v>
      </c>
    </row>
    <row r="158" spans="1:6" ht="15" customHeight="1">
      <c r="A158" s="995" t="s">
        <v>2372</v>
      </c>
      <c r="B158" s="162" t="s">
        <v>51</v>
      </c>
      <c r="C158" s="162" t="s">
        <v>9661</v>
      </c>
      <c r="D158" s="737">
        <v>30</v>
      </c>
      <c r="E158" s="483">
        <v>30</v>
      </c>
      <c r="F158" s="338" t="s">
        <v>2372</v>
      </c>
    </row>
    <row r="159" spans="1:6" ht="15" customHeight="1">
      <c r="A159" s="995" t="s">
        <v>2372</v>
      </c>
      <c r="B159" s="162" t="s">
        <v>51</v>
      </c>
      <c r="C159" s="162" t="s">
        <v>9662</v>
      </c>
      <c r="D159" s="737">
        <v>30</v>
      </c>
      <c r="E159" s="483">
        <v>30</v>
      </c>
      <c r="F159" s="338" t="s">
        <v>2372</v>
      </c>
    </row>
    <row r="160" spans="1:6" ht="15" customHeight="1">
      <c r="A160" s="995" t="s">
        <v>2372</v>
      </c>
      <c r="B160" s="162" t="s">
        <v>51</v>
      </c>
      <c r="C160" s="162" t="s">
        <v>9663</v>
      </c>
      <c r="D160" s="737">
        <v>20</v>
      </c>
      <c r="E160" s="483">
        <v>20</v>
      </c>
      <c r="F160" s="338" t="s">
        <v>2372</v>
      </c>
    </row>
    <row r="161" spans="1:6" ht="15" customHeight="1">
      <c r="A161" s="995" t="s">
        <v>9664</v>
      </c>
      <c r="B161" s="162" t="s">
        <v>51</v>
      </c>
      <c r="C161" s="162" t="s">
        <v>9665</v>
      </c>
      <c r="D161" s="737">
        <v>10</v>
      </c>
      <c r="E161" s="483">
        <v>10</v>
      </c>
      <c r="F161" s="338" t="s">
        <v>2372</v>
      </c>
    </row>
    <row r="162" spans="1:6" ht="15" customHeight="1">
      <c r="A162" s="995" t="s">
        <v>2372</v>
      </c>
      <c r="B162" s="162" t="s">
        <v>51</v>
      </c>
      <c r="C162" s="162" t="s">
        <v>9666</v>
      </c>
      <c r="D162" s="737">
        <v>20</v>
      </c>
      <c r="E162" s="483">
        <v>20</v>
      </c>
      <c r="F162" s="338" t="s">
        <v>2372</v>
      </c>
    </row>
    <row r="163" spans="1:6" ht="15" customHeight="1">
      <c r="A163" s="995" t="s">
        <v>9664</v>
      </c>
      <c r="B163" s="162" t="s">
        <v>51</v>
      </c>
      <c r="C163" s="162" t="s">
        <v>9667</v>
      </c>
      <c r="D163" s="737">
        <v>10</v>
      </c>
      <c r="E163" s="483">
        <v>10</v>
      </c>
      <c r="F163" s="338" t="s">
        <v>2372</v>
      </c>
    </row>
    <row r="164" spans="1:6" ht="15" customHeight="1">
      <c r="A164" s="995" t="s">
        <v>2372</v>
      </c>
      <c r="B164" s="162" t="s">
        <v>51</v>
      </c>
      <c r="C164" s="162" t="s">
        <v>9668</v>
      </c>
      <c r="D164" s="737">
        <v>20</v>
      </c>
      <c r="E164" s="483">
        <v>20</v>
      </c>
      <c r="F164" s="338" t="s">
        <v>2372</v>
      </c>
    </row>
    <row r="165" spans="1:6" ht="15" customHeight="1">
      <c r="A165" s="995" t="s">
        <v>2372</v>
      </c>
      <c r="B165" s="162" t="s">
        <v>51</v>
      </c>
      <c r="C165" s="162" t="s">
        <v>9669</v>
      </c>
      <c r="D165" s="737">
        <v>20</v>
      </c>
      <c r="E165" s="483">
        <v>20</v>
      </c>
      <c r="F165" s="338" t="s">
        <v>2372</v>
      </c>
    </row>
    <row r="166" spans="1:6" ht="15" customHeight="1">
      <c r="A166" s="995" t="s">
        <v>2372</v>
      </c>
      <c r="B166" s="162" t="s">
        <v>51</v>
      </c>
      <c r="C166" s="162" t="s">
        <v>9670</v>
      </c>
      <c r="D166" s="737">
        <v>20</v>
      </c>
      <c r="E166" s="483">
        <v>20</v>
      </c>
      <c r="F166" s="338" t="s">
        <v>2372</v>
      </c>
    </row>
    <row r="167" spans="1:6" ht="15" customHeight="1">
      <c r="A167" s="995" t="s">
        <v>2372</v>
      </c>
      <c r="B167" s="162" t="s">
        <v>51</v>
      </c>
      <c r="C167" s="162" t="s">
        <v>9671</v>
      </c>
      <c r="D167" s="737">
        <v>20</v>
      </c>
      <c r="E167" s="483">
        <v>20</v>
      </c>
      <c r="F167" s="338" t="s">
        <v>2372</v>
      </c>
    </row>
    <row r="168" spans="1:6" ht="15" customHeight="1">
      <c r="A168" s="995" t="s">
        <v>9664</v>
      </c>
      <c r="B168" s="162" t="s">
        <v>51</v>
      </c>
      <c r="C168" s="162" t="s">
        <v>9672</v>
      </c>
      <c r="D168" s="737">
        <v>10</v>
      </c>
      <c r="E168" s="483">
        <v>10</v>
      </c>
      <c r="F168" s="338" t="s">
        <v>2372</v>
      </c>
    </row>
    <row r="169" spans="1:6" ht="15" customHeight="1">
      <c r="A169" s="134" t="s">
        <v>7097</v>
      </c>
      <c r="B169" s="133" t="s">
        <v>51</v>
      </c>
      <c r="C169" s="133" t="s">
        <v>9673</v>
      </c>
      <c r="D169" s="100">
        <v>20</v>
      </c>
      <c r="E169" s="528">
        <f t="shared" ref="E169:E173" si="4">D169</f>
        <v>20</v>
      </c>
      <c r="F169" s="338" t="s">
        <v>2392</v>
      </c>
    </row>
    <row r="170" spans="1:6" ht="15" customHeight="1">
      <c r="A170" s="134" t="s">
        <v>7097</v>
      </c>
      <c r="B170" s="133" t="s">
        <v>51</v>
      </c>
      <c r="C170" s="133" t="s">
        <v>9674</v>
      </c>
      <c r="D170" s="100">
        <v>20</v>
      </c>
      <c r="E170" s="528">
        <f t="shared" si="4"/>
        <v>20</v>
      </c>
      <c r="F170" s="338" t="s">
        <v>2392</v>
      </c>
    </row>
    <row r="171" spans="1:6" ht="15" customHeight="1">
      <c r="A171" s="134" t="s">
        <v>7097</v>
      </c>
      <c r="B171" s="133" t="s">
        <v>51</v>
      </c>
      <c r="C171" s="133" t="s">
        <v>9675</v>
      </c>
      <c r="D171" s="100">
        <v>20</v>
      </c>
      <c r="E171" s="528">
        <f t="shared" si="4"/>
        <v>20</v>
      </c>
      <c r="F171" s="338" t="s">
        <v>2392</v>
      </c>
    </row>
    <row r="172" spans="1:6" ht="15" customHeight="1">
      <c r="A172" s="134" t="s">
        <v>7097</v>
      </c>
      <c r="B172" s="133" t="s">
        <v>51</v>
      </c>
      <c r="C172" s="133" t="s">
        <v>9676</v>
      </c>
      <c r="D172" s="100">
        <v>20</v>
      </c>
      <c r="E172" s="528">
        <f t="shared" si="4"/>
        <v>20</v>
      </c>
      <c r="F172" s="338" t="s">
        <v>2392</v>
      </c>
    </row>
    <row r="173" spans="1:6" ht="15" customHeight="1">
      <c r="A173" s="134" t="s">
        <v>7097</v>
      </c>
      <c r="B173" s="133" t="s">
        <v>51</v>
      </c>
      <c r="C173" s="133" t="s">
        <v>9677</v>
      </c>
      <c r="D173" s="100">
        <v>20</v>
      </c>
      <c r="E173" s="528">
        <f t="shared" si="4"/>
        <v>20</v>
      </c>
      <c r="F173" s="338" t="s">
        <v>2392</v>
      </c>
    </row>
    <row r="174" spans="1:6" ht="15" customHeight="1">
      <c r="A174" s="459" t="s">
        <v>9678</v>
      </c>
      <c r="B174" s="459" t="s">
        <v>9679</v>
      </c>
      <c r="C174" s="133" t="s">
        <v>9680</v>
      </c>
      <c r="D174" s="100">
        <v>20</v>
      </c>
      <c r="E174" s="528">
        <f t="shared" ref="E174:E178" si="5">D174/2</f>
        <v>10</v>
      </c>
      <c r="F174" s="338" t="s">
        <v>2392</v>
      </c>
    </row>
    <row r="175" spans="1:6" ht="15" customHeight="1">
      <c r="A175" s="459" t="s">
        <v>9681</v>
      </c>
      <c r="B175" s="459" t="s">
        <v>9679</v>
      </c>
      <c r="C175" s="133" t="s">
        <v>9682</v>
      </c>
      <c r="D175" s="100">
        <v>20</v>
      </c>
      <c r="E175" s="528">
        <f t="shared" si="5"/>
        <v>10</v>
      </c>
      <c r="F175" s="338" t="s">
        <v>2392</v>
      </c>
    </row>
    <row r="176" spans="1:6" ht="15" customHeight="1">
      <c r="A176" s="459" t="s">
        <v>9683</v>
      </c>
      <c r="B176" s="459" t="s">
        <v>9679</v>
      </c>
      <c r="C176" s="133" t="s">
        <v>9684</v>
      </c>
      <c r="D176" s="100">
        <v>20</v>
      </c>
      <c r="E176" s="528">
        <f t="shared" si="5"/>
        <v>10</v>
      </c>
      <c r="F176" s="338" t="s">
        <v>2392</v>
      </c>
    </row>
    <row r="177" spans="1:6" ht="15" customHeight="1">
      <c r="A177" s="459" t="s">
        <v>9685</v>
      </c>
      <c r="B177" s="459" t="s">
        <v>9679</v>
      </c>
      <c r="C177" s="133" t="s">
        <v>9686</v>
      </c>
      <c r="D177" s="100">
        <v>20</v>
      </c>
      <c r="E177" s="528">
        <f t="shared" si="5"/>
        <v>10</v>
      </c>
      <c r="F177" s="338" t="s">
        <v>2392</v>
      </c>
    </row>
    <row r="178" spans="1:6" ht="15" customHeight="1">
      <c r="A178" s="459" t="s">
        <v>9678</v>
      </c>
      <c r="B178" s="459" t="s">
        <v>9679</v>
      </c>
      <c r="C178" s="133" t="s">
        <v>9687</v>
      </c>
      <c r="D178" s="100">
        <v>20</v>
      </c>
      <c r="E178" s="528">
        <f t="shared" si="5"/>
        <v>10</v>
      </c>
      <c r="F178" s="338" t="s">
        <v>2392</v>
      </c>
    </row>
    <row r="179" spans="1:6" ht="15" customHeight="1">
      <c r="A179" s="134" t="s">
        <v>7097</v>
      </c>
      <c r="B179" s="133" t="s">
        <v>51</v>
      </c>
      <c r="C179" s="133" t="s">
        <v>9688</v>
      </c>
      <c r="D179" s="100">
        <v>30</v>
      </c>
      <c r="E179" s="528">
        <f t="shared" ref="E179:E183" si="6">D179</f>
        <v>30</v>
      </c>
      <c r="F179" s="338" t="s">
        <v>2392</v>
      </c>
    </row>
    <row r="180" spans="1:6" ht="15" customHeight="1">
      <c r="A180" s="134" t="s">
        <v>7097</v>
      </c>
      <c r="B180" s="133" t="s">
        <v>51</v>
      </c>
      <c r="C180" s="133" t="s">
        <v>9689</v>
      </c>
      <c r="D180" s="100">
        <v>30</v>
      </c>
      <c r="E180" s="528">
        <f t="shared" si="6"/>
        <v>30</v>
      </c>
      <c r="F180" s="338" t="s">
        <v>2392</v>
      </c>
    </row>
    <row r="181" spans="1:6" ht="15" customHeight="1">
      <c r="A181" s="134" t="s">
        <v>7097</v>
      </c>
      <c r="B181" s="133" t="s">
        <v>51</v>
      </c>
      <c r="C181" s="133" t="s">
        <v>9690</v>
      </c>
      <c r="D181" s="100">
        <v>30</v>
      </c>
      <c r="E181" s="528">
        <f t="shared" si="6"/>
        <v>30</v>
      </c>
      <c r="F181" s="338" t="s">
        <v>2392</v>
      </c>
    </row>
    <row r="182" spans="1:6" ht="15" customHeight="1">
      <c r="A182" s="134" t="s">
        <v>7097</v>
      </c>
      <c r="B182" s="133" t="s">
        <v>51</v>
      </c>
      <c r="C182" s="133" t="s">
        <v>9691</v>
      </c>
      <c r="D182" s="100">
        <v>30</v>
      </c>
      <c r="E182" s="528">
        <f t="shared" si="6"/>
        <v>30</v>
      </c>
      <c r="F182" s="338" t="s">
        <v>2392</v>
      </c>
    </row>
    <row r="183" spans="1:6" ht="15" customHeight="1">
      <c r="A183" s="256" t="s">
        <v>7097</v>
      </c>
      <c r="B183" s="469" t="s">
        <v>51</v>
      </c>
      <c r="C183" s="469" t="s">
        <v>9692</v>
      </c>
      <c r="D183" s="178">
        <v>30</v>
      </c>
      <c r="E183" s="1120">
        <f t="shared" si="6"/>
        <v>30</v>
      </c>
      <c r="F183" s="338" t="s">
        <v>2392</v>
      </c>
    </row>
    <row r="184" spans="1:6" ht="15" customHeight="1">
      <c r="A184" s="459" t="s">
        <v>9693</v>
      </c>
      <c r="B184" s="459" t="s">
        <v>9694</v>
      </c>
      <c r="C184" s="133" t="s">
        <v>9695</v>
      </c>
      <c r="D184" s="100">
        <v>20</v>
      </c>
      <c r="E184" s="528">
        <f>D184/2</f>
        <v>10</v>
      </c>
      <c r="F184" s="338" t="s">
        <v>2392</v>
      </c>
    </row>
    <row r="185" spans="1:6" ht="15" customHeight="1">
      <c r="A185" s="134" t="s">
        <v>7097</v>
      </c>
      <c r="B185" s="133" t="s">
        <v>51</v>
      </c>
      <c r="C185" s="133" t="s">
        <v>9696</v>
      </c>
      <c r="D185" s="100">
        <v>20</v>
      </c>
      <c r="E185" s="528">
        <f t="shared" ref="E185:E188" si="7">D185</f>
        <v>20</v>
      </c>
      <c r="F185" s="338" t="s">
        <v>2392</v>
      </c>
    </row>
    <row r="186" spans="1:6" ht="15" customHeight="1">
      <c r="A186" s="134" t="s">
        <v>7097</v>
      </c>
      <c r="B186" s="133" t="s">
        <v>51</v>
      </c>
      <c r="C186" s="133" t="s">
        <v>9697</v>
      </c>
      <c r="D186" s="100">
        <v>20</v>
      </c>
      <c r="E186" s="528">
        <f t="shared" si="7"/>
        <v>20</v>
      </c>
      <c r="F186" s="338" t="s">
        <v>2392</v>
      </c>
    </row>
    <row r="187" spans="1:6" ht="15" customHeight="1">
      <c r="A187" s="134" t="s">
        <v>7097</v>
      </c>
      <c r="B187" s="133" t="s">
        <v>51</v>
      </c>
      <c r="C187" s="133" t="s">
        <v>9698</v>
      </c>
      <c r="D187" s="100">
        <v>20</v>
      </c>
      <c r="E187" s="528">
        <f t="shared" si="7"/>
        <v>20</v>
      </c>
      <c r="F187" s="338" t="s">
        <v>2392</v>
      </c>
    </row>
    <row r="188" spans="1:6" ht="15" customHeight="1">
      <c r="A188" s="134" t="s">
        <v>488</v>
      </c>
      <c r="B188" s="133" t="s">
        <v>51</v>
      </c>
      <c r="C188" s="133" t="s">
        <v>9699</v>
      </c>
      <c r="D188" s="100">
        <v>20</v>
      </c>
      <c r="E188" s="528">
        <f t="shared" si="7"/>
        <v>20</v>
      </c>
      <c r="F188" s="338" t="s">
        <v>488</v>
      </c>
    </row>
    <row r="189" spans="1:6" ht="15" customHeight="1">
      <c r="A189" s="134" t="s">
        <v>1223</v>
      </c>
      <c r="B189" s="133" t="s">
        <v>51</v>
      </c>
      <c r="C189" s="133" t="s">
        <v>9700</v>
      </c>
      <c r="D189" s="116">
        <v>30</v>
      </c>
      <c r="E189" s="116">
        <v>30</v>
      </c>
      <c r="F189" s="338" t="s">
        <v>510</v>
      </c>
    </row>
    <row r="190" spans="1:6" ht="15" customHeight="1">
      <c r="A190" s="134" t="s">
        <v>1223</v>
      </c>
      <c r="B190" s="133" t="s">
        <v>105</v>
      </c>
      <c r="C190" s="133" t="s">
        <v>9701</v>
      </c>
      <c r="D190" s="116">
        <v>30</v>
      </c>
      <c r="E190" s="116">
        <v>30</v>
      </c>
      <c r="F190" s="338" t="s">
        <v>510</v>
      </c>
    </row>
    <row r="191" spans="1:6" ht="15" customHeight="1">
      <c r="A191" s="134" t="s">
        <v>1223</v>
      </c>
      <c r="B191" s="133" t="s">
        <v>968</v>
      </c>
      <c r="C191" s="133" t="s">
        <v>9702</v>
      </c>
      <c r="D191" s="116">
        <v>30</v>
      </c>
      <c r="E191" s="116">
        <v>30</v>
      </c>
      <c r="F191" s="338" t="s">
        <v>510</v>
      </c>
    </row>
    <row r="192" spans="1:6" ht="15" customHeight="1">
      <c r="A192" s="134" t="s">
        <v>1223</v>
      </c>
      <c r="B192" s="133" t="s">
        <v>2438</v>
      </c>
      <c r="C192" s="133" t="s">
        <v>9703</v>
      </c>
      <c r="D192" s="116">
        <v>20</v>
      </c>
      <c r="E192" s="116">
        <v>20</v>
      </c>
      <c r="F192" s="338" t="s">
        <v>510</v>
      </c>
    </row>
    <row r="193" spans="1:6" ht="15" customHeight="1">
      <c r="A193" s="134" t="s">
        <v>1223</v>
      </c>
      <c r="B193" s="133" t="s">
        <v>2441</v>
      </c>
      <c r="C193" s="133" t="s">
        <v>9704</v>
      </c>
      <c r="D193" s="116">
        <v>20</v>
      </c>
      <c r="E193" s="116">
        <v>20</v>
      </c>
      <c r="F193" s="338" t="s">
        <v>510</v>
      </c>
    </row>
    <row r="194" spans="1:6" ht="15" customHeight="1">
      <c r="A194" s="134" t="s">
        <v>1223</v>
      </c>
      <c r="B194" s="133" t="s">
        <v>2444</v>
      </c>
      <c r="C194" s="133" t="s">
        <v>9705</v>
      </c>
      <c r="D194" s="116">
        <v>20</v>
      </c>
      <c r="E194" s="116">
        <v>20</v>
      </c>
      <c r="F194" s="338" t="s">
        <v>510</v>
      </c>
    </row>
    <row r="195" spans="1:6" ht="15" customHeight="1">
      <c r="A195" s="134" t="s">
        <v>2513</v>
      </c>
      <c r="B195" s="133" t="s">
        <v>51</v>
      </c>
      <c r="C195" s="133" t="s">
        <v>9706</v>
      </c>
      <c r="D195" s="100">
        <v>20</v>
      </c>
      <c r="E195" s="528">
        <f t="shared" ref="E195:E199" si="8">D195</f>
        <v>20</v>
      </c>
      <c r="F195" s="338" t="s">
        <v>2513</v>
      </c>
    </row>
    <row r="196" spans="1:6" ht="15" customHeight="1">
      <c r="A196" s="134" t="s">
        <v>2513</v>
      </c>
      <c r="B196" s="133" t="s">
        <v>51</v>
      </c>
      <c r="C196" s="133" t="s">
        <v>9707</v>
      </c>
      <c r="D196" s="116">
        <v>20</v>
      </c>
      <c r="E196" s="528">
        <f t="shared" si="8"/>
        <v>20</v>
      </c>
      <c r="F196" s="338" t="s">
        <v>2513</v>
      </c>
    </row>
    <row r="197" spans="1:6" ht="15" customHeight="1">
      <c r="A197" s="134" t="s">
        <v>2513</v>
      </c>
      <c r="B197" s="133" t="s">
        <v>51</v>
      </c>
      <c r="C197" s="133" t="s">
        <v>9708</v>
      </c>
      <c r="D197" s="100">
        <v>20</v>
      </c>
      <c r="E197" s="528">
        <f t="shared" si="8"/>
        <v>20</v>
      </c>
      <c r="F197" s="338" t="s">
        <v>2513</v>
      </c>
    </row>
    <row r="198" spans="1:6" ht="15" customHeight="1">
      <c r="A198" s="134" t="s">
        <v>2513</v>
      </c>
      <c r="B198" s="133" t="s">
        <v>51</v>
      </c>
      <c r="C198" s="133" t="s">
        <v>9709</v>
      </c>
      <c r="D198" s="116">
        <v>20</v>
      </c>
      <c r="E198" s="528">
        <f t="shared" si="8"/>
        <v>20</v>
      </c>
      <c r="F198" s="338" t="s">
        <v>2513</v>
      </c>
    </row>
    <row r="199" spans="1:6" ht="15" customHeight="1">
      <c r="A199" s="134" t="s">
        <v>2513</v>
      </c>
      <c r="B199" s="133" t="s">
        <v>51</v>
      </c>
      <c r="C199" s="133" t="s">
        <v>9710</v>
      </c>
      <c r="D199" s="116">
        <v>20</v>
      </c>
      <c r="E199" s="528">
        <f t="shared" si="8"/>
        <v>20</v>
      </c>
      <c r="F199" s="338" t="s">
        <v>2513</v>
      </c>
    </row>
    <row r="200" spans="1:6" ht="15" customHeight="1">
      <c r="A200" s="134" t="s">
        <v>2513</v>
      </c>
      <c r="B200" s="133" t="s">
        <v>51</v>
      </c>
      <c r="C200" s="133" t="s">
        <v>9711</v>
      </c>
      <c r="D200" s="116">
        <v>20</v>
      </c>
      <c r="E200" s="528">
        <f t="shared" ref="E200:E203" si="9">D200/2</f>
        <v>10</v>
      </c>
      <c r="F200" s="338" t="s">
        <v>2513</v>
      </c>
    </row>
    <row r="201" spans="1:6" ht="15" customHeight="1">
      <c r="A201" s="134" t="s">
        <v>2513</v>
      </c>
      <c r="B201" s="133" t="s">
        <v>51</v>
      </c>
      <c r="C201" s="133" t="s">
        <v>9712</v>
      </c>
      <c r="D201" s="116">
        <v>20</v>
      </c>
      <c r="E201" s="528">
        <f t="shared" si="9"/>
        <v>10</v>
      </c>
      <c r="F201" s="338" t="s">
        <v>2513</v>
      </c>
    </row>
    <row r="202" spans="1:6" ht="15" customHeight="1">
      <c r="A202" s="134" t="s">
        <v>2513</v>
      </c>
      <c r="B202" s="133" t="s">
        <v>51</v>
      </c>
      <c r="C202" s="133" t="s">
        <v>9713</v>
      </c>
      <c r="D202" s="116">
        <v>20</v>
      </c>
      <c r="E202" s="528">
        <f t="shared" si="9"/>
        <v>10</v>
      </c>
      <c r="F202" s="338" t="s">
        <v>2513</v>
      </c>
    </row>
    <row r="203" spans="1:6" ht="15" customHeight="1">
      <c r="A203" s="134" t="s">
        <v>2513</v>
      </c>
      <c r="B203" s="133" t="s">
        <v>51</v>
      </c>
      <c r="C203" s="133" t="s">
        <v>9714</v>
      </c>
      <c r="D203" s="116">
        <v>20</v>
      </c>
      <c r="E203" s="528">
        <f t="shared" si="9"/>
        <v>10</v>
      </c>
      <c r="F203" s="338" t="s">
        <v>2513</v>
      </c>
    </row>
    <row r="204" spans="1:6" ht="15" customHeight="1">
      <c r="A204" s="134" t="s">
        <v>2513</v>
      </c>
      <c r="B204" s="133" t="s">
        <v>51</v>
      </c>
      <c r="C204" s="133" t="s">
        <v>9715</v>
      </c>
      <c r="D204" s="116">
        <v>20</v>
      </c>
      <c r="E204" s="528">
        <f>D204/3</f>
        <v>6.666666666666667</v>
      </c>
      <c r="F204" s="338" t="s">
        <v>2513</v>
      </c>
    </row>
    <row r="205" spans="1:6" ht="15" customHeight="1">
      <c r="A205" s="459" t="s">
        <v>7584</v>
      </c>
      <c r="B205" s="459" t="s">
        <v>401</v>
      </c>
      <c r="C205" s="133" t="s">
        <v>9716</v>
      </c>
      <c r="D205" s="163">
        <v>20</v>
      </c>
      <c r="E205" s="163">
        <v>20</v>
      </c>
      <c r="F205" s="338" t="s">
        <v>4565</v>
      </c>
    </row>
    <row r="206" spans="1:6" ht="15" customHeight="1">
      <c r="A206" s="459" t="s">
        <v>7584</v>
      </c>
      <c r="B206" s="459" t="s">
        <v>401</v>
      </c>
      <c r="C206" s="133" t="s">
        <v>9717</v>
      </c>
      <c r="D206" s="163">
        <v>20</v>
      </c>
      <c r="E206" s="163">
        <v>20</v>
      </c>
      <c r="F206" s="338" t="s">
        <v>4565</v>
      </c>
    </row>
    <row r="207" spans="1:6" ht="15" customHeight="1">
      <c r="A207" s="459" t="s">
        <v>7584</v>
      </c>
      <c r="B207" s="459" t="s">
        <v>401</v>
      </c>
      <c r="C207" s="133" t="s">
        <v>9718</v>
      </c>
      <c r="D207" s="163">
        <v>20</v>
      </c>
      <c r="E207" s="163">
        <v>20</v>
      </c>
      <c r="F207" s="338" t="s">
        <v>4565</v>
      </c>
    </row>
    <row r="208" spans="1:6" ht="15" customHeight="1">
      <c r="A208" s="134" t="s">
        <v>7587</v>
      </c>
      <c r="B208" s="133" t="s">
        <v>51</v>
      </c>
      <c r="C208" s="1180" t="s">
        <v>9719</v>
      </c>
      <c r="D208" s="1181">
        <v>30</v>
      </c>
      <c r="E208" s="528">
        <v>30</v>
      </c>
      <c r="F208" s="338" t="s">
        <v>7589</v>
      </c>
    </row>
    <row r="209" spans="1:6" ht="15" customHeight="1">
      <c r="A209" s="134" t="s">
        <v>7587</v>
      </c>
      <c r="B209" s="133" t="s">
        <v>51</v>
      </c>
      <c r="C209" s="1180" t="s">
        <v>9720</v>
      </c>
      <c r="D209" s="1181">
        <v>30</v>
      </c>
      <c r="E209" s="528">
        <v>30</v>
      </c>
      <c r="F209" s="338" t="s">
        <v>7589</v>
      </c>
    </row>
    <row r="210" spans="1:6" ht="15" customHeight="1">
      <c r="A210" s="134" t="s">
        <v>7587</v>
      </c>
      <c r="B210" s="133" t="s">
        <v>105</v>
      </c>
      <c r="C210" s="1180" t="s">
        <v>9721</v>
      </c>
      <c r="D210" s="1181">
        <v>30</v>
      </c>
      <c r="E210" s="528">
        <v>30</v>
      </c>
      <c r="F210" s="338" t="s">
        <v>7589</v>
      </c>
    </row>
    <row r="211" spans="1:6" ht="15" customHeight="1">
      <c r="A211" s="134" t="s">
        <v>7587</v>
      </c>
      <c r="B211" s="133" t="s">
        <v>51</v>
      </c>
      <c r="C211" s="1182" t="s">
        <v>9722</v>
      </c>
      <c r="D211" s="1181">
        <v>20</v>
      </c>
      <c r="E211" s="528">
        <v>20</v>
      </c>
      <c r="F211" s="338" t="s">
        <v>7589</v>
      </c>
    </row>
    <row r="212" spans="1:6" ht="15" customHeight="1">
      <c r="A212" s="134" t="s">
        <v>7587</v>
      </c>
      <c r="B212" s="133" t="s">
        <v>51</v>
      </c>
      <c r="C212" s="1183" t="s">
        <v>9723</v>
      </c>
      <c r="D212" s="1181">
        <v>20</v>
      </c>
      <c r="E212" s="528">
        <v>20</v>
      </c>
      <c r="F212" s="338" t="s">
        <v>7589</v>
      </c>
    </row>
    <row r="213" spans="1:6" ht="15" customHeight="1">
      <c r="A213" s="134" t="s">
        <v>7587</v>
      </c>
      <c r="B213" s="133" t="s">
        <v>51</v>
      </c>
      <c r="C213" s="1183" t="s">
        <v>9724</v>
      </c>
      <c r="D213" s="1181">
        <v>20</v>
      </c>
      <c r="E213" s="528">
        <v>20</v>
      </c>
      <c r="F213" s="338" t="s">
        <v>7589</v>
      </c>
    </row>
    <row r="214" spans="1:6" ht="15" customHeight="1">
      <c r="A214" s="134" t="s">
        <v>2514</v>
      </c>
      <c r="B214" s="133" t="s">
        <v>51</v>
      </c>
      <c r="C214" s="133" t="s">
        <v>9725</v>
      </c>
      <c r="D214" s="100">
        <v>20</v>
      </c>
      <c r="E214" s="528">
        <v>20</v>
      </c>
      <c r="F214" s="338" t="s">
        <v>2514</v>
      </c>
    </row>
    <row r="215" spans="1:6" ht="15" customHeight="1">
      <c r="A215" s="134" t="s">
        <v>2514</v>
      </c>
      <c r="B215" s="133" t="s">
        <v>51</v>
      </c>
      <c r="C215" s="133" t="s">
        <v>9726</v>
      </c>
      <c r="D215" s="116">
        <v>20</v>
      </c>
      <c r="E215" s="528">
        <v>20</v>
      </c>
      <c r="F215" s="338" t="s">
        <v>2514</v>
      </c>
    </row>
    <row r="216" spans="1:6" ht="15" customHeight="1">
      <c r="A216" s="134" t="s">
        <v>2514</v>
      </c>
      <c r="B216" s="133" t="s">
        <v>51</v>
      </c>
      <c r="C216" s="133" t="s">
        <v>9727</v>
      </c>
      <c r="D216" s="100">
        <v>20</v>
      </c>
      <c r="E216" s="528">
        <v>20</v>
      </c>
      <c r="F216" s="338" t="s">
        <v>2514</v>
      </c>
    </row>
    <row r="217" spans="1:6" ht="15" customHeight="1">
      <c r="A217" s="134" t="s">
        <v>2514</v>
      </c>
      <c r="B217" s="133" t="s">
        <v>51</v>
      </c>
      <c r="C217" s="133" t="s">
        <v>9728</v>
      </c>
      <c r="D217" s="116">
        <v>20</v>
      </c>
      <c r="E217" s="528">
        <v>10</v>
      </c>
      <c r="F217" s="338" t="s">
        <v>2514</v>
      </c>
    </row>
    <row r="218" spans="1:6" ht="15" customHeight="1">
      <c r="A218" s="134" t="s">
        <v>2520</v>
      </c>
      <c r="B218" s="133" t="s">
        <v>51</v>
      </c>
      <c r="C218" s="133" t="s">
        <v>9729</v>
      </c>
      <c r="D218" s="100">
        <v>20</v>
      </c>
      <c r="E218" s="528">
        <f t="shared" ref="E218:E220" si="10">D218</f>
        <v>20</v>
      </c>
      <c r="F218" s="338" t="s">
        <v>2520</v>
      </c>
    </row>
    <row r="219" spans="1:6" ht="15" customHeight="1">
      <c r="A219" s="134" t="s">
        <v>2520</v>
      </c>
      <c r="B219" s="133" t="s">
        <v>51</v>
      </c>
      <c r="C219" s="1184" t="s">
        <v>9730</v>
      </c>
      <c r="D219" s="116">
        <v>30</v>
      </c>
      <c r="E219" s="528">
        <f t="shared" si="10"/>
        <v>30</v>
      </c>
      <c r="F219" s="338" t="s">
        <v>2520</v>
      </c>
    </row>
    <row r="220" spans="1:6" ht="15" customHeight="1">
      <c r="A220" s="134" t="s">
        <v>2520</v>
      </c>
      <c r="B220" s="133" t="s">
        <v>51</v>
      </c>
      <c r="C220" s="133" t="s">
        <v>9731</v>
      </c>
      <c r="D220" s="100">
        <v>30</v>
      </c>
      <c r="E220" s="528">
        <f t="shared" si="10"/>
        <v>30</v>
      </c>
      <c r="F220" s="338" t="s">
        <v>2520</v>
      </c>
    </row>
    <row r="221" spans="1:6" ht="15" customHeight="1">
      <c r="A221" s="134" t="s">
        <v>7597</v>
      </c>
      <c r="B221" s="133" t="s">
        <v>51</v>
      </c>
      <c r="C221" s="133" t="s">
        <v>9732</v>
      </c>
      <c r="D221" s="100">
        <v>20</v>
      </c>
      <c r="E221" s="528">
        <v>20</v>
      </c>
      <c r="F221" s="338" t="s">
        <v>546</v>
      </c>
    </row>
    <row r="222" spans="1:6" ht="15" customHeight="1">
      <c r="A222" s="134" t="s">
        <v>7597</v>
      </c>
      <c r="B222" s="133" t="s">
        <v>9733</v>
      </c>
      <c r="C222" s="133" t="s">
        <v>9734</v>
      </c>
      <c r="D222" s="116">
        <v>20</v>
      </c>
      <c r="E222" s="528">
        <v>20</v>
      </c>
      <c r="F222" s="338" t="s">
        <v>546</v>
      </c>
    </row>
    <row r="223" spans="1:6" ht="15" customHeight="1">
      <c r="A223" s="134" t="s">
        <v>7599</v>
      </c>
      <c r="B223" s="133" t="s">
        <v>51</v>
      </c>
      <c r="C223" s="301" t="s">
        <v>9735</v>
      </c>
      <c r="D223" s="100">
        <v>20</v>
      </c>
      <c r="E223" s="528">
        <f t="shared" ref="E223:E233" si="11">D223</f>
        <v>20</v>
      </c>
      <c r="F223" s="338" t="s">
        <v>7600</v>
      </c>
    </row>
    <row r="224" spans="1:6" ht="15" customHeight="1">
      <c r="A224" s="134" t="s">
        <v>7599</v>
      </c>
      <c r="B224" s="133" t="s">
        <v>51</v>
      </c>
      <c r="C224" s="301" t="s">
        <v>9736</v>
      </c>
      <c r="D224" s="116">
        <v>20</v>
      </c>
      <c r="E224" s="528">
        <f t="shared" si="11"/>
        <v>20</v>
      </c>
      <c r="F224" s="338" t="s">
        <v>7600</v>
      </c>
    </row>
    <row r="225" spans="1:6" ht="15" customHeight="1">
      <c r="A225" s="134" t="s">
        <v>7599</v>
      </c>
      <c r="B225" s="133" t="s">
        <v>51</v>
      </c>
      <c r="C225" s="301" t="s">
        <v>9737</v>
      </c>
      <c r="D225" s="100">
        <v>20</v>
      </c>
      <c r="E225" s="528">
        <f t="shared" si="11"/>
        <v>20</v>
      </c>
      <c r="F225" s="338" t="s">
        <v>7600</v>
      </c>
    </row>
    <row r="226" spans="1:6" ht="15" customHeight="1">
      <c r="A226" s="134" t="s">
        <v>7599</v>
      </c>
      <c r="B226" s="133" t="s">
        <v>51</v>
      </c>
      <c r="C226" s="301" t="s">
        <v>9738</v>
      </c>
      <c r="D226" s="116">
        <v>20</v>
      </c>
      <c r="E226" s="528">
        <f t="shared" si="11"/>
        <v>20</v>
      </c>
      <c r="F226" s="338" t="s">
        <v>7600</v>
      </c>
    </row>
    <row r="227" spans="1:6" ht="15" customHeight="1">
      <c r="A227" s="134" t="s">
        <v>7599</v>
      </c>
      <c r="B227" s="133" t="s">
        <v>51</v>
      </c>
      <c r="C227" s="301" t="s">
        <v>9739</v>
      </c>
      <c r="D227" s="116">
        <v>20</v>
      </c>
      <c r="E227" s="528">
        <f t="shared" si="11"/>
        <v>20</v>
      </c>
      <c r="F227" s="338" t="s">
        <v>7600</v>
      </c>
    </row>
    <row r="228" spans="1:6" ht="15" customHeight="1">
      <c r="A228" s="134" t="s">
        <v>7599</v>
      </c>
      <c r="B228" s="133" t="s">
        <v>51</v>
      </c>
      <c r="C228" s="301" t="s">
        <v>9740</v>
      </c>
      <c r="D228" s="116">
        <v>20</v>
      </c>
      <c r="E228" s="528">
        <f t="shared" si="11"/>
        <v>20</v>
      </c>
      <c r="F228" s="338" t="s">
        <v>7600</v>
      </c>
    </row>
    <row r="229" spans="1:6" ht="15" customHeight="1">
      <c r="A229" s="134" t="s">
        <v>7599</v>
      </c>
      <c r="B229" s="133" t="s">
        <v>51</v>
      </c>
      <c r="C229" s="133" t="s">
        <v>9741</v>
      </c>
      <c r="D229" s="116">
        <v>30</v>
      </c>
      <c r="E229" s="528">
        <f t="shared" si="11"/>
        <v>30</v>
      </c>
      <c r="F229" s="338" t="s">
        <v>7600</v>
      </c>
    </row>
    <row r="230" spans="1:6" ht="15" customHeight="1">
      <c r="A230" s="134" t="s">
        <v>7599</v>
      </c>
      <c r="B230" s="133" t="s">
        <v>51</v>
      </c>
      <c r="C230" s="133" t="s">
        <v>9742</v>
      </c>
      <c r="D230" s="116">
        <v>20</v>
      </c>
      <c r="E230" s="528">
        <f t="shared" si="11"/>
        <v>20</v>
      </c>
      <c r="F230" s="338" t="s">
        <v>7600</v>
      </c>
    </row>
    <row r="231" spans="1:6" ht="15" customHeight="1">
      <c r="A231" s="134" t="s">
        <v>7599</v>
      </c>
      <c r="B231" s="133" t="s">
        <v>51</v>
      </c>
      <c r="C231" s="133" t="s">
        <v>9743</v>
      </c>
      <c r="D231" s="116">
        <v>20</v>
      </c>
      <c r="E231" s="528">
        <f t="shared" si="11"/>
        <v>20</v>
      </c>
      <c r="F231" s="338" t="s">
        <v>7600</v>
      </c>
    </row>
    <row r="232" spans="1:6" ht="15" customHeight="1">
      <c r="A232" s="134" t="s">
        <v>7599</v>
      </c>
      <c r="B232" s="133" t="s">
        <v>51</v>
      </c>
      <c r="C232" s="133" t="s">
        <v>9744</v>
      </c>
      <c r="D232" s="116">
        <v>20</v>
      </c>
      <c r="E232" s="528">
        <f t="shared" si="11"/>
        <v>20</v>
      </c>
      <c r="F232" s="338" t="s">
        <v>7600</v>
      </c>
    </row>
    <row r="233" spans="1:6" ht="15" customHeight="1">
      <c r="A233" s="134" t="s">
        <v>7599</v>
      </c>
      <c r="B233" s="133" t="s">
        <v>51</v>
      </c>
      <c r="C233" s="133" t="s">
        <v>9745</v>
      </c>
      <c r="D233" s="116">
        <v>20</v>
      </c>
      <c r="E233" s="528">
        <f t="shared" si="11"/>
        <v>20</v>
      </c>
      <c r="F233" s="338" t="s">
        <v>7600</v>
      </c>
    </row>
    <row r="234" spans="1:6" ht="15" customHeight="1">
      <c r="A234" s="134" t="s">
        <v>547</v>
      </c>
      <c r="B234" s="99" t="s">
        <v>51</v>
      </c>
      <c r="C234" s="133" t="s">
        <v>9746</v>
      </c>
      <c r="D234" s="116">
        <v>20</v>
      </c>
      <c r="E234" s="116">
        <f t="shared" ref="E234:E239" si="12">D234/2</f>
        <v>10</v>
      </c>
      <c r="F234" s="338" t="s">
        <v>547</v>
      </c>
    </row>
    <row r="235" spans="1:6" ht="15" customHeight="1">
      <c r="A235" s="134" t="s">
        <v>547</v>
      </c>
      <c r="B235" s="99" t="s">
        <v>51</v>
      </c>
      <c r="C235" s="133" t="s">
        <v>9747</v>
      </c>
      <c r="D235" s="116">
        <v>20</v>
      </c>
      <c r="E235" s="116">
        <f t="shared" si="12"/>
        <v>10</v>
      </c>
      <c r="F235" s="338" t="s">
        <v>547</v>
      </c>
    </row>
    <row r="236" spans="1:6" ht="15" customHeight="1">
      <c r="A236" s="134" t="s">
        <v>547</v>
      </c>
      <c r="B236" s="99" t="s">
        <v>51</v>
      </c>
      <c r="C236" s="133" t="s">
        <v>9748</v>
      </c>
      <c r="D236" s="116">
        <v>20</v>
      </c>
      <c r="E236" s="116">
        <f t="shared" si="12"/>
        <v>10</v>
      </c>
      <c r="F236" s="338" t="s">
        <v>547</v>
      </c>
    </row>
    <row r="237" spans="1:6" ht="15" customHeight="1">
      <c r="A237" s="134" t="s">
        <v>547</v>
      </c>
      <c r="B237" s="99" t="s">
        <v>51</v>
      </c>
      <c r="C237" s="133" t="s">
        <v>9749</v>
      </c>
      <c r="D237" s="116">
        <v>20</v>
      </c>
      <c r="E237" s="116">
        <f t="shared" si="12"/>
        <v>10</v>
      </c>
      <c r="F237" s="338" t="s">
        <v>547</v>
      </c>
    </row>
    <row r="238" spans="1:6" ht="15" customHeight="1">
      <c r="A238" s="134" t="s">
        <v>547</v>
      </c>
      <c r="B238" s="99" t="s">
        <v>51</v>
      </c>
      <c r="C238" s="133" t="s">
        <v>9750</v>
      </c>
      <c r="D238" s="116">
        <v>20</v>
      </c>
      <c r="E238" s="116">
        <f t="shared" si="12"/>
        <v>10</v>
      </c>
      <c r="F238" s="338" t="s">
        <v>547</v>
      </c>
    </row>
    <row r="239" spans="1:6" ht="15" customHeight="1">
      <c r="A239" s="134" t="s">
        <v>547</v>
      </c>
      <c r="B239" s="99" t="s">
        <v>51</v>
      </c>
      <c r="C239" s="133" t="s">
        <v>9751</v>
      </c>
      <c r="D239" s="116">
        <v>20</v>
      </c>
      <c r="E239" s="116">
        <f t="shared" si="12"/>
        <v>10</v>
      </c>
      <c r="F239" s="338" t="s">
        <v>547</v>
      </c>
    </row>
    <row r="240" spans="1:6" ht="15" customHeight="1">
      <c r="A240" s="134" t="s">
        <v>547</v>
      </c>
      <c r="B240" s="99" t="s">
        <v>51</v>
      </c>
      <c r="C240" s="133" t="s">
        <v>9752</v>
      </c>
      <c r="D240" s="116">
        <v>30</v>
      </c>
      <c r="E240" s="116">
        <v>30</v>
      </c>
      <c r="F240" s="338" t="s">
        <v>547</v>
      </c>
    </row>
    <row r="241" spans="1:6" ht="15" customHeight="1">
      <c r="A241" s="134" t="s">
        <v>547</v>
      </c>
      <c r="B241" s="99" t="s">
        <v>51</v>
      </c>
      <c r="C241" s="133" t="s">
        <v>9753</v>
      </c>
      <c r="D241" s="116">
        <v>30</v>
      </c>
      <c r="E241" s="116">
        <v>30</v>
      </c>
      <c r="F241" s="338" t="s">
        <v>547</v>
      </c>
    </row>
    <row r="242" spans="1:6" ht="15" customHeight="1">
      <c r="A242" s="134" t="s">
        <v>563</v>
      </c>
      <c r="B242" s="99" t="s">
        <v>51</v>
      </c>
      <c r="C242" s="970" t="s">
        <v>9754</v>
      </c>
      <c r="D242" s="100">
        <v>30</v>
      </c>
      <c r="E242" s="528">
        <v>30</v>
      </c>
      <c r="F242" s="338" t="s">
        <v>563</v>
      </c>
    </row>
    <row r="243" spans="1:6" ht="15" customHeight="1">
      <c r="A243" s="134" t="s">
        <v>563</v>
      </c>
      <c r="B243" s="99" t="s">
        <v>51</v>
      </c>
      <c r="C243" s="399" t="s">
        <v>9755</v>
      </c>
      <c r="D243" s="100">
        <v>30</v>
      </c>
      <c r="E243" s="528">
        <v>30</v>
      </c>
      <c r="F243" s="338" t="s">
        <v>563</v>
      </c>
    </row>
    <row r="244" spans="1:6" ht="15" customHeight="1">
      <c r="A244" s="134" t="s">
        <v>563</v>
      </c>
      <c r="B244" s="99" t="s">
        <v>51</v>
      </c>
      <c r="C244" s="399" t="s">
        <v>9756</v>
      </c>
      <c r="D244" s="100">
        <v>30</v>
      </c>
      <c r="E244" s="528">
        <v>30</v>
      </c>
      <c r="F244" s="338" t="s">
        <v>563</v>
      </c>
    </row>
    <row r="245" spans="1:6" ht="15" customHeight="1">
      <c r="A245" s="134" t="s">
        <v>563</v>
      </c>
      <c r="B245" s="99" t="s">
        <v>51</v>
      </c>
      <c r="C245" s="65" t="s">
        <v>9757</v>
      </c>
      <c r="D245" s="100">
        <v>30</v>
      </c>
      <c r="E245" s="528">
        <v>30</v>
      </c>
      <c r="F245" s="338" t="s">
        <v>563</v>
      </c>
    </row>
    <row r="246" spans="1:6" ht="15" customHeight="1">
      <c r="A246" s="134" t="s">
        <v>563</v>
      </c>
      <c r="B246" s="99" t="s">
        <v>51</v>
      </c>
      <c r="C246" s="65" t="s">
        <v>9758</v>
      </c>
      <c r="D246" s="100">
        <v>20</v>
      </c>
      <c r="E246" s="528">
        <v>20</v>
      </c>
      <c r="F246" s="338" t="s">
        <v>563</v>
      </c>
    </row>
    <row r="247" spans="1:6" ht="15" customHeight="1">
      <c r="A247" s="134" t="s">
        <v>580</v>
      </c>
      <c r="B247" s="133" t="s">
        <v>51</v>
      </c>
      <c r="C247" s="133" t="s">
        <v>9759</v>
      </c>
      <c r="D247" s="100">
        <v>20</v>
      </c>
      <c r="E247" s="528">
        <v>20</v>
      </c>
      <c r="F247" s="338" t="s">
        <v>580</v>
      </c>
    </row>
    <row r="248" spans="1:6" ht="15" customHeight="1">
      <c r="A248" s="134" t="s">
        <v>7604</v>
      </c>
      <c r="B248" s="133" t="s">
        <v>51</v>
      </c>
      <c r="C248" s="1182" t="s">
        <v>9760</v>
      </c>
      <c r="D248" s="1181">
        <v>20</v>
      </c>
      <c r="E248" s="528">
        <v>20</v>
      </c>
      <c r="F248" s="338" t="s">
        <v>7606</v>
      </c>
    </row>
    <row r="249" spans="1:6" ht="15" customHeight="1">
      <c r="A249" s="134" t="s">
        <v>7604</v>
      </c>
      <c r="B249" s="133" t="s">
        <v>51</v>
      </c>
      <c r="C249" s="1183" t="s">
        <v>9761</v>
      </c>
      <c r="D249" s="1181">
        <v>20</v>
      </c>
      <c r="E249" s="528">
        <v>20</v>
      </c>
      <c r="F249" s="338" t="s">
        <v>7606</v>
      </c>
    </row>
    <row r="250" spans="1:6" ht="15" customHeight="1">
      <c r="A250" s="134" t="s">
        <v>7607</v>
      </c>
      <c r="B250" s="133" t="s">
        <v>51</v>
      </c>
      <c r="C250" s="133" t="s">
        <v>9762</v>
      </c>
      <c r="D250" s="100">
        <v>20</v>
      </c>
      <c r="E250" s="528">
        <v>20</v>
      </c>
      <c r="F250" s="338" t="s">
        <v>608</v>
      </c>
    </row>
    <row r="251" spans="1:6" ht="15" customHeight="1">
      <c r="A251" s="134" t="s">
        <v>7607</v>
      </c>
      <c r="B251" s="133" t="s">
        <v>51</v>
      </c>
      <c r="C251" s="133" t="s">
        <v>9763</v>
      </c>
      <c r="D251" s="100">
        <v>20</v>
      </c>
      <c r="E251" s="528">
        <v>20</v>
      </c>
      <c r="F251" s="338" t="s">
        <v>608</v>
      </c>
    </row>
    <row r="252" spans="1:6" ht="15" customHeight="1">
      <c r="A252" s="134" t="s">
        <v>7607</v>
      </c>
      <c r="B252" s="133" t="s">
        <v>51</v>
      </c>
      <c r="C252" s="133" t="s">
        <v>9764</v>
      </c>
      <c r="D252" s="100">
        <v>20</v>
      </c>
      <c r="E252" s="528">
        <v>20</v>
      </c>
      <c r="F252" s="338" t="s">
        <v>608</v>
      </c>
    </row>
    <row r="253" spans="1:6" ht="15" customHeight="1">
      <c r="A253" s="134" t="s">
        <v>7607</v>
      </c>
      <c r="B253" s="133" t="s">
        <v>51</v>
      </c>
      <c r="C253" s="133" t="s">
        <v>9765</v>
      </c>
      <c r="D253" s="100">
        <v>20</v>
      </c>
      <c r="E253" s="528">
        <v>20</v>
      </c>
      <c r="F253" s="338" t="s">
        <v>608</v>
      </c>
    </row>
    <row r="254" spans="1:6" ht="15" customHeight="1">
      <c r="A254" s="134" t="s">
        <v>7607</v>
      </c>
      <c r="B254" s="133" t="s">
        <v>51</v>
      </c>
      <c r="C254" s="133" t="s">
        <v>9766</v>
      </c>
      <c r="D254" s="116">
        <v>20</v>
      </c>
      <c r="E254" s="528">
        <v>20</v>
      </c>
      <c r="F254" s="338" t="s">
        <v>608</v>
      </c>
    </row>
    <row r="255" spans="1:6" ht="15" customHeight="1">
      <c r="A255" s="134" t="s">
        <v>7148</v>
      </c>
      <c r="B255" s="133" t="s">
        <v>51</v>
      </c>
      <c r="C255" s="133" t="s">
        <v>9767</v>
      </c>
      <c r="D255" s="100">
        <v>30</v>
      </c>
      <c r="E255" s="528">
        <f t="shared" ref="E255:E263" si="13">D255</f>
        <v>30</v>
      </c>
      <c r="F255" s="338" t="s">
        <v>2783</v>
      </c>
    </row>
    <row r="256" spans="1:6" ht="15" customHeight="1">
      <c r="A256" s="134" t="s">
        <v>7148</v>
      </c>
      <c r="B256" s="133" t="s">
        <v>51</v>
      </c>
      <c r="C256" s="133" t="s">
        <v>9768</v>
      </c>
      <c r="D256" s="116">
        <v>30</v>
      </c>
      <c r="E256" s="528">
        <f t="shared" si="13"/>
        <v>30</v>
      </c>
      <c r="F256" s="338" t="s">
        <v>2783</v>
      </c>
    </row>
    <row r="257" spans="1:26" ht="15" customHeight="1">
      <c r="A257" s="134" t="s">
        <v>7148</v>
      </c>
      <c r="B257" s="133" t="s">
        <v>51</v>
      </c>
      <c r="C257" s="133" t="s">
        <v>9769</v>
      </c>
      <c r="D257" s="116">
        <v>30</v>
      </c>
      <c r="E257" s="528">
        <f t="shared" si="13"/>
        <v>30</v>
      </c>
      <c r="F257" s="338" t="s">
        <v>2783</v>
      </c>
    </row>
    <row r="258" spans="1:26" ht="15" customHeight="1">
      <c r="A258" s="134" t="s">
        <v>7148</v>
      </c>
      <c r="B258" s="133" t="s">
        <v>51</v>
      </c>
      <c r="C258" s="133" t="s">
        <v>9770</v>
      </c>
      <c r="D258" s="116">
        <v>20</v>
      </c>
      <c r="E258" s="528">
        <f t="shared" si="13"/>
        <v>20</v>
      </c>
      <c r="F258" s="338" t="s">
        <v>2783</v>
      </c>
    </row>
    <row r="259" spans="1:26" ht="15" customHeight="1">
      <c r="A259" s="134" t="s">
        <v>7148</v>
      </c>
      <c r="B259" s="133" t="s">
        <v>51</v>
      </c>
      <c r="C259" s="133" t="s">
        <v>9771</v>
      </c>
      <c r="D259" s="116">
        <v>30</v>
      </c>
      <c r="E259" s="528">
        <f t="shared" si="13"/>
        <v>30</v>
      </c>
      <c r="F259" s="338" t="s">
        <v>2783</v>
      </c>
    </row>
    <row r="260" spans="1:26" ht="15" customHeight="1">
      <c r="A260" s="134" t="s">
        <v>7148</v>
      </c>
      <c r="B260" s="133" t="s">
        <v>51</v>
      </c>
      <c r="C260" s="133" t="s">
        <v>9772</v>
      </c>
      <c r="D260" s="116">
        <v>20</v>
      </c>
      <c r="E260" s="528">
        <f t="shared" si="13"/>
        <v>20</v>
      </c>
      <c r="F260" s="338" t="s">
        <v>2783</v>
      </c>
    </row>
    <row r="261" spans="1:26" ht="15" customHeight="1">
      <c r="A261" s="134" t="s">
        <v>7148</v>
      </c>
      <c r="B261" s="133" t="s">
        <v>51</v>
      </c>
      <c r="C261" s="133" t="s">
        <v>9773</v>
      </c>
      <c r="D261" s="116">
        <v>30</v>
      </c>
      <c r="E261" s="528">
        <f t="shared" si="13"/>
        <v>30</v>
      </c>
      <c r="F261" s="338" t="s">
        <v>2783</v>
      </c>
    </row>
    <row r="262" spans="1:26" ht="15" customHeight="1">
      <c r="A262" s="134" t="s">
        <v>7148</v>
      </c>
      <c r="B262" s="133" t="s">
        <v>51</v>
      </c>
      <c r="C262" s="133" t="s">
        <v>9774</v>
      </c>
      <c r="D262" s="116">
        <v>20</v>
      </c>
      <c r="E262" s="528">
        <f t="shared" si="13"/>
        <v>20</v>
      </c>
      <c r="F262" s="338" t="s">
        <v>2783</v>
      </c>
    </row>
    <row r="263" spans="1:26" ht="15" customHeight="1">
      <c r="A263" s="134" t="s">
        <v>7148</v>
      </c>
      <c r="B263" s="133" t="s">
        <v>51</v>
      </c>
      <c r="C263" s="133" t="s">
        <v>9775</v>
      </c>
      <c r="D263" s="100">
        <v>30</v>
      </c>
      <c r="E263" s="528">
        <f t="shared" si="13"/>
        <v>30</v>
      </c>
      <c r="F263" s="338" t="s">
        <v>2783</v>
      </c>
    </row>
    <row r="264" spans="1:26" ht="15.75" customHeight="1">
      <c r="A264" s="134" t="s">
        <v>7401</v>
      </c>
      <c r="B264" s="133" t="s">
        <v>141</v>
      </c>
      <c r="C264" s="133" t="s">
        <v>9776</v>
      </c>
      <c r="D264" s="100">
        <v>20</v>
      </c>
      <c r="E264" s="528">
        <v>20</v>
      </c>
      <c r="F264" s="216" t="s">
        <v>7401</v>
      </c>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15.75" customHeight="1">
      <c r="A265" s="134" t="s">
        <v>7401</v>
      </c>
      <c r="B265" s="133" t="s">
        <v>141</v>
      </c>
      <c r="C265" s="133" t="s">
        <v>9777</v>
      </c>
      <c r="D265" s="100">
        <v>20</v>
      </c>
      <c r="E265" s="528">
        <v>20</v>
      </c>
      <c r="F265" s="216" t="s">
        <v>7401</v>
      </c>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15.75" customHeight="1">
      <c r="A266" s="134" t="s">
        <v>7401</v>
      </c>
      <c r="B266" s="133" t="s">
        <v>141</v>
      </c>
      <c r="C266" s="133" t="s">
        <v>9778</v>
      </c>
      <c r="D266" s="100">
        <v>20</v>
      </c>
      <c r="E266" s="528">
        <v>20</v>
      </c>
      <c r="F266" s="216" t="s">
        <v>7401</v>
      </c>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15.75" customHeight="1">
      <c r="A267" s="134" t="s">
        <v>7401</v>
      </c>
      <c r="B267" s="469" t="s">
        <v>141</v>
      </c>
      <c r="C267" s="469" t="s">
        <v>9779</v>
      </c>
      <c r="D267" s="178">
        <v>20</v>
      </c>
      <c r="E267" s="1120">
        <v>20</v>
      </c>
      <c r="F267" s="216" t="s">
        <v>7401</v>
      </c>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15.75" customHeight="1">
      <c r="A268" s="134" t="s">
        <v>7401</v>
      </c>
      <c r="B268" s="133" t="s">
        <v>141</v>
      </c>
      <c r="C268" s="133" t="s">
        <v>9780</v>
      </c>
      <c r="D268" s="100">
        <v>30</v>
      </c>
      <c r="E268" s="528">
        <v>30</v>
      </c>
      <c r="F268" s="216" t="s">
        <v>7401</v>
      </c>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15.75" customHeight="1">
      <c r="A269" s="134" t="s">
        <v>7401</v>
      </c>
      <c r="B269" s="133" t="s">
        <v>141</v>
      </c>
      <c r="C269" s="133" t="s">
        <v>9781</v>
      </c>
      <c r="D269" s="100">
        <v>30</v>
      </c>
      <c r="E269" s="528">
        <v>30</v>
      </c>
      <c r="F269" s="216" t="s">
        <v>7401</v>
      </c>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15.75" customHeight="1">
      <c r="A270" s="134" t="s">
        <v>7401</v>
      </c>
      <c r="B270" s="133" t="s">
        <v>141</v>
      </c>
      <c r="C270" s="133" t="s">
        <v>9782</v>
      </c>
      <c r="D270" s="100">
        <v>30</v>
      </c>
      <c r="E270" s="528">
        <v>30</v>
      </c>
      <c r="F270" s="216" t="s">
        <v>7401</v>
      </c>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15.75" customHeight="1">
      <c r="A271" s="134" t="s">
        <v>730</v>
      </c>
      <c r="B271" s="108" t="s">
        <v>141</v>
      </c>
      <c r="C271" s="133" t="s">
        <v>9783</v>
      </c>
      <c r="D271" s="100">
        <v>30</v>
      </c>
      <c r="E271" s="528">
        <v>30</v>
      </c>
      <c r="F271" s="216" t="str">
        <f t="shared" ref="F271:F279" si="14">A271</f>
        <v>Bogdan Mihai</v>
      </c>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15.75" customHeight="1">
      <c r="A272" s="134" t="s">
        <v>730</v>
      </c>
      <c r="B272" s="108" t="s">
        <v>141</v>
      </c>
      <c r="C272" s="133" t="s">
        <v>9784</v>
      </c>
      <c r="D272" s="100">
        <v>30</v>
      </c>
      <c r="E272" s="528">
        <v>30</v>
      </c>
      <c r="F272" s="216" t="str">
        <f t="shared" si="14"/>
        <v>Bogdan Mihai</v>
      </c>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15.75" customHeight="1">
      <c r="A273" s="134" t="s">
        <v>730</v>
      </c>
      <c r="B273" s="108" t="s">
        <v>141</v>
      </c>
      <c r="C273" s="133" t="s">
        <v>9785</v>
      </c>
      <c r="D273" s="100">
        <v>30</v>
      </c>
      <c r="E273" s="528">
        <v>30</v>
      </c>
      <c r="F273" s="216" t="str">
        <f t="shared" si="14"/>
        <v>Bogdan Mihai</v>
      </c>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15.75" customHeight="1">
      <c r="A274" s="134" t="s">
        <v>730</v>
      </c>
      <c r="B274" s="108" t="s">
        <v>141</v>
      </c>
      <c r="C274" s="133" t="s">
        <v>9786</v>
      </c>
      <c r="D274" s="100">
        <v>30</v>
      </c>
      <c r="E274" s="528">
        <v>30</v>
      </c>
      <c r="F274" s="216" t="str">
        <f t="shared" si="14"/>
        <v>Bogdan Mihai</v>
      </c>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15.75" customHeight="1">
      <c r="A275" s="134" t="s">
        <v>730</v>
      </c>
      <c r="B275" s="108" t="s">
        <v>141</v>
      </c>
      <c r="C275" s="133" t="s">
        <v>9787</v>
      </c>
      <c r="D275" s="100">
        <v>30</v>
      </c>
      <c r="E275" s="528">
        <v>30</v>
      </c>
      <c r="F275" s="216" t="str">
        <f t="shared" si="14"/>
        <v>Bogdan Mihai</v>
      </c>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15.75" customHeight="1">
      <c r="A276" s="134" t="s">
        <v>730</v>
      </c>
      <c r="B276" s="108" t="s">
        <v>141</v>
      </c>
      <c r="C276" s="133" t="s">
        <v>9788</v>
      </c>
      <c r="D276" s="100">
        <v>30</v>
      </c>
      <c r="E276" s="528">
        <v>30</v>
      </c>
      <c r="F276" s="216" t="str">
        <f t="shared" si="14"/>
        <v>Bogdan Mihai</v>
      </c>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15.75" customHeight="1">
      <c r="A277" s="134" t="s">
        <v>730</v>
      </c>
      <c r="B277" s="108" t="s">
        <v>141</v>
      </c>
      <c r="C277" s="133" t="s">
        <v>9789</v>
      </c>
      <c r="D277" s="100">
        <v>20</v>
      </c>
      <c r="E277" s="528">
        <v>20</v>
      </c>
      <c r="F277" s="216" t="str">
        <f t="shared" si="14"/>
        <v>Bogdan Mihai</v>
      </c>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15.75" customHeight="1">
      <c r="A278" s="134" t="s">
        <v>730</v>
      </c>
      <c r="B278" s="108" t="s">
        <v>141</v>
      </c>
      <c r="C278" s="133" t="s">
        <v>9790</v>
      </c>
      <c r="D278" s="100">
        <v>20</v>
      </c>
      <c r="E278" s="528">
        <v>20</v>
      </c>
      <c r="F278" s="216" t="str">
        <f t="shared" si="14"/>
        <v>Bogdan Mihai</v>
      </c>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ht="15.75" customHeight="1">
      <c r="A279" s="134" t="s">
        <v>730</v>
      </c>
      <c r="B279" s="108" t="s">
        <v>141</v>
      </c>
      <c r="C279" s="133" t="s">
        <v>9791</v>
      </c>
      <c r="D279" s="100">
        <v>20</v>
      </c>
      <c r="E279" s="528">
        <v>20</v>
      </c>
      <c r="F279" s="216" t="str">
        <f t="shared" si="14"/>
        <v>Bogdan Mihai</v>
      </c>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ht="15.75" customHeight="1">
      <c r="A280" s="134" t="s">
        <v>2825</v>
      </c>
      <c r="B280" s="133" t="s">
        <v>141</v>
      </c>
      <c r="C280" s="133" t="s">
        <v>9792</v>
      </c>
      <c r="D280" s="100">
        <v>20</v>
      </c>
      <c r="E280" s="528">
        <v>20</v>
      </c>
      <c r="F280" s="216" t="s">
        <v>2825</v>
      </c>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ht="15.75" customHeight="1">
      <c r="A281" s="134" t="s">
        <v>2825</v>
      </c>
      <c r="B281" s="133" t="s">
        <v>141</v>
      </c>
      <c r="C281" s="133" t="s">
        <v>9793</v>
      </c>
      <c r="D281" s="100">
        <v>20</v>
      </c>
      <c r="E281" s="528">
        <v>20</v>
      </c>
      <c r="F281" s="216" t="s">
        <v>2825</v>
      </c>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ht="15.75" customHeight="1">
      <c r="A282" s="134" t="s">
        <v>2825</v>
      </c>
      <c r="B282" s="133" t="s">
        <v>141</v>
      </c>
      <c r="C282" s="133" t="s">
        <v>9794</v>
      </c>
      <c r="D282" s="100">
        <v>20</v>
      </c>
      <c r="E282" s="528">
        <v>20</v>
      </c>
      <c r="F282" s="216" t="s">
        <v>2825</v>
      </c>
      <c r="G282" s="1"/>
      <c r="H282" s="1"/>
      <c r="I282" s="216"/>
      <c r="J282" s="216"/>
      <c r="K282" s="216"/>
      <c r="L282" s="216"/>
      <c r="M282" s="216"/>
      <c r="N282" s="216"/>
      <c r="O282" s="216"/>
      <c r="P282" s="216"/>
      <c r="Q282" s="216"/>
      <c r="R282" s="216"/>
      <c r="S282" s="216"/>
      <c r="T282" s="216"/>
      <c r="U282" s="216"/>
      <c r="V282" s="216"/>
      <c r="W282" s="216"/>
      <c r="X282" s="216"/>
      <c r="Y282" s="216"/>
      <c r="Z282" s="216"/>
    </row>
    <row r="283" spans="1:26" ht="15.75" customHeight="1">
      <c r="A283" s="134" t="s">
        <v>2825</v>
      </c>
      <c r="B283" s="133" t="s">
        <v>141</v>
      </c>
      <c r="C283" s="133" t="s">
        <v>9795</v>
      </c>
      <c r="D283" s="116">
        <v>20</v>
      </c>
      <c r="E283" s="528">
        <v>20</v>
      </c>
      <c r="F283" s="216" t="s">
        <v>2825</v>
      </c>
      <c r="G283" s="1"/>
      <c r="H283" s="1"/>
      <c r="I283" s="216"/>
      <c r="J283" s="216"/>
      <c r="K283" s="216"/>
      <c r="L283" s="216"/>
      <c r="M283" s="216"/>
      <c r="N283" s="216"/>
      <c r="O283" s="216"/>
      <c r="P283" s="216"/>
      <c r="Q283" s="216"/>
      <c r="R283" s="216"/>
      <c r="S283" s="216"/>
      <c r="T283" s="216"/>
      <c r="U283" s="216"/>
      <c r="V283" s="216"/>
      <c r="W283" s="216"/>
      <c r="X283" s="216"/>
      <c r="Y283" s="216"/>
      <c r="Z283" s="216"/>
    </row>
    <row r="284" spans="1:26" ht="15.75" customHeight="1">
      <c r="A284" s="134" t="s">
        <v>7610</v>
      </c>
      <c r="B284" s="133" t="s">
        <v>141</v>
      </c>
      <c r="C284" s="133" t="s">
        <v>9796</v>
      </c>
      <c r="D284" s="100">
        <v>20</v>
      </c>
      <c r="E284" s="528">
        <v>20</v>
      </c>
      <c r="F284" s="216" t="str">
        <f t="shared" ref="F284:F301" si="15">A284</f>
        <v xml:space="preserve">Brad Remus </v>
      </c>
      <c r="G284" s="1"/>
      <c r="H284" s="1"/>
      <c r="I284" s="216"/>
      <c r="J284" s="216"/>
      <c r="K284" s="216"/>
      <c r="L284" s="216"/>
      <c r="M284" s="216"/>
      <c r="N284" s="216"/>
      <c r="O284" s="216"/>
      <c r="P284" s="216"/>
      <c r="Q284" s="216"/>
      <c r="R284" s="216"/>
      <c r="S284" s="216"/>
      <c r="T284" s="216"/>
      <c r="U284" s="216"/>
      <c r="V284" s="216"/>
      <c r="W284" s="216"/>
      <c r="X284" s="216"/>
      <c r="Y284" s="216"/>
      <c r="Z284" s="216"/>
    </row>
    <row r="285" spans="1:26" ht="15.75" customHeight="1">
      <c r="A285" s="134" t="s">
        <v>7610</v>
      </c>
      <c r="B285" s="133" t="s">
        <v>141</v>
      </c>
      <c r="C285" s="133" t="s">
        <v>9797</v>
      </c>
      <c r="D285" s="100">
        <v>20</v>
      </c>
      <c r="E285" s="528">
        <v>20</v>
      </c>
      <c r="F285" s="216" t="str">
        <f t="shared" si="15"/>
        <v xml:space="preserve">Brad Remus </v>
      </c>
      <c r="G285" s="1"/>
      <c r="H285" s="1"/>
      <c r="I285" s="216"/>
      <c r="J285" s="216"/>
      <c r="K285" s="216"/>
      <c r="L285" s="216"/>
      <c r="M285" s="216"/>
      <c r="N285" s="216"/>
      <c r="O285" s="216"/>
      <c r="P285" s="216"/>
      <c r="Q285" s="216"/>
      <c r="R285" s="216"/>
      <c r="S285" s="216"/>
      <c r="T285" s="216"/>
      <c r="U285" s="216"/>
      <c r="V285" s="216"/>
      <c r="W285" s="216"/>
      <c r="X285" s="216"/>
      <c r="Y285" s="216"/>
      <c r="Z285" s="216"/>
    </row>
    <row r="286" spans="1:26" ht="15.75" customHeight="1">
      <c r="A286" s="134" t="s">
        <v>7610</v>
      </c>
      <c r="B286" s="133" t="s">
        <v>141</v>
      </c>
      <c r="C286" s="133" t="s">
        <v>9798</v>
      </c>
      <c r="D286" s="100">
        <v>20</v>
      </c>
      <c r="E286" s="528">
        <v>20</v>
      </c>
      <c r="F286" s="216" t="str">
        <f t="shared" si="15"/>
        <v xml:space="preserve">Brad Remus </v>
      </c>
      <c r="G286" s="1"/>
      <c r="H286" s="1"/>
      <c r="I286" s="216"/>
      <c r="J286" s="216"/>
      <c r="K286" s="216"/>
      <c r="L286" s="216"/>
      <c r="M286" s="216"/>
      <c r="N286" s="216"/>
      <c r="O286" s="216"/>
      <c r="P286" s="216"/>
      <c r="Q286" s="216"/>
      <c r="R286" s="216"/>
      <c r="S286" s="216"/>
      <c r="T286" s="216"/>
      <c r="U286" s="216"/>
      <c r="V286" s="216"/>
      <c r="W286" s="216"/>
      <c r="X286" s="216"/>
      <c r="Y286" s="216"/>
      <c r="Z286" s="216"/>
    </row>
    <row r="287" spans="1:26" ht="15.75" customHeight="1">
      <c r="A287" s="134" t="s">
        <v>7610</v>
      </c>
      <c r="B287" s="133" t="s">
        <v>141</v>
      </c>
      <c r="C287" s="133" t="s">
        <v>9799</v>
      </c>
      <c r="D287" s="100">
        <v>20</v>
      </c>
      <c r="E287" s="528">
        <v>20</v>
      </c>
      <c r="F287" s="216" t="str">
        <f t="shared" si="15"/>
        <v xml:space="preserve">Brad Remus </v>
      </c>
      <c r="G287" s="1"/>
      <c r="H287" s="1"/>
      <c r="I287" s="216"/>
      <c r="J287" s="216"/>
      <c r="K287" s="216"/>
      <c r="L287" s="216"/>
      <c r="M287" s="216"/>
      <c r="N287" s="216"/>
      <c r="O287" s="216"/>
      <c r="P287" s="216"/>
      <c r="Q287" s="216"/>
      <c r="R287" s="216"/>
      <c r="S287" s="216"/>
      <c r="T287" s="216"/>
      <c r="U287" s="216"/>
      <c r="V287" s="216"/>
      <c r="W287" s="216"/>
      <c r="X287" s="216"/>
      <c r="Y287" s="216"/>
      <c r="Z287" s="216"/>
    </row>
    <row r="288" spans="1:26" ht="15.75" customHeight="1">
      <c r="A288" s="134" t="s">
        <v>7610</v>
      </c>
      <c r="B288" s="133" t="s">
        <v>141</v>
      </c>
      <c r="C288" s="133" t="s">
        <v>9800</v>
      </c>
      <c r="D288" s="100">
        <v>20</v>
      </c>
      <c r="E288" s="528">
        <v>20</v>
      </c>
      <c r="F288" s="216" t="str">
        <f t="shared" si="15"/>
        <v xml:space="preserve">Brad Remus </v>
      </c>
      <c r="G288" s="1"/>
      <c r="H288" s="1"/>
      <c r="I288" s="216"/>
      <c r="J288" s="216"/>
      <c r="K288" s="216"/>
      <c r="L288" s="216"/>
      <c r="M288" s="216"/>
      <c r="N288" s="216"/>
      <c r="O288" s="216"/>
      <c r="P288" s="216"/>
      <c r="Q288" s="216"/>
      <c r="R288" s="216"/>
      <c r="S288" s="216"/>
      <c r="T288" s="216"/>
      <c r="U288" s="216"/>
      <c r="V288" s="216"/>
      <c r="W288" s="216"/>
      <c r="X288" s="216"/>
      <c r="Y288" s="216"/>
      <c r="Z288" s="216"/>
    </row>
    <row r="289" spans="1:26" ht="15.75" customHeight="1">
      <c r="A289" s="134" t="s">
        <v>7610</v>
      </c>
      <c r="B289" s="469" t="s">
        <v>141</v>
      </c>
      <c r="C289" s="469" t="s">
        <v>9801</v>
      </c>
      <c r="D289" s="100">
        <v>20</v>
      </c>
      <c r="E289" s="528">
        <v>20</v>
      </c>
      <c r="F289" s="216" t="str">
        <f t="shared" si="15"/>
        <v xml:space="preserve">Brad Remus </v>
      </c>
      <c r="G289" s="1"/>
      <c r="H289" s="1"/>
      <c r="I289" s="216"/>
      <c r="J289" s="216"/>
      <c r="K289" s="216"/>
      <c r="L289" s="216"/>
      <c r="M289" s="216"/>
      <c r="N289" s="216"/>
      <c r="O289" s="216"/>
      <c r="P289" s="216"/>
      <c r="Q289" s="216"/>
      <c r="R289" s="216"/>
      <c r="S289" s="216"/>
      <c r="T289" s="216"/>
      <c r="U289" s="216"/>
      <c r="V289" s="216"/>
      <c r="W289" s="216"/>
      <c r="X289" s="216"/>
      <c r="Y289" s="216"/>
      <c r="Z289" s="216"/>
    </row>
    <row r="290" spans="1:26" ht="15.75" customHeight="1">
      <c r="A290" s="134" t="s">
        <v>7610</v>
      </c>
      <c r="B290" s="133" t="s">
        <v>141</v>
      </c>
      <c r="C290" s="133" t="s">
        <v>9802</v>
      </c>
      <c r="D290" s="100">
        <v>20</v>
      </c>
      <c r="E290" s="528">
        <v>20</v>
      </c>
      <c r="F290" s="216" t="str">
        <f t="shared" si="15"/>
        <v xml:space="preserve">Brad Remus </v>
      </c>
      <c r="G290" s="1"/>
      <c r="H290" s="1"/>
      <c r="I290" s="216"/>
      <c r="J290" s="216"/>
      <c r="K290" s="216"/>
      <c r="L290" s="216"/>
      <c r="M290" s="216"/>
      <c r="N290" s="216"/>
      <c r="O290" s="216"/>
      <c r="P290" s="216"/>
      <c r="Q290" s="216"/>
      <c r="R290" s="216"/>
      <c r="S290" s="216"/>
      <c r="T290" s="216"/>
      <c r="U290" s="216"/>
      <c r="V290" s="216"/>
      <c r="W290" s="216"/>
      <c r="X290" s="216"/>
      <c r="Y290" s="216"/>
      <c r="Z290" s="216"/>
    </row>
    <row r="291" spans="1:26" ht="14.25" customHeight="1">
      <c r="A291" s="134" t="s">
        <v>7610</v>
      </c>
      <c r="B291" s="1151" t="s">
        <v>141</v>
      </c>
      <c r="C291" s="1151" t="s">
        <v>9803</v>
      </c>
      <c r="D291" s="100">
        <v>20</v>
      </c>
      <c r="E291" s="528">
        <v>20</v>
      </c>
      <c r="F291" s="216" t="str">
        <f t="shared" si="15"/>
        <v xml:space="preserve">Brad Remus </v>
      </c>
      <c r="G291" s="216"/>
      <c r="H291" s="216"/>
      <c r="I291" s="64"/>
      <c r="J291" s="64"/>
      <c r="K291" s="64"/>
      <c r="L291" s="64"/>
      <c r="M291" s="64"/>
      <c r="N291" s="64"/>
      <c r="O291" s="64"/>
      <c r="P291" s="64"/>
      <c r="Q291" s="64"/>
      <c r="R291" s="64"/>
      <c r="S291" s="64"/>
      <c r="T291" s="64"/>
      <c r="U291" s="64"/>
      <c r="V291" s="64"/>
      <c r="W291" s="64"/>
      <c r="X291" s="64"/>
      <c r="Y291" s="64"/>
      <c r="Z291" s="216"/>
    </row>
    <row r="292" spans="1:26" ht="15.75" customHeight="1">
      <c r="A292" s="134" t="s">
        <v>7610</v>
      </c>
      <c r="B292" s="133" t="s">
        <v>141</v>
      </c>
      <c r="C292" s="133" t="s">
        <v>9804</v>
      </c>
      <c r="D292" s="100">
        <v>30</v>
      </c>
      <c r="E292" s="528">
        <v>30</v>
      </c>
      <c r="F292" s="216" t="str">
        <f t="shared" si="15"/>
        <v xml:space="preserve">Brad Remus </v>
      </c>
      <c r="G292" s="1"/>
      <c r="H292" s="1"/>
      <c r="I292" s="216"/>
      <c r="J292" s="216"/>
      <c r="K292" s="216"/>
      <c r="L292" s="216"/>
      <c r="M292" s="216"/>
      <c r="N292" s="216"/>
      <c r="O292" s="216"/>
      <c r="P292" s="216"/>
      <c r="Q292" s="216"/>
      <c r="R292" s="216"/>
      <c r="S292" s="216"/>
      <c r="T292" s="216"/>
      <c r="U292" s="216"/>
      <c r="V292" s="216"/>
      <c r="W292" s="216"/>
      <c r="X292" s="216"/>
      <c r="Y292" s="216"/>
      <c r="Z292" s="216"/>
    </row>
    <row r="293" spans="1:26" ht="15.75" customHeight="1">
      <c r="A293" s="134" t="s">
        <v>7610</v>
      </c>
      <c r="B293" s="133" t="s">
        <v>141</v>
      </c>
      <c r="C293" s="133" t="s">
        <v>9805</v>
      </c>
      <c r="D293" s="100">
        <v>30</v>
      </c>
      <c r="E293" s="528">
        <v>30</v>
      </c>
      <c r="F293" s="216" t="str">
        <f t="shared" si="15"/>
        <v xml:space="preserve">Brad Remus </v>
      </c>
      <c r="G293" s="1"/>
      <c r="H293" s="1"/>
      <c r="I293" s="216"/>
      <c r="J293" s="216"/>
      <c r="K293" s="216"/>
      <c r="L293" s="216"/>
      <c r="M293" s="216"/>
      <c r="N293" s="216"/>
      <c r="O293" s="216"/>
      <c r="P293" s="216"/>
      <c r="Q293" s="216"/>
      <c r="R293" s="216"/>
      <c r="S293" s="216"/>
      <c r="T293" s="216"/>
      <c r="U293" s="216"/>
      <c r="V293" s="216"/>
      <c r="W293" s="216"/>
      <c r="X293" s="216"/>
      <c r="Y293" s="216"/>
      <c r="Z293" s="216"/>
    </row>
    <row r="294" spans="1:26" ht="15.75" customHeight="1">
      <c r="A294" s="134" t="s">
        <v>7610</v>
      </c>
      <c r="B294" s="133" t="s">
        <v>141</v>
      </c>
      <c r="C294" s="133" t="s">
        <v>9806</v>
      </c>
      <c r="D294" s="100">
        <v>30</v>
      </c>
      <c r="E294" s="528">
        <v>30</v>
      </c>
      <c r="F294" s="216" t="str">
        <f t="shared" si="15"/>
        <v xml:space="preserve">Brad Remus </v>
      </c>
      <c r="G294" s="1"/>
      <c r="H294" s="1"/>
      <c r="I294" s="216"/>
      <c r="J294" s="216"/>
      <c r="K294" s="216"/>
      <c r="L294" s="216"/>
      <c r="M294" s="216"/>
      <c r="N294" s="216"/>
      <c r="O294" s="216"/>
      <c r="P294" s="216"/>
      <c r="Q294" s="216"/>
      <c r="R294" s="216"/>
      <c r="S294" s="216"/>
      <c r="T294" s="216"/>
      <c r="U294" s="216"/>
      <c r="V294" s="216"/>
      <c r="W294" s="216"/>
      <c r="X294" s="216"/>
      <c r="Y294" s="216"/>
      <c r="Z294" s="216"/>
    </row>
    <row r="295" spans="1:26" ht="15.75" customHeight="1">
      <c r="A295" s="134" t="s">
        <v>7610</v>
      </c>
      <c r="B295" s="133" t="s">
        <v>141</v>
      </c>
      <c r="C295" s="133" t="s">
        <v>9807</v>
      </c>
      <c r="D295" s="100">
        <v>30</v>
      </c>
      <c r="E295" s="528">
        <v>30</v>
      </c>
      <c r="F295" s="216" t="str">
        <f t="shared" si="15"/>
        <v xml:space="preserve">Brad Remus </v>
      </c>
      <c r="G295" s="1"/>
      <c r="H295" s="1"/>
      <c r="I295" s="216"/>
      <c r="J295" s="216"/>
      <c r="K295" s="216"/>
      <c r="L295" s="216"/>
      <c r="M295" s="216"/>
      <c r="N295" s="216"/>
      <c r="O295" s="216"/>
      <c r="P295" s="216"/>
      <c r="Q295" s="216"/>
      <c r="R295" s="216"/>
      <c r="S295" s="216"/>
      <c r="T295" s="216"/>
      <c r="U295" s="216"/>
      <c r="V295" s="216"/>
      <c r="W295" s="216"/>
      <c r="X295" s="216"/>
      <c r="Y295" s="216"/>
      <c r="Z295" s="216"/>
    </row>
    <row r="296" spans="1:26" ht="15.75" customHeight="1">
      <c r="A296" s="134" t="s">
        <v>2962</v>
      </c>
      <c r="B296" s="99" t="s">
        <v>141</v>
      </c>
      <c r="C296" s="133" t="s">
        <v>9808</v>
      </c>
      <c r="D296" s="100">
        <v>20</v>
      </c>
      <c r="E296" s="528">
        <v>20</v>
      </c>
      <c r="F296" s="216" t="str">
        <f t="shared" si="15"/>
        <v>Breazu Macarie</v>
      </c>
      <c r="G296" s="1"/>
      <c r="H296" s="1"/>
      <c r="I296" s="216"/>
      <c r="J296" s="216"/>
      <c r="K296" s="216"/>
      <c r="L296" s="216"/>
      <c r="M296" s="216"/>
      <c r="N296" s="216"/>
      <c r="O296" s="216"/>
      <c r="P296" s="216"/>
      <c r="Q296" s="216"/>
      <c r="R296" s="216"/>
      <c r="S296" s="216"/>
      <c r="T296" s="216"/>
      <c r="U296" s="216"/>
      <c r="V296" s="216"/>
      <c r="W296" s="216"/>
      <c r="X296" s="216"/>
      <c r="Y296" s="216"/>
      <c r="Z296" s="216"/>
    </row>
    <row r="297" spans="1:26" ht="15.75" customHeight="1">
      <c r="A297" s="438" t="s">
        <v>758</v>
      </c>
      <c r="B297" s="138" t="s">
        <v>141</v>
      </c>
      <c r="C297" s="138" t="s">
        <v>9809</v>
      </c>
      <c r="D297" s="1055">
        <v>20</v>
      </c>
      <c r="E297" s="1117">
        <v>20</v>
      </c>
      <c r="F297" s="216" t="str">
        <f t="shared" si="15"/>
        <v>Chis Radu</v>
      </c>
      <c r="G297" s="1"/>
      <c r="H297" s="1"/>
      <c r="I297" s="216"/>
      <c r="J297" s="216"/>
      <c r="K297" s="216"/>
      <c r="L297" s="216"/>
      <c r="M297" s="216"/>
      <c r="N297" s="216"/>
      <c r="O297" s="216"/>
      <c r="P297" s="216"/>
      <c r="Q297" s="216"/>
      <c r="R297" s="216"/>
      <c r="S297" s="216"/>
      <c r="T297" s="216"/>
      <c r="U297" s="216"/>
      <c r="V297" s="216"/>
      <c r="W297" s="216"/>
      <c r="X297" s="216"/>
      <c r="Y297" s="216"/>
      <c r="Z297" s="216"/>
    </row>
    <row r="298" spans="1:26" ht="15.75" customHeight="1">
      <c r="A298" s="438" t="s">
        <v>758</v>
      </c>
      <c r="B298" s="138" t="s">
        <v>141</v>
      </c>
      <c r="C298" s="138" t="s">
        <v>9810</v>
      </c>
      <c r="D298" s="1055">
        <v>20</v>
      </c>
      <c r="E298" s="1117">
        <v>20</v>
      </c>
      <c r="F298" s="216" t="str">
        <f t="shared" si="15"/>
        <v>Chis Radu</v>
      </c>
      <c r="G298" s="1"/>
      <c r="H298" s="1"/>
      <c r="I298" s="216"/>
      <c r="J298" s="216"/>
      <c r="K298" s="216"/>
      <c r="L298" s="216"/>
      <c r="M298" s="216"/>
      <c r="N298" s="216"/>
      <c r="O298" s="216"/>
      <c r="P298" s="216"/>
      <c r="Q298" s="216"/>
      <c r="R298" s="216"/>
      <c r="S298" s="216"/>
      <c r="T298" s="216"/>
      <c r="U298" s="216"/>
      <c r="V298" s="216"/>
      <c r="W298" s="216"/>
      <c r="X298" s="216"/>
      <c r="Y298" s="216"/>
      <c r="Z298" s="216"/>
    </row>
    <row r="299" spans="1:26" ht="15.75" customHeight="1">
      <c r="A299" s="438" t="s">
        <v>758</v>
      </c>
      <c r="B299" s="138" t="s">
        <v>141</v>
      </c>
      <c r="C299" s="138" t="s">
        <v>9811</v>
      </c>
      <c r="D299" s="1055">
        <v>20</v>
      </c>
      <c r="E299" s="1117">
        <v>20</v>
      </c>
      <c r="F299" s="216" t="str">
        <f t="shared" si="15"/>
        <v>Chis Radu</v>
      </c>
      <c r="G299" s="1"/>
      <c r="H299" s="1"/>
      <c r="I299" s="216"/>
      <c r="J299" s="216"/>
      <c r="K299" s="216"/>
      <c r="L299" s="216"/>
      <c r="M299" s="216"/>
      <c r="N299" s="216"/>
      <c r="O299" s="216"/>
      <c r="P299" s="216"/>
      <c r="Q299" s="216"/>
      <c r="R299" s="216"/>
      <c r="S299" s="216"/>
      <c r="T299" s="216"/>
      <c r="U299" s="216"/>
      <c r="V299" s="216"/>
      <c r="W299" s="216"/>
      <c r="X299" s="216"/>
      <c r="Y299" s="216"/>
      <c r="Z299" s="216"/>
    </row>
    <row r="300" spans="1:26" ht="15.75" customHeight="1">
      <c r="A300" s="438" t="s">
        <v>758</v>
      </c>
      <c r="B300" s="138" t="s">
        <v>141</v>
      </c>
      <c r="C300" s="138" t="s">
        <v>9812</v>
      </c>
      <c r="D300" s="1055">
        <v>20</v>
      </c>
      <c r="E300" s="1117">
        <v>20</v>
      </c>
      <c r="F300" s="216" t="str">
        <f t="shared" si="15"/>
        <v>Chis Radu</v>
      </c>
      <c r="G300" s="1"/>
      <c r="H300" s="1"/>
      <c r="I300" s="216"/>
      <c r="J300" s="216"/>
      <c r="K300" s="216"/>
      <c r="L300" s="216"/>
      <c r="M300" s="216"/>
      <c r="N300" s="216"/>
      <c r="O300" s="216"/>
      <c r="P300" s="216"/>
      <c r="Q300" s="216"/>
      <c r="R300" s="216"/>
      <c r="S300" s="216"/>
      <c r="T300" s="216"/>
      <c r="U300" s="216"/>
      <c r="V300" s="216"/>
      <c r="W300" s="216"/>
      <c r="X300" s="216"/>
      <c r="Y300" s="216"/>
      <c r="Z300" s="216"/>
    </row>
    <row r="301" spans="1:26" ht="15.75" customHeight="1">
      <c r="A301" s="438" t="s">
        <v>758</v>
      </c>
      <c r="B301" s="138" t="s">
        <v>141</v>
      </c>
      <c r="C301" s="138" t="s">
        <v>9813</v>
      </c>
      <c r="D301" s="1055">
        <v>30</v>
      </c>
      <c r="E301" s="1117">
        <v>30</v>
      </c>
      <c r="F301" s="216" t="str">
        <f t="shared" si="15"/>
        <v>Chis Radu</v>
      </c>
      <c r="G301" s="1"/>
      <c r="H301" s="1"/>
      <c r="I301" s="216"/>
      <c r="J301" s="216"/>
      <c r="K301" s="216"/>
      <c r="L301" s="216"/>
      <c r="M301" s="216"/>
      <c r="N301" s="216"/>
      <c r="O301" s="216"/>
      <c r="P301" s="216"/>
      <c r="Q301" s="216"/>
      <c r="R301" s="216"/>
      <c r="S301" s="216"/>
      <c r="T301" s="216"/>
      <c r="U301" s="216"/>
      <c r="V301" s="216"/>
      <c r="W301" s="216"/>
      <c r="X301" s="216"/>
      <c r="Y301" s="216"/>
      <c r="Z301" s="216"/>
    </row>
    <row r="302" spans="1:26" ht="15.75" customHeight="1">
      <c r="A302" s="134" t="s">
        <v>759</v>
      </c>
      <c r="B302" s="586" t="s">
        <v>141</v>
      </c>
      <c r="C302" s="31" t="s">
        <v>9814</v>
      </c>
      <c r="D302" s="31">
        <v>20</v>
      </c>
      <c r="E302" s="736">
        <f t="shared" ref="E302:E319" si="16">D302</f>
        <v>20</v>
      </c>
      <c r="F302" s="216" t="s">
        <v>759</v>
      </c>
      <c r="G302" s="1"/>
      <c r="H302" s="1"/>
      <c r="I302" s="216"/>
      <c r="J302" s="216"/>
      <c r="K302" s="216"/>
      <c r="L302" s="216"/>
      <c r="M302" s="216"/>
      <c r="N302" s="216"/>
      <c r="O302" s="216"/>
      <c r="P302" s="216"/>
      <c r="Q302" s="216"/>
      <c r="R302" s="216"/>
      <c r="S302" s="216"/>
      <c r="T302" s="216"/>
      <c r="U302" s="216"/>
      <c r="V302" s="216"/>
      <c r="W302" s="216"/>
      <c r="X302" s="216"/>
      <c r="Y302" s="216"/>
      <c r="Z302" s="216"/>
    </row>
    <row r="303" spans="1:26" ht="15.75" customHeight="1">
      <c r="A303" s="134" t="s">
        <v>759</v>
      </c>
      <c r="B303" s="586" t="s">
        <v>141</v>
      </c>
      <c r="C303" s="31" t="s">
        <v>9815</v>
      </c>
      <c r="D303" s="31">
        <v>20</v>
      </c>
      <c r="E303" s="736">
        <f t="shared" si="16"/>
        <v>20</v>
      </c>
      <c r="F303" s="216" t="s">
        <v>759</v>
      </c>
      <c r="G303" s="1"/>
      <c r="H303" s="1"/>
      <c r="I303" s="216"/>
      <c r="J303" s="216"/>
      <c r="K303" s="216"/>
      <c r="L303" s="216"/>
      <c r="M303" s="216"/>
      <c r="N303" s="216"/>
      <c r="O303" s="216"/>
      <c r="P303" s="216"/>
      <c r="Q303" s="216"/>
      <c r="R303" s="216"/>
      <c r="S303" s="216"/>
      <c r="T303" s="216"/>
      <c r="U303" s="216"/>
      <c r="V303" s="216"/>
      <c r="W303" s="216"/>
      <c r="X303" s="216"/>
      <c r="Y303" s="216"/>
      <c r="Z303" s="216"/>
    </row>
    <row r="304" spans="1:26" ht="15.75" customHeight="1">
      <c r="A304" s="134" t="s">
        <v>759</v>
      </c>
      <c r="B304" s="586" t="s">
        <v>141</v>
      </c>
      <c r="C304" s="31" t="s">
        <v>9816</v>
      </c>
      <c r="D304" s="31">
        <v>20</v>
      </c>
      <c r="E304" s="736">
        <f t="shared" si="16"/>
        <v>20</v>
      </c>
      <c r="F304" s="216" t="s">
        <v>759</v>
      </c>
      <c r="G304" s="1"/>
      <c r="H304" s="1"/>
      <c r="I304" s="216"/>
      <c r="J304" s="216"/>
      <c r="K304" s="216"/>
      <c r="L304" s="216"/>
      <c r="M304" s="216"/>
      <c r="N304" s="216"/>
      <c r="O304" s="216"/>
      <c r="P304" s="216"/>
      <c r="Q304" s="216"/>
      <c r="R304" s="216"/>
      <c r="S304" s="216"/>
      <c r="T304" s="216"/>
      <c r="U304" s="216"/>
      <c r="V304" s="216"/>
      <c r="W304" s="216"/>
      <c r="X304" s="216"/>
      <c r="Y304" s="216"/>
      <c r="Z304" s="216"/>
    </row>
    <row r="305" spans="1:26" ht="15.75" customHeight="1">
      <c r="A305" s="134" t="s">
        <v>759</v>
      </c>
      <c r="B305" s="586" t="s">
        <v>141</v>
      </c>
      <c r="C305" s="31" t="s">
        <v>9817</v>
      </c>
      <c r="D305" s="31">
        <v>20</v>
      </c>
      <c r="E305" s="736">
        <f t="shared" si="16"/>
        <v>20</v>
      </c>
      <c r="F305" s="216" t="s">
        <v>759</v>
      </c>
      <c r="G305" s="1"/>
      <c r="H305" s="1"/>
      <c r="I305" s="216"/>
      <c r="J305" s="216"/>
      <c r="K305" s="216"/>
      <c r="L305" s="216"/>
      <c r="M305" s="216"/>
      <c r="N305" s="216"/>
      <c r="O305" s="216"/>
      <c r="P305" s="216"/>
      <c r="Q305" s="216"/>
      <c r="R305" s="216"/>
      <c r="S305" s="216"/>
      <c r="T305" s="216"/>
      <c r="U305" s="216"/>
      <c r="V305" s="216"/>
      <c r="W305" s="216"/>
      <c r="X305" s="216"/>
      <c r="Y305" s="216"/>
      <c r="Z305" s="216"/>
    </row>
    <row r="306" spans="1:26" ht="15.75" customHeight="1">
      <c r="A306" s="134" t="s">
        <v>759</v>
      </c>
      <c r="B306" s="586" t="s">
        <v>141</v>
      </c>
      <c r="C306" s="31" t="s">
        <v>9818</v>
      </c>
      <c r="D306" s="31">
        <v>20</v>
      </c>
      <c r="E306" s="736">
        <f t="shared" si="16"/>
        <v>20</v>
      </c>
      <c r="F306" s="216" t="s">
        <v>759</v>
      </c>
      <c r="G306" s="1"/>
      <c r="H306" s="1"/>
      <c r="I306" s="216"/>
      <c r="J306" s="216"/>
      <c r="K306" s="216"/>
      <c r="L306" s="216"/>
      <c r="M306" s="216"/>
      <c r="N306" s="216"/>
      <c r="O306" s="216"/>
      <c r="P306" s="216"/>
      <c r="Q306" s="216"/>
      <c r="R306" s="216"/>
      <c r="S306" s="216"/>
      <c r="T306" s="216"/>
      <c r="U306" s="216"/>
      <c r="V306" s="216"/>
      <c r="W306" s="216"/>
      <c r="X306" s="216"/>
      <c r="Y306" s="216"/>
      <c r="Z306" s="216"/>
    </row>
    <row r="307" spans="1:26" ht="15.75" customHeight="1">
      <c r="A307" s="134" t="s">
        <v>759</v>
      </c>
      <c r="B307" s="586" t="s">
        <v>141</v>
      </c>
      <c r="C307" s="31" t="s">
        <v>9819</v>
      </c>
      <c r="D307" s="31">
        <v>20</v>
      </c>
      <c r="E307" s="736">
        <f t="shared" si="16"/>
        <v>20</v>
      </c>
      <c r="F307" s="216" t="s">
        <v>759</v>
      </c>
      <c r="G307" s="1"/>
      <c r="H307" s="1"/>
      <c r="I307" s="216"/>
      <c r="J307" s="216"/>
      <c r="K307" s="216"/>
      <c r="L307" s="216"/>
      <c r="M307" s="216"/>
      <c r="N307" s="216"/>
      <c r="O307" s="216"/>
      <c r="P307" s="216"/>
      <c r="Q307" s="216"/>
      <c r="R307" s="216"/>
      <c r="S307" s="216"/>
      <c r="T307" s="216"/>
      <c r="U307" s="216"/>
      <c r="V307" s="216"/>
      <c r="W307" s="216"/>
      <c r="X307" s="216"/>
      <c r="Y307" s="216"/>
      <c r="Z307" s="216"/>
    </row>
    <row r="308" spans="1:26" ht="15.75" customHeight="1">
      <c r="A308" s="134" t="s">
        <v>759</v>
      </c>
      <c r="B308" s="586" t="s">
        <v>141</v>
      </c>
      <c r="C308" s="806" t="s">
        <v>9820</v>
      </c>
      <c r="D308" s="31">
        <v>20</v>
      </c>
      <c r="E308" s="736">
        <f t="shared" si="16"/>
        <v>20</v>
      </c>
      <c r="F308" s="216" t="s">
        <v>759</v>
      </c>
      <c r="G308" s="1"/>
      <c r="H308" s="1"/>
      <c r="I308" s="216"/>
      <c r="J308" s="216"/>
      <c r="K308" s="216"/>
      <c r="L308" s="216"/>
      <c r="M308" s="216"/>
      <c r="N308" s="216"/>
      <c r="O308" s="216"/>
      <c r="P308" s="216"/>
      <c r="Q308" s="216"/>
      <c r="R308" s="216"/>
      <c r="S308" s="216"/>
      <c r="T308" s="216"/>
      <c r="U308" s="216"/>
      <c r="V308" s="216"/>
      <c r="W308" s="216"/>
      <c r="X308" s="216"/>
      <c r="Y308" s="216"/>
      <c r="Z308" s="216"/>
    </row>
    <row r="309" spans="1:26" ht="15.75" customHeight="1">
      <c r="A309" s="134" t="s">
        <v>759</v>
      </c>
      <c r="B309" s="586" t="s">
        <v>141</v>
      </c>
      <c r="C309" s="806" t="s">
        <v>9821</v>
      </c>
      <c r="D309" s="31">
        <v>20</v>
      </c>
      <c r="E309" s="736">
        <f t="shared" si="16"/>
        <v>20</v>
      </c>
      <c r="F309" s="216" t="s">
        <v>759</v>
      </c>
      <c r="G309" s="1"/>
      <c r="H309" s="1"/>
      <c r="I309" s="216"/>
      <c r="J309" s="216"/>
      <c r="K309" s="216"/>
      <c r="L309" s="216"/>
      <c r="M309" s="216"/>
      <c r="N309" s="216"/>
      <c r="O309" s="216"/>
      <c r="P309" s="216"/>
      <c r="Q309" s="216"/>
      <c r="R309" s="216"/>
      <c r="S309" s="216"/>
      <c r="T309" s="216"/>
      <c r="U309" s="216"/>
      <c r="V309" s="216"/>
      <c r="W309" s="216"/>
      <c r="X309" s="216"/>
      <c r="Y309" s="216"/>
      <c r="Z309" s="216"/>
    </row>
    <row r="310" spans="1:26" ht="15.75" customHeight="1">
      <c r="A310" s="134" t="s">
        <v>759</v>
      </c>
      <c r="B310" s="586" t="s">
        <v>141</v>
      </c>
      <c r="C310" s="31" t="s">
        <v>9822</v>
      </c>
      <c r="D310" s="31">
        <v>20</v>
      </c>
      <c r="E310" s="736">
        <f t="shared" si="16"/>
        <v>20</v>
      </c>
      <c r="F310" s="216" t="s">
        <v>759</v>
      </c>
      <c r="G310" s="1"/>
      <c r="H310" s="1"/>
      <c r="I310" s="216"/>
      <c r="J310" s="216"/>
      <c r="K310" s="216"/>
      <c r="L310" s="216"/>
      <c r="M310" s="216"/>
      <c r="N310" s="216"/>
      <c r="O310" s="216"/>
      <c r="P310" s="216"/>
      <c r="Q310" s="216"/>
      <c r="R310" s="216"/>
      <c r="S310" s="216"/>
      <c r="T310" s="216"/>
      <c r="U310" s="216"/>
      <c r="V310" s="216"/>
      <c r="W310" s="216"/>
      <c r="X310" s="216"/>
      <c r="Y310" s="216"/>
      <c r="Z310" s="216"/>
    </row>
    <row r="311" spans="1:26" ht="15.75" customHeight="1">
      <c r="A311" s="134" t="s">
        <v>759</v>
      </c>
      <c r="B311" s="586" t="s">
        <v>141</v>
      </c>
      <c r="C311" s="806" t="s">
        <v>9823</v>
      </c>
      <c r="D311" s="31">
        <v>20</v>
      </c>
      <c r="E311" s="736">
        <f t="shared" si="16"/>
        <v>20</v>
      </c>
      <c r="F311" s="216" t="s">
        <v>759</v>
      </c>
      <c r="G311" s="1"/>
      <c r="H311" s="1"/>
      <c r="I311" s="216"/>
      <c r="J311" s="216"/>
      <c r="K311" s="216"/>
      <c r="L311" s="216"/>
      <c r="M311" s="216"/>
      <c r="N311" s="216"/>
      <c r="O311" s="216"/>
      <c r="P311" s="216"/>
      <c r="Q311" s="216"/>
      <c r="R311" s="216"/>
      <c r="S311" s="216"/>
      <c r="T311" s="216"/>
      <c r="U311" s="216"/>
      <c r="V311" s="216"/>
      <c r="W311" s="216"/>
      <c r="X311" s="216"/>
      <c r="Y311" s="216"/>
      <c r="Z311" s="216"/>
    </row>
    <row r="312" spans="1:26" ht="15.75" customHeight="1">
      <c r="A312" s="134" t="s">
        <v>759</v>
      </c>
      <c r="B312" s="586" t="s">
        <v>141</v>
      </c>
      <c r="C312" s="31" t="s">
        <v>9824</v>
      </c>
      <c r="D312" s="31">
        <v>20</v>
      </c>
      <c r="E312" s="736">
        <f t="shared" si="16"/>
        <v>20</v>
      </c>
      <c r="F312" s="216" t="s">
        <v>759</v>
      </c>
      <c r="G312" s="1"/>
      <c r="H312" s="1"/>
      <c r="I312" s="216"/>
      <c r="J312" s="216"/>
      <c r="K312" s="216"/>
      <c r="L312" s="216"/>
      <c r="M312" s="216"/>
      <c r="N312" s="216"/>
      <c r="O312" s="216"/>
      <c r="P312" s="216"/>
      <c r="Q312" s="216"/>
      <c r="R312" s="216"/>
      <c r="S312" s="216"/>
      <c r="T312" s="216"/>
      <c r="U312" s="216"/>
      <c r="V312" s="216"/>
      <c r="W312" s="216"/>
      <c r="X312" s="216"/>
      <c r="Y312" s="216"/>
      <c r="Z312" s="216"/>
    </row>
    <row r="313" spans="1:26" ht="15.75" customHeight="1">
      <c r="A313" s="134" t="s">
        <v>759</v>
      </c>
      <c r="B313" s="586" t="s">
        <v>141</v>
      </c>
      <c r="C313" s="31" t="s">
        <v>9825</v>
      </c>
      <c r="D313" s="31">
        <v>20</v>
      </c>
      <c r="E313" s="736">
        <f t="shared" si="16"/>
        <v>20</v>
      </c>
      <c r="F313" s="216" t="s">
        <v>759</v>
      </c>
      <c r="G313" s="1"/>
      <c r="H313" s="1"/>
      <c r="I313" s="216"/>
      <c r="J313" s="216"/>
      <c r="K313" s="216"/>
      <c r="L313" s="216"/>
      <c r="M313" s="216"/>
      <c r="N313" s="216"/>
      <c r="O313" s="216"/>
      <c r="P313" s="216"/>
      <c r="Q313" s="216"/>
      <c r="R313" s="216"/>
      <c r="S313" s="216"/>
      <c r="T313" s="216"/>
      <c r="U313" s="216"/>
      <c r="V313" s="216"/>
      <c r="W313" s="216"/>
      <c r="X313" s="216"/>
      <c r="Y313" s="216"/>
      <c r="Z313" s="216"/>
    </row>
    <row r="314" spans="1:26" ht="15.75" customHeight="1">
      <c r="A314" s="134" t="s">
        <v>759</v>
      </c>
      <c r="B314" s="586" t="s">
        <v>141</v>
      </c>
      <c r="C314" s="31" t="s">
        <v>9826</v>
      </c>
      <c r="D314" s="31">
        <v>20</v>
      </c>
      <c r="E314" s="736">
        <f t="shared" si="16"/>
        <v>20</v>
      </c>
      <c r="F314" s="216" t="s">
        <v>759</v>
      </c>
      <c r="G314" s="1"/>
      <c r="H314" s="1"/>
      <c r="I314" s="216"/>
      <c r="J314" s="216"/>
      <c r="K314" s="216"/>
      <c r="L314" s="216"/>
      <c r="M314" s="216"/>
      <c r="N314" s="216"/>
      <c r="O314" s="216"/>
      <c r="P314" s="216"/>
      <c r="Q314" s="216"/>
      <c r="R314" s="216"/>
      <c r="S314" s="216"/>
      <c r="T314" s="216"/>
      <c r="U314" s="216"/>
      <c r="V314" s="216"/>
      <c r="W314" s="216"/>
      <c r="X314" s="216"/>
      <c r="Y314" s="216"/>
      <c r="Z314" s="216"/>
    </row>
    <row r="315" spans="1:26" ht="15.75" customHeight="1">
      <c r="A315" s="134" t="s">
        <v>759</v>
      </c>
      <c r="B315" s="586" t="s">
        <v>141</v>
      </c>
      <c r="C315" s="806" t="s">
        <v>9827</v>
      </c>
      <c r="D315" s="31">
        <v>20</v>
      </c>
      <c r="E315" s="736">
        <f t="shared" si="16"/>
        <v>20</v>
      </c>
      <c r="F315" s="216" t="s">
        <v>759</v>
      </c>
      <c r="G315" s="1"/>
      <c r="H315" s="1"/>
      <c r="I315" s="216"/>
      <c r="J315" s="216"/>
      <c r="K315" s="216"/>
      <c r="L315" s="216"/>
      <c r="M315" s="216"/>
      <c r="N315" s="216"/>
      <c r="O315" s="216"/>
      <c r="P315" s="216"/>
      <c r="Q315" s="216"/>
      <c r="R315" s="216"/>
      <c r="S315" s="216"/>
      <c r="T315" s="216"/>
      <c r="U315" s="216"/>
      <c r="V315" s="216"/>
      <c r="W315" s="216"/>
      <c r="X315" s="216"/>
      <c r="Y315" s="216"/>
      <c r="Z315" s="216"/>
    </row>
    <row r="316" spans="1:26" ht="15.75" customHeight="1">
      <c r="A316" s="134" t="s">
        <v>759</v>
      </c>
      <c r="B316" s="586" t="s">
        <v>141</v>
      </c>
      <c r="C316" s="806" t="s">
        <v>9828</v>
      </c>
      <c r="D316" s="31">
        <v>20</v>
      </c>
      <c r="E316" s="736">
        <f t="shared" si="16"/>
        <v>20</v>
      </c>
      <c r="F316" s="216" t="s">
        <v>759</v>
      </c>
      <c r="G316" s="1"/>
      <c r="H316" s="1"/>
      <c r="I316" s="216"/>
      <c r="J316" s="216"/>
      <c r="K316" s="216"/>
      <c r="L316" s="216"/>
      <c r="M316" s="216"/>
      <c r="N316" s="216"/>
      <c r="O316" s="216"/>
      <c r="P316" s="216"/>
      <c r="Q316" s="216"/>
      <c r="R316" s="216"/>
      <c r="S316" s="216"/>
      <c r="T316" s="216"/>
      <c r="U316" s="216"/>
      <c r="V316" s="216"/>
      <c r="W316" s="216"/>
      <c r="X316" s="216"/>
      <c r="Y316" s="216"/>
      <c r="Z316" s="216"/>
    </row>
    <row r="317" spans="1:26" ht="15.75" customHeight="1">
      <c r="A317" s="134" t="s">
        <v>759</v>
      </c>
      <c r="B317" s="586" t="s">
        <v>141</v>
      </c>
      <c r="C317" s="806" t="s">
        <v>9829</v>
      </c>
      <c r="D317" s="31">
        <v>20</v>
      </c>
      <c r="E317" s="736">
        <f t="shared" si="16"/>
        <v>20</v>
      </c>
      <c r="F317" s="216" t="s">
        <v>759</v>
      </c>
      <c r="G317" s="1"/>
      <c r="H317" s="1"/>
      <c r="I317" s="216"/>
      <c r="J317" s="216"/>
      <c r="K317" s="216"/>
      <c r="L317" s="216"/>
      <c r="M317" s="216"/>
      <c r="N317" s="216"/>
      <c r="O317" s="216"/>
      <c r="P317" s="216"/>
      <c r="Q317" s="216"/>
      <c r="R317" s="216"/>
      <c r="S317" s="216"/>
      <c r="T317" s="216"/>
      <c r="U317" s="216"/>
      <c r="V317" s="216"/>
      <c r="W317" s="216"/>
      <c r="X317" s="216"/>
      <c r="Y317" s="216"/>
      <c r="Z317" s="216"/>
    </row>
    <row r="318" spans="1:26" ht="15.75" customHeight="1">
      <c r="A318" s="134" t="s">
        <v>759</v>
      </c>
      <c r="B318" s="586" t="s">
        <v>141</v>
      </c>
      <c r="C318" s="806" t="s">
        <v>9830</v>
      </c>
      <c r="D318" s="31">
        <v>30</v>
      </c>
      <c r="E318" s="736">
        <f t="shared" si="16"/>
        <v>30</v>
      </c>
      <c r="F318" s="216" t="s">
        <v>759</v>
      </c>
      <c r="G318" s="1"/>
      <c r="H318" s="1"/>
      <c r="I318" s="216"/>
      <c r="J318" s="216"/>
      <c r="K318" s="216"/>
      <c r="L318" s="216"/>
      <c r="M318" s="216"/>
      <c r="N318" s="216"/>
      <c r="O318" s="216"/>
      <c r="P318" s="216"/>
      <c r="Q318" s="216"/>
      <c r="R318" s="216"/>
      <c r="S318" s="216"/>
      <c r="T318" s="216"/>
      <c r="U318" s="216"/>
      <c r="V318" s="216"/>
      <c r="W318" s="216"/>
      <c r="X318" s="216"/>
      <c r="Y318" s="216"/>
      <c r="Z318" s="216"/>
    </row>
    <row r="319" spans="1:26" ht="15.75" customHeight="1">
      <c r="A319" s="134" t="s">
        <v>759</v>
      </c>
      <c r="B319" s="586" t="s">
        <v>141</v>
      </c>
      <c r="C319" s="806" t="s">
        <v>9831</v>
      </c>
      <c r="D319" s="31">
        <v>30</v>
      </c>
      <c r="E319" s="736">
        <f t="shared" si="16"/>
        <v>30</v>
      </c>
      <c r="F319" s="216" t="s">
        <v>759</v>
      </c>
      <c r="G319" s="1"/>
      <c r="H319" s="1"/>
      <c r="I319" s="216"/>
      <c r="J319" s="216"/>
      <c r="K319" s="216"/>
      <c r="L319" s="216"/>
      <c r="M319" s="216"/>
      <c r="N319" s="216"/>
      <c r="O319" s="216"/>
      <c r="P319" s="216"/>
      <c r="Q319" s="216"/>
      <c r="R319" s="216"/>
      <c r="S319" s="216"/>
      <c r="T319" s="216"/>
      <c r="U319" s="216"/>
      <c r="V319" s="216"/>
      <c r="W319" s="216"/>
      <c r="X319" s="216"/>
      <c r="Y319" s="216"/>
      <c r="Z319" s="216"/>
    </row>
    <row r="320" spans="1:26" ht="15.75" customHeight="1">
      <c r="A320" s="134" t="s">
        <v>761</v>
      </c>
      <c r="B320" s="133" t="s">
        <v>141</v>
      </c>
      <c r="C320" s="133" t="s">
        <v>9832</v>
      </c>
      <c r="D320" s="100">
        <v>20</v>
      </c>
      <c r="E320" s="528">
        <v>20</v>
      </c>
      <c r="F320" s="216" t="str">
        <f t="shared" ref="F320:F448" si="17">A320</f>
        <v>Craciunas Gabriela</v>
      </c>
      <c r="G320" s="1"/>
      <c r="H320" s="1"/>
      <c r="I320" s="216"/>
      <c r="J320" s="216"/>
      <c r="K320" s="216"/>
      <c r="L320" s="216"/>
      <c r="M320" s="216"/>
      <c r="N320" s="216"/>
      <c r="O320" s="216"/>
      <c r="P320" s="216"/>
      <c r="Q320" s="216"/>
      <c r="R320" s="216"/>
      <c r="S320" s="216"/>
      <c r="T320" s="216"/>
      <c r="U320" s="216"/>
      <c r="V320" s="216"/>
      <c r="W320" s="216"/>
      <c r="X320" s="216"/>
      <c r="Y320" s="216"/>
      <c r="Z320" s="216"/>
    </row>
    <row r="321" spans="1:26" ht="15.75" customHeight="1">
      <c r="A321" s="134" t="s">
        <v>7612</v>
      </c>
      <c r="B321" s="133" t="s">
        <v>141</v>
      </c>
      <c r="C321" s="133" t="s">
        <v>9833</v>
      </c>
      <c r="D321" s="100">
        <v>20</v>
      </c>
      <c r="E321" s="528">
        <v>20</v>
      </c>
      <c r="F321" s="216" t="str">
        <f t="shared" si="17"/>
        <v>Craciunean Daniel-Cristian</v>
      </c>
      <c r="G321" s="1"/>
      <c r="H321" s="1"/>
      <c r="I321" s="216"/>
      <c r="J321" s="216"/>
      <c r="K321" s="216"/>
      <c r="L321" s="216"/>
      <c r="M321" s="216"/>
      <c r="N321" s="216"/>
      <c r="O321" s="216"/>
      <c r="P321" s="216"/>
      <c r="Q321" s="216"/>
      <c r="R321" s="216"/>
      <c r="S321" s="216"/>
      <c r="T321" s="216"/>
      <c r="U321" s="216"/>
      <c r="V321" s="216"/>
      <c r="W321" s="216"/>
      <c r="X321" s="216"/>
      <c r="Y321" s="216"/>
      <c r="Z321" s="216"/>
    </row>
    <row r="322" spans="1:26" ht="15.75" customHeight="1">
      <c r="A322" s="134" t="s">
        <v>7612</v>
      </c>
      <c r="B322" s="133" t="s">
        <v>141</v>
      </c>
      <c r="C322" s="133" t="s">
        <v>9834</v>
      </c>
      <c r="D322" s="116">
        <v>20</v>
      </c>
      <c r="E322" s="528">
        <v>20</v>
      </c>
      <c r="F322" s="216" t="str">
        <f t="shared" si="17"/>
        <v>Craciunean Daniel-Cristian</v>
      </c>
      <c r="G322" s="1"/>
      <c r="H322" s="1"/>
      <c r="I322" s="216"/>
      <c r="J322" s="216"/>
      <c r="K322" s="216"/>
      <c r="L322" s="216"/>
      <c r="M322" s="216"/>
      <c r="N322" s="216"/>
      <c r="O322" s="216"/>
      <c r="P322" s="216"/>
      <c r="Q322" s="216"/>
      <c r="R322" s="216"/>
      <c r="S322" s="216"/>
      <c r="T322" s="216"/>
      <c r="U322" s="216"/>
      <c r="V322" s="216"/>
      <c r="W322" s="216"/>
      <c r="X322" s="216"/>
      <c r="Y322" s="216"/>
      <c r="Z322" s="216"/>
    </row>
    <row r="323" spans="1:26" ht="15.75" customHeight="1">
      <c r="A323" s="134" t="s">
        <v>7404</v>
      </c>
      <c r="B323" s="586" t="s">
        <v>141</v>
      </c>
      <c r="C323" s="427" t="s">
        <v>9835</v>
      </c>
      <c r="D323" s="1175">
        <v>20</v>
      </c>
      <c r="E323" s="528">
        <v>20</v>
      </c>
      <c r="F323" s="216" t="str">
        <f t="shared" si="17"/>
        <v>Crețulescu Radu</v>
      </c>
      <c r="G323" s="1"/>
      <c r="H323" s="1"/>
      <c r="I323" s="216"/>
      <c r="J323" s="216"/>
      <c r="K323" s="216"/>
      <c r="L323" s="216"/>
      <c r="M323" s="216"/>
      <c r="N323" s="216"/>
      <c r="O323" s="216"/>
      <c r="P323" s="216"/>
      <c r="Q323" s="216"/>
      <c r="R323" s="216"/>
      <c r="S323" s="216"/>
      <c r="T323" s="216"/>
      <c r="U323" s="216"/>
      <c r="V323" s="216"/>
      <c r="W323" s="216"/>
      <c r="X323" s="216"/>
      <c r="Y323" s="216"/>
      <c r="Z323" s="216"/>
    </row>
    <row r="324" spans="1:26" ht="15.75" customHeight="1">
      <c r="A324" s="134" t="s">
        <v>7404</v>
      </c>
      <c r="B324" s="586" t="s">
        <v>141</v>
      </c>
      <c r="C324" s="427" t="s">
        <v>9836</v>
      </c>
      <c r="D324" s="1175">
        <v>20</v>
      </c>
      <c r="E324" s="528">
        <v>20</v>
      </c>
      <c r="F324" s="216" t="str">
        <f t="shared" si="17"/>
        <v>Crețulescu Radu</v>
      </c>
      <c r="G324" s="1"/>
      <c r="H324" s="1"/>
      <c r="I324" s="216"/>
      <c r="J324" s="216"/>
      <c r="K324" s="216"/>
      <c r="L324" s="216"/>
      <c r="M324" s="216"/>
      <c r="N324" s="216"/>
      <c r="O324" s="216"/>
      <c r="P324" s="216"/>
      <c r="Q324" s="216"/>
      <c r="R324" s="216"/>
      <c r="S324" s="216"/>
      <c r="T324" s="216"/>
      <c r="U324" s="216"/>
      <c r="V324" s="216"/>
      <c r="W324" s="216"/>
      <c r="X324" s="216"/>
      <c r="Y324" s="216"/>
      <c r="Z324" s="216"/>
    </row>
    <row r="325" spans="1:26" ht="15.75" customHeight="1">
      <c r="A325" s="134" t="s">
        <v>7404</v>
      </c>
      <c r="B325" s="586" t="s">
        <v>141</v>
      </c>
      <c r="C325" s="427" t="s">
        <v>9837</v>
      </c>
      <c r="D325" s="1175">
        <v>20</v>
      </c>
      <c r="E325" s="528">
        <v>20</v>
      </c>
      <c r="F325" s="216" t="str">
        <f t="shared" si="17"/>
        <v>Crețulescu Radu</v>
      </c>
      <c r="G325" s="1"/>
      <c r="H325" s="1"/>
      <c r="I325" s="216"/>
      <c r="J325" s="216"/>
      <c r="K325" s="216"/>
      <c r="L325" s="216"/>
      <c r="M325" s="216"/>
      <c r="N325" s="216"/>
      <c r="O325" s="216"/>
      <c r="P325" s="216"/>
      <c r="Q325" s="216"/>
      <c r="R325" s="216"/>
      <c r="S325" s="216"/>
      <c r="T325" s="216"/>
      <c r="U325" s="216"/>
      <c r="V325" s="216"/>
      <c r="W325" s="216"/>
      <c r="X325" s="216"/>
      <c r="Y325" s="216"/>
      <c r="Z325" s="216"/>
    </row>
    <row r="326" spans="1:26" ht="15.75" customHeight="1">
      <c r="A326" s="134" t="s">
        <v>7404</v>
      </c>
      <c r="B326" s="586" t="s">
        <v>141</v>
      </c>
      <c r="C326" s="427" t="s">
        <v>9838</v>
      </c>
      <c r="D326" s="1175">
        <v>20</v>
      </c>
      <c r="E326" s="528">
        <v>20</v>
      </c>
      <c r="F326" s="216" t="str">
        <f t="shared" si="17"/>
        <v>Crețulescu Radu</v>
      </c>
      <c r="G326" s="1"/>
      <c r="H326" s="1"/>
      <c r="I326" s="216"/>
      <c r="J326" s="216"/>
      <c r="K326" s="216"/>
      <c r="L326" s="216"/>
      <c r="M326" s="216"/>
      <c r="N326" s="216"/>
      <c r="O326" s="216"/>
      <c r="P326" s="216"/>
      <c r="Q326" s="216"/>
      <c r="R326" s="216"/>
      <c r="S326" s="216"/>
      <c r="T326" s="216"/>
      <c r="U326" s="216"/>
      <c r="V326" s="216"/>
      <c r="W326" s="216"/>
      <c r="X326" s="216"/>
      <c r="Y326" s="216"/>
      <c r="Z326" s="216"/>
    </row>
    <row r="327" spans="1:26" ht="15.75" customHeight="1">
      <c r="A327" s="134" t="s">
        <v>7404</v>
      </c>
      <c r="B327" s="586" t="s">
        <v>141</v>
      </c>
      <c r="C327" s="427" t="s">
        <v>9839</v>
      </c>
      <c r="D327" s="1175">
        <v>20</v>
      </c>
      <c r="E327" s="528">
        <v>20</v>
      </c>
      <c r="F327" s="216" t="str">
        <f t="shared" si="17"/>
        <v>Crețulescu Radu</v>
      </c>
      <c r="G327" s="1"/>
      <c r="H327" s="1"/>
      <c r="I327" s="216"/>
      <c r="J327" s="216"/>
      <c r="K327" s="216"/>
      <c r="L327" s="216"/>
      <c r="M327" s="216"/>
      <c r="N327" s="216"/>
      <c r="O327" s="216"/>
      <c r="P327" s="216"/>
      <c r="Q327" s="216"/>
      <c r="R327" s="216"/>
      <c r="S327" s="216"/>
      <c r="T327" s="216"/>
      <c r="U327" s="216"/>
      <c r="V327" s="216"/>
      <c r="W327" s="216"/>
      <c r="X327" s="216"/>
      <c r="Y327" s="216"/>
      <c r="Z327" s="216"/>
    </row>
    <row r="328" spans="1:26" ht="15.75" customHeight="1">
      <c r="A328" s="134" t="s">
        <v>7404</v>
      </c>
      <c r="B328" s="586" t="s">
        <v>141</v>
      </c>
      <c r="C328" s="427" t="s">
        <v>9840</v>
      </c>
      <c r="D328" s="1175">
        <v>20</v>
      </c>
      <c r="E328" s="528">
        <v>20</v>
      </c>
      <c r="F328" s="216" t="str">
        <f t="shared" si="17"/>
        <v>Crețulescu Radu</v>
      </c>
      <c r="G328" s="1"/>
      <c r="H328" s="1"/>
      <c r="I328" s="216"/>
      <c r="J328" s="216"/>
      <c r="K328" s="216"/>
      <c r="L328" s="216"/>
      <c r="M328" s="216"/>
      <c r="N328" s="216"/>
      <c r="O328" s="216"/>
      <c r="P328" s="216"/>
      <c r="Q328" s="216"/>
      <c r="R328" s="216"/>
      <c r="S328" s="216"/>
      <c r="T328" s="216"/>
      <c r="U328" s="216"/>
      <c r="V328" s="216"/>
      <c r="W328" s="216"/>
      <c r="X328" s="216"/>
      <c r="Y328" s="216"/>
      <c r="Z328" s="216"/>
    </row>
    <row r="329" spans="1:26" ht="15.75" customHeight="1">
      <c r="A329" s="134" t="s">
        <v>7404</v>
      </c>
      <c r="B329" s="586" t="s">
        <v>141</v>
      </c>
      <c r="C329" s="427" t="s">
        <v>9841</v>
      </c>
      <c r="D329" s="1175">
        <v>20</v>
      </c>
      <c r="E329" s="528">
        <v>20</v>
      </c>
      <c r="F329" s="216" t="str">
        <f t="shared" si="17"/>
        <v>Crețulescu Radu</v>
      </c>
      <c r="G329" s="1"/>
      <c r="H329" s="1"/>
      <c r="I329" s="216"/>
      <c r="J329" s="216"/>
      <c r="K329" s="216"/>
      <c r="L329" s="216"/>
      <c r="M329" s="216"/>
      <c r="N329" s="216"/>
      <c r="O329" s="216"/>
      <c r="P329" s="216"/>
      <c r="Q329" s="216"/>
      <c r="R329" s="216"/>
      <c r="S329" s="216"/>
      <c r="T329" s="216"/>
      <c r="U329" s="216"/>
      <c r="V329" s="216"/>
      <c r="W329" s="216"/>
      <c r="X329" s="216"/>
      <c r="Y329" s="216"/>
      <c r="Z329" s="216"/>
    </row>
    <row r="330" spans="1:26" ht="15.75" customHeight="1">
      <c r="A330" s="134" t="s">
        <v>7404</v>
      </c>
      <c r="B330" s="586" t="s">
        <v>141</v>
      </c>
      <c r="C330" s="427" t="s">
        <v>9842</v>
      </c>
      <c r="D330" s="1175">
        <v>20</v>
      </c>
      <c r="E330" s="528">
        <v>20</v>
      </c>
      <c r="F330" s="216" t="str">
        <f t="shared" si="17"/>
        <v>Crețulescu Radu</v>
      </c>
      <c r="G330" s="1"/>
      <c r="H330" s="1"/>
      <c r="I330" s="216"/>
      <c r="J330" s="216"/>
      <c r="K330" s="216"/>
      <c r="L330" s="216"/>
      <c r="M330" s="216"/>
      <c r="N330" s="216"/>
      <c r="O330" s="216"/>
      <c r="P330" s="216"/>
      <c r="Q330" s="216"/>
      <c r="R330" s="216"/>
      <c r="S330" s="216"/>
      <c r="T330" s="216"/>
      <c r="U330" s="216"/>
      <c r="V330" s="216"/>
      <c r="W330" s="216"/>
      <c r="X330" s="216"/>
      <c r="Y330" s="216"/>
      <c r="Z330" s="216"/>
    </row>
    <row r="331" spans="1:26" ht="15.75" customHeight="1">
      <c r="A331" s="134" t="s">
        <v>7404</v>
      </c>
      <c r="B331" s="586" t="s">
        <v>141</v>
      </c>
      <c r="C331" s="427" t="s">
        <v>9843</v>
      </c>
      <c r="D331" s="1175">
        <v>20</v>
      </c>
      <c r="E331" s="528">
        <v>20</v>
      </c>
      <c r="F331" s="216" t="str">
        <f t="shared" si="17"/>
        <v>Crețulescu Radu</v>
      </c>
      <c r="G331" s="1"/>
      <c r="H331" s="1"/>
      <c r="I331" s="216"/>
      <c r="J331" s="216"/>
      <c r="K331" s="216"/>
      <c r="L331" s="216"/>
      <c r="M331" s="216"/>
      <c r="N331" s="216"/>
      <c r="O331" s="216"/>
      <c r="P331" s="216"/>
      <c r="Q331" s="216"/>
      <c r="R331" s="216"/>
      <c r="S331" s="216"/>
      <c r="T331" s="216"/>
      <c r="U331" s="216"/>
      <c r="V331" s="216"/>
      <c r="W331" s="216"/>
      <c r="X331" s="216"/>
      <c r="Y331" s="216"/>
      <c r="Z331" s="216"/>
    </row>
    <row r="332" spans="1:26" ht="15.75" customHeight="1">
      <c r="A332" s="134" t="s">
        <v>7404</v>
      </c>
      <c r="B332" s="586" t="s">
        <v>141</v>
      </c>
      <c r="C332" s="427" t="s">
        <v>9844</v>
      </c>
      <c r="D332" s="1175">
        <v>20</v>
      </c>
      <c r="E332" s="528">
        <v>20</v>
      </c>
      <c r="F332" s="216" t="str">
        <f t="shared" si="17"/>
        <v>Crețulescu Radu</v>
      </c>
      <c r="G332" s="1"/>
      <c r="H332" s="1"/>
      <c r="I332" s="216"/>
      <c r="J332" s="216"/>
      <c r="K332" s="216"/>
      <c r="L332" s="216"/>
      <c r="M332" s="216"/>
      <c r="N332" s="216"/>
      <c r="O332" s="216"/>
      <c r="P332" s="216"/>
      <c r="Q332" s="216"/>
      <c r="R332" s="216"/>
      <c r="S332" s="216"/>
      <c r="T332" s="216"/>
      <c r="U332" s="216"/>
      <c r="V332" s="216"/>
      <c r="W332" s="216"/>
      <c r="X332" s="216"/>
      <c r="Y332" s="216"/>
      <c r="Z332" s="216"/>
    </row>
    <row r="333" spans="1:26" ht="15.75" customHeight="1">
      <c r="A333" s="134" t="s">
        <v>7404</v>
      </c>
      <c r="B333" s="586" t="s">
        <v>141</v>
      </c>
      <c r="C333" s="427" t="s">
        <v>9845</v>
      </c>
      <c r="D333" s="1175">
        <v>20</v>
      </c>
      <c r="E333" s="528">
        <v>20</v>
      </c>
      <c r="F333" s="216" t="str">
        <f t="shared" si="17"/>
        <v>Crețulescu Radu</v>
      </c>
      <c r="G333" s="1"/>
      <c r="H333" s="1"/>
      <c r="I333" s="216"/>
      <c r="J333" s="216"/>
      <c r="K333" s="216"/>
      <c r="L333" s="216"/>
      <c r="M333" s="216"/>
      <c r="N333" s="216"/>
      <c r="O333" s="216"/>
      <c r="P333" s="216"/>
      <c r="Q333" s="216"/>
      <c r="R333" s="216"/>
      <c r="S333" s="216"/>
      <c r="T333" s="216"/>
      <c r="U333" s="216"/>
      <c r="V333" s="216"/>
      <c r="W333" s="216"/>
      <c r="X333" s="216"/>
      <c r="Y333" s="216"/>
      <c r="Z333" s="216"/>
    </row>
    <row r="334" spans="1:26" ht="15.75" customHeight="1">
      <c r="A334" s="134" t="s">
        <v>7404</v>
      </c>
      <c r="B334" s="586" t="s">
        <v>141</v>
      </c>
      <c r="C334" s="427" t="s">
        <v>9846</v>
      </c>
      <c r="D334" s="1175">
        <v>20</v>
      </c>
      <c r="E334" s="528">
        <v>20</v>
      </c>
      <c r="F334" s="216" t="str">
        <f t="shared" si="17"/>
        <v>Crețulescu Radu</v>
      </c>
      <c r="G334" s="1"/>
      <c r="H334" s="1"/>
      <c r="I334" s="216"/>
      <c r="J334" s="216"/>
      <c r="K334" s="216"/>
      <c r="L334" s="216"/>
      <c r="M334" s="216"/>
      <c r="N334" s="216"/>
      <c r="O334" s="216"/>
      <c r="P334" s="216"/>
      <c r="Q334" s="216"/>
      <c r="R334" s="216"/>
      <c r="S334" s="216"/>
      <c r="T334" s="216"/>
      <c r="U334" s="216"/>
      <c r="V334" s="216"/>
      <c r="W334" s="216"/>
      <c r="X334" s="216"/>
      <c r="Y334" s="216"/>
      <c r="Z334" s="216"/>
    </row>
    <row r="335" spans="1:26" ht="15.75" customHeight="1">
      <c r="A335" s="134" t="s">
        <v>7404</v>
      </c>
      <c r="B335" s="586" t="s">
        <v>141</v>
      </c>
      <c r="C335" s="427" t="s">
        <v>9847</v>
      </c>
      <c r="D335" s="1175">
        <v>20</v>
      </c>
      <c r="E335" s="528">
        <v>20</v>
      </c>
      <c r="F335" s="216" t="str">
        <f t="shared" si="17"/>
        <v>Crețulescu Radu</v>
      </c>
      <c r="G335" s="1"/>
      <c r="H335" s="1"/>
      <c r="I335" s="216"/>
      <c r="J335" s="216"/>
      <c r="K335" s="216"/>
      <c r="L335" s="216"/>
      <c r="M335" s="216"/>
      <c r="N335" s="216"/>
      <c r="O335" s="216"/>
      <c r="P335" s="216"/>
      <c r="Q335" s="216"/>
      <c r="R335" s="216"/>
      <c r="S335" s="216"/>
      <c r="T335" s="216"/>
      <c r="U335" s="216"/>
      <c r="V335" s="216"/>
      <c r="W335" s="216"/>
      <c r="X335" s="216"/>
      <c r="Y335" s="216"/>
      <c r="Z335" s="216"/>
    </row>
    <row r="336" spans="1:26" ht="15.75" customHeight="1">
      <c r="A336" s="134" t="s">
        <v>7404</v>
      </c>
      <c r="B336" s="586" t="s">
        <v>141</v>
      </c>
      <c r="C336" s="427" t="s">
        <v>9848</v>
      </c>
      <c r="D336" s="1175">
        <v>20</v>
      </c>
      <c r="E336" s="528">
        <v>20</v>
      </c>
      <c r="F336" s="216" t="str">
        <f t="shared" si="17"/>
        <v>Crețulescu Radu</v>
      </c>
      <c r="G336" s="1"/>
      <c r="H336" s="1"/>
      <c r="I336" s="216"/>
      <c r="J336" s="216"/>
      <c r="K336" s="216"/>
      <c r="L336" s="216"/>
      <c r="M336" s="216"/>
      <c r="N336" s="216"/>
      <c r="O336" s="216"/>
      <c r="P336" s="216"/>
      <c r="Q336" s="216"/>
      <c r="R336" s="216"/>
      <c r="S336" s="216"/>
      <c r="T336" s="216"/>
      <c r="U336" s="216"/>
      <c r="V336" s="216"/>
      <c r="W336" s="216"/>
      <c r="X336" s="216"/>
      <c r="Y336" s="216"/>
      <c r="Z336" s="216"/>
    </row>
    <row r="337" spans="1:26" ht="15.75" customHeight="1">
      <c r="A337" s="134" t="s">
        <v>7404</v>
      </c>
      <c r="B337" s="586" t="s">
        <v>141</v>
      </c>
      <c r="C337" s="427" t="s">
        <v>9849</v>
      </c>
      <c r="D337" s="1175">
        <v>20</v>
      </c>
      <c r="E337" s="528">
        <v>20</v>
      </c>
      <c r="F337" s="216" t="str">
        <f t="shared" si="17"/>
        <v>Crețulescu Radu</v>
      </c>
      <c r="G337" s="1"/>
      <c r="H337" s="1"/>
      <c r="I337" s="216"/>
      <c r="J337" s="216"/>
      <c r="K337" s="216"/>
      <c r="L337" s="216"/>
      <c r="M337" s="216"/>
      <c r="N337" s="216"/>
      <c r="O337" s="216"/>
      <c r="P337" s="216"/>
      <c r="Q337" s="216"/>
      <c r="R337" s="216"/>
      <c r="S337" s="216"/>
      <c r="T337" s="216"/>
      <c r="U337" s="216"/>
      <c r="V337" s="216"/>
      <c r="W337" s="216"/>
      <c r="X337" s="216"/>
      <c r="Y337" s="216"/>
      <c r="Z337" s="216"/>
    </row>
    <row r="338" spans="1:26" ht="15.75" customHeight="1">
      <c r="A338" s="134" t="s">
        <v>7404</v>
      </c>
      <c r="B338" s="586" t="s">
        <v>141</v>
      </c>
      <c r="C338" s="427" t="s">
        <v>9850</v>
      </c>
      <c r="D338" s="1175">
        <v>20</v>
      </c>
      <c r="E338" s="528">
        <v>20</v>
      </c>
      <c r="F338" s="216" t="str">
        <f t="shared" si="17"/>
        <v>Crețulescu Radu</v>
      </c>
      <c r="G338" s="1"/>
      <c r="H338" s="1"/>
      <c r="I338" s="216"/>
      <c r="J338" s="216"/>
      <c r="K338" s="216"/>
      <c r="L338" s="216"/>
      <c r="M338" s="216"/>
      <c r="N338" s="216"/>
      <c r="O338" s="216"/>
      <c r="P338" s="216"/>
      <c r="Q338" s="216"/>
      <c r="R338" s="216"/>
      <c r="S338" s="216"/>
      <c r="T338" s="216"/>
      <c r="U338" s="216"/>
      <c r="V338" s="216"/>
      <c r="W338" s="216"/>
      <c r="X338" s="216"/>
      <c r="Y338" s="216"/>
      <c r="Z338" s="216"/>
    </row>
    <row r="339" spans="1:26" ht="15.75" customHeight="1">
      <c r="A339" s="134" t="s">
        <v>7404</v>
      </c>
      <c r="B339" s="586" t="s">
        <v>141</v>
      </c>
      <c r="C339" s="427" t="s">
        <v>9851</v>
      </c>
      <c r="D339" s="1175">
        <v>20</v>
      </c>
      <c r="E339" s="528">
        <v>20</v>
      </c>
      <c r="F339" s="216" t="str">
        <f t="shared" si="17"/>
        <v>Crețulescu Radu</v>
      </c>
      <c r="G339" s="1"/>
      <c r="H339" s="1"/>
      <c r="I339" s="216"/>
      <c r="J339" s="216"/>
      <c r="K339" s="216"/>
      <c r="L339" s="216"/>
      <c r="M339" s="216"/>
      <c r="N339" s="216"/>
      <c r="O339" s="216"/>
      <c r="P339" s="216"/>
      <c r="Q339" s="216"/>
      <c r="R339" s="216"/>
      <c r="S339" s="216"/>
      <c r="T339" s="216"/>
      <c r="U339" s="216"/>
      <c r="V339" s="216"/>
      <c r="W339" s="216"/>
      <c r="X339" s="216"/>
      <c r="Y339" s="216"/>
      <c r="Z339" s="216"/>
    </row>
    <row r="340" spans="1:26" ht="15.75" customHeight="1">
      <c r="A340" s="134" t="s">
        <v>7404</v>
      </c>
      <c r="B340" s="586" t="s">
        <v>141</v>
      </c>
      <c r="C340" s="427" t="s">
        <v>9852</v>
      </c>
      <c r="D340" s="1175">
        <v>20</v>
      </c>
      <c r="E340" s="528">
        <v>20</v>
      </c>
      <c r="F340" s="216" t="str">
        <f t="shared" si="17"/>
        <v>Crețulescu Radu</v>
      </c>
      <c r="G340" s="1"/>
      <c r="H340" s="1"/>
      <c r="I340" s="216"/>
      <c r="J340" s="216"/>
      <c r="K340" s="216"/>
      <c r="L340" s="216"/>
      <c r="M340" s="216"/>
      <c r="N340" s="216"/>
      <c r="O340" s="216"/>
      <c r="P340" s="216"/>
      <c r="Q340" s="216"/>
      <c r="R340" s="216"/>
      <c r="S340" s="216"/>
      <c r="T340" s="216"/>
      <c r="U340" s="216"/>
      <c r="V340" s="216"/>
      <c r="W340" s="216"/>
      <c r="X340" s="216"/>
      <c r="Y340" s="216"/>
      <c r="Z340" s="216"/>
    </row>
    <row r="341" spans="1:26" ht="15.75" customHeight="1">
      <c r="A341" s="134" t="s">
        <v>7404</v>
      </c>
      <c r="B341" s="586" t="s">
        <v>141</v>
      </c>
      <c r="C341" s="427" t="s">
        <v>9853</v>
      </c>
      <c r="D341" s="1175">
        <v>20</v>
      </c>
      <c r="E341" s="528">
        <v>20</v>
      </c>
      <c r="F341" s="216" t="str">
        <f t="shared" si="17"/>
        <v>Crețulescu Radu</v>
      </c>
      <c r="G341" s="1"/>
      <c r="H341" s="1"/>
      <c r="I341" s="216"/>
      <c r="J341" s="216"/>
      <c r="K341" s="216"/>
      <c r="L341" s="216"/>
      <c r="M341" s="216"/>
      <c r="N341" s="216"/>
      <c r="O341" s="216"/>
      <c r="P341" s="216"/>
      <c r="Q341" s="216"/>
      <c r="R341" s="216"/>
      <c r="S341" s="216"/>
      <c r="T341" s="216"/>
      <c r="U341" s="216"/>
      <c r="V341" s="216"/>
      <c r="W341" s="216"/>
      <c r="X341" s="216"/>
      <c r="Y341" s="216"/>
      <c r="Z341" s="216"/>
    </row>
    <row r="342" spans="1:26" ht="15.75" customHeight="1">
      <c r="A342" s="134" t="s">
        <v>7404</v>
      </c>
      <c r="B342" s="586" t="s">
        <v>141</v>
      </c>
      <c r="C342" s="427" t="s">
        <v>9854</v>
      </c>
      <c r="D342" s="1175">
        <v>20</v>
      </c>
      <c r="E342" s="528">
        <v>20</v>
      </c>
      <c r="F342" s="216" t="str">
        <f t="shared" si="17"/>
        <v>Crețulescu Radu</v>
      </c>
      <c r="G342" s="1"/>
      <c r="H342" s="1"/>
      <c r="I342" s="216"/>
      <c r="J342" s="216"/>
      <c r="K342" s="216"/>
      <c r="L342" s="216"/>
      <c r="M342" s="216"/>
      <c r="N342" s="216"/>
      <c r="O342" s="216"/>
      <c r="P342" s="216"/>
      <c r="Q342" s="216"/>
      <c r="R342" s="216"/>
      <c r="S342" s="216"/>
      <c r="T342" s="216"/>
      <c r="U342" s="216"/>
      <c r="V342" s="216"/>
      <c r="W342" s="216"/>
      <c r="X342" s="216"/>
      <c r="Y342" s="216"/>
      <c r="Z342" s="216"/>
    </row>
    <row r="343" spans="1:26" ht="15.75" customHeight="1">
      <c r="A343" s="134" t="s">
        <v>7404</v>
      </c>
      <c r="B343" s="586" t="s">
        <v>141</v>
      </c>
      <c r="C343" s="427" t="s">
        <v>9855</v>
      </c>
      <c r="D343" s="1175">
        <v>20</v>
      </c>
      <c r="E343" s="528">
        <v>20</v>
      </c>
      <c r="F343" s="216" t="str">
        <f t="shared" si="17"/>
        <v>Crețulescu Radu</v>
      </c>
      <c r="G343" s="1"/>
      <c r="H343" s="1"/>
      <c r="I343" s="216"/>
      <c r="J343" s="216"/>
      <c r="K343" s="216"/>
      <c r="L343" s="216"/>
      <c r="M343" s="216"/>
      <c r="N343" s="216"/>
      <c r="O343" s="216"/>
      <c r="P343" s="216"/>
      <c r="Q343" s="216"/>
      <c r="R343" s="216"/>
      <c r="S343" s="216"/>
      <c r="T343" s="216"/>
      <c r="U343" s="216"/>
      <c r="V343" s="216"/>
      <c r="W343" s="216"/>
      <c r="X343" s="216"/>
      <c r="Y343" s="216"/>
      <c r="Z343" s="216"/>
    </row>
    <row r="344" spans="1:26" ht="15.75" customHeight="1">
      <c r="A344" s="134" t="s">
        <v>7613</v>
      </c>
      <c r="B344" s="133" t="s">
        <v>141</v>
      </c>
      <c r="C344" s="133" t="s">
        <v>9856</v>
      </c>
      <c r="D344" s="100">
        <v>20</v>
      </c>
      <c r="E344" s="528">
        <v>20</v>
      </c>
      <c r="F344" s="216" t="str">
        <f t="shared" si="17"/>
        <v>DOROBANȚIU Alexandru</v>
      </c>
      <c r="G344" s="1"/>
      <c r="H344" s="1"/>
      <c r="I344" s="216"/>
      <c r="J344" s="216"/>
      <c r="K344" s="216"/>
      <c r="L344" s="216"/>
      <c r="M344" s="216"/>
      <c r="N344" s="216"/>
      <c r="O344" s="216"/>
      <c r="P344" s="216"/>
      <c r="Q344" s="216"/>
      <c r="R344" s="216"/>
      <c r="S344" s="216"/>
      <c r="T344" s="216"/>
      <c r="U344" s="216"/>
      <c r="V344" s="216"/>
      <c r="W344" s="216"/>
      <c r="X344" s="216"/>
      <c r="Y344" s="216"/>
      <c r="Z344" s="216"/>
    </row>
    <row r="345" spans="1:26" ht="15.75" customHeight="1">
      <c r="A345" s="134" t="s">
        <v>7613</v>
      </c>
      <c r="B345" s="133" t="s">
        <v>141</v>
      </c>
      <c r="C345" s="133" t="s">
        <v>9857</v>
      </c>
      <c r="D345" s="100">
        <v>20</v>
      </c>
      <c r="E345" s="528">
        <v>20</v>
      </c>
      <c r="F345" s="216" t="str">
        <f t="shared" si="17"/>
        <v>DOROBANȚIU Alexandru</v>
      </c>
      <c r="G345" s="1"/>
      <c r="H345" s="1"/>
      <c r="I345" s="216"/>
      <c r="J345" s="216"/>
      <c r="K345" s="216"/>
      <c r="L345" s="216"/>
      <c r="M345" s="216"/>
      <c r="N345" s="216"/>
      <c r="O345" s="216"/>
      <c r="P345" s="216"/>
      <c r="Q345" s="216"/>
      <c r="R345" s="216"/>
      <c r="S345" s="216"/>
      <c r="T345" s="216"/>
      <c r="U345" s="216"/>
      <c r="V345" s="216"/>
      <c r="W345" s="216"/>
      <c r="X345" s="216"/>
      <c r="Y345" s="216"/>
      <c r="Z345" s="216"/>
    </row>
    <row r="346" spans="1:26" ht="15.75" customHeight="1">
      <c r="A346" s="134" t="s">
        <v>7613</v>
      </c>
      <c r="B346" s="133" t="s">
        <v>141</v>
      </c>
      <c r="C346" s="133" t="s">
        <v>9858</v>
      </c>
      <c r="D346" s="100">
        <v>30</v>
      </c>
      <c r="E346" s="528">
        <v>30</v>
      </c>
      <c r="F346" s="216" t="str">
        <f t="shared" si="17"/>
        <v>DOROBANȚIU Alexandru</v>
      </c>
      <c r="G346" s="1"/>
      <c r="H346" s="1"/>
      <c r="I346" s="216"/>
      <c r="J346" s="216"/>
      <c r="K346" s="216"/>
      <c r="L346" s="216"/>
      <c r="M346" s="216"/>
      <c r="N346" s="216"/>
      <c r="O346" s="216"/>
      <c r="P346" s="216"/>
      <c r="Q346" s="216"/>
      <c r="R346" s="216"/>
      <c r="S346" s="216"/>
      <c r="T346" s="216"/>
      <c r="U346" s="216"/>
      <c r="V346" s="216"/>
      <c r="W346" s="216"/>
      <c r="X346" s="216"/>
      <c r="Y346" s="216"/>
      <c r="Z346" s="216"/>
    </row>
    <row r="347" spans="1:26" ht="15.75" customHeight="1">
      <c r="A347" s="134" t="s">
        <v>7351</v>
      </c>
      <c r="B347" s="133" t="s">
        <v>141</v>
      </c>
      <c r="C347" s="133" t="s">
        <v>9859</v>
      </c>
      <c r="D347" s="100">
        <v>20</v>
      </c>
      <c r="E347" s="100">
        <v>20</v>
      </c>
      <c r="F347" s="216" t="str">
        <f t="shared" si="17"/>
        <v>Prof.dr.ing. Florea Adrian</v>
      </c>
      <c r="G347" s="1"/>
      <c r="H347" s="1"/>
      <c r="I347" s="216"/>
      <c r="J347" s="216"/>
      <c r="K347" s="216"/>
      <c r="L347" s="216"/>
      <c r="M347" s="216"/>
      <c r="N347" s="216"/>
      <c r="O347" s="216"/>
      <c r="P347" s="216"/>
      <c r="Q347" s="216"/>
      <c r="R347" s="216"/>
      <c r="S347" s="216"/>
      <c r="T347" s="216"/>
      <c r="U347" s="216"/>
      <c r="V347" s="216"/>
      <c r="W347" s="216"/>
      <c r="X347" s="216"/>
      <c r="Y347" s="216"/>
      <c r="Z347" s="216"/>
    </row>
    <row r="348" spans="1:26" ht="15.75" customHeight="1">
      <c r="A348" s="134" t="s">
        <v>7351</v>
      </c>
      <c r="B348" s="133" t="s">
        <v>141</v>
      </c>
      <c r="C348" s="133" t="s">
        <v>9860</v>
      </c>
      <c r="D348" s="116">
        <v>20</v>
      </c>
      <c r="E348" s="116">
        <v>20</v>
      </c>
      <c r="F348" s="216" t="str">
        <f t="shared" si="17"/>
        <v>Prof.dr.ing. Florea Adrian</v>
      </c>
      <c r="G348" s="1"/>
      <c r="H348" s="1"/>
      <c r="I348" s="216"/>
      <c r="J348" s="216"/>
      <c r="K348" s="216"/>
      <c r="L348" s="216"/>
      <c r="M348" s="216"/>
      <c r="N348" s="216"/>
      <c r="O348" s="216"/>
      <c r="P348" s="216"/>
      <c r="Q348" s="216"/>
      <c r="R348" s="216"/>
      <c r="S348" s="216"/>
      <c r="T348" s="216"/>
      <c r="U348" s="216"/>
      <c r="V348" s="216"/>
      <c r="W348" s="216"/>
      <c r="X348" s="216"/>
      <c r="Y348" s="216"/>
      <c r="Z348" s="216"/>
    </row>
    <row r="349" spans="1:26" ht="15.75" customHeight="1">
      <c r="A349" s="134" t="s">
        <v>7351</v>
      </c>
      <c r="B349" s="133" t="s">
        <v>141</v>
      </c>
      <c r="C349" s="133" t="s">
        <v>9861</v>
      </c>
      <c r="D349" s="100">
        <v>20</v>
      </c>
      <c r="E349" s="100">
        <v>20</v>
      </c>
      <c r="F349" s="216" t="str">
        <f t="shared" si="17"/>
        <v>Prof.dr.ing. Florea Adrian</v>
      </c>
      <c r="G349" s="1"/>
      <c r="H349" s="1"/>
      <c r="I349" s="216"/>
      <c r="J349" s="216"/>
      <c r="K349" s="216"/>
      <c r="L349" s="216"/>
      <c r="M349" s="216"/>
      <c r="N349" s="216"/>
      <c r="O349" s="216"/>
      <c r="P349" s="216"/>
      <c r="Q349" s="216"/>
      <c r="R349" s="216"/>
      <c r="S349" s="216"/>
      <c r="T349" s="216"/>
      <c r="U349" s="216"/>
      <c r="V349" s="216"/>
      <c r="W349" s="216"/>
      <c r="X349" s="216"/>
      <c r="Y349" s="216"/>
      <c r="Z349" s="216"/>
    </row>
    <row r="350" spans="1:26" ht="15.75" customHeight="1">
      <c r="A350" s="134" t="s">
        <v>7351</v>
      </c>
      <c r="B350" s="133" t="s">
        <v>141</v>
      </c>
      <c r="C350" s="133" t="s">
        <v>9862</v>
      </c>
      <c r="D350" s="116">
        <v>20</v>
      </c>
      <c r="E350" s="116">
        <v>20</v>
      </c>
      <c r="F350" s="216" t="str">
        <f t="shared" si="17"/>
        <v>Prof.dr.ing. Florea Adrian</v>
      </c>
      <c r="G350" s="1"/>
      <c r="H350" s="1"/>
      <c r="I350" s="216"/>
      <c r="J350" s="216"/>
      <c r="K350" s="216"/>
      <c r="L350" s="216"/>
      <c r="M350" s="216"/>
      <c r="N350" s="216"/>
      <c r="O350" s="216"/>
      <c r="P350" s="216"/>
      <c r="Q350" s="216"/>
      <c r="R350" s="216"/>
      <c r="S350" s="216"/>
      <c r="T350" s="216"/>
      <c r="U350" s="216"/>
      <c r="V350" s="216"/>
      <c r="W350" s="216"/>
      <c r="X350" s="216"/>
      <c r="Y350" s="216"/>
      <c r="Z350" s="216"/>
    </row>
    <row r="351" spans="1:26" ht="15.75" customHeight="1">
      <c r="A351" s="134" t="s">
        <v>7351</v>
      </c>
      <c r="B351" s="133" t="s">
        <v>141</v>
      </c>
      <c r="C351" s="133" t="s">
        <v>9863</v>
      </c>
      <c r="D351" s="116">
        <v>20</v>
      </c>
      <c r="E351" s="116">
        <v>20</v>
      </c>
      <c r="F351" s="216" t="str">
        <f t="shared" si="17"/>
        <v>Prof.dr.ing. Florea Adrian</v>
      </c>
      <c r="G351" s="1"/>
      <c r="H351" s="1"/>
      <c r="I351" s="216"/>
      <c r="J351" s="216"/>
      <c r="K351" s="216"/>
      <c r="L351" s="216"/>
      <c r="M351" s="216"/>
      <c r="N351" s="216"/>
      <c r="O351" s="216"/>
      <c r="P351" s="216"/>
      <c r="Q351" s="216"/>
      <c r="R351" s="216"/>
      <c r="S351" s="216"/>
      <c r="T351" s="216"/>
      <c r="U351" s="216"/>
      <c r="V351" s="216"/>
      <c r="W351" s="216"/>
      <c r="X351" s="216"/>
      <c r="Y351" s="216"/>
      <c r="Z351" s="216"/>
    </row>
    <row r="352" spans="1:26" ht="15.75" customHeight="1">
      <c r="A352" s="134" t="s">
        <v>7351</v>
      </c>
      <c r="B352" s="133" t="s">
        <v>141</v>
      </c>
      <c r="C352" s="133" t="s">
        <v>9864</v>
      </c>
      <c r="D352" s="116">
        <v>20</v>
      </c>
      <c r="E352" s="116">
        <v>20</v>
      </c>
      <c r="F352" s="216" t="str">
        <f t="shared" si="17"/>
        <v>Prof.dr.ing. Florea Adrian</v>
      </c>
      <c r="G352" s="1"/>
      <c r="H352" s="1"/>
      <c r="I352" s="216"/>
      <c r="J352" s="216"/>
      <c r="K352" s="216"/>
      <c r="L352" s="216"/>
      <c r="M352" s="216"/>
      <c r="N352" s="216"/>
      <c r="O352" s="216"/>
      <c r="P352" s="216"/>
      <c r="Q352" s="216"/>
      <c r="R352" s="216"/>
      <c r="S352" s="216"/>
      <c r="T352" s="216"/>
      <c r="U352" s="216"/>
      <c r="V352" s="216"/>
      <c r="W352" s="216"/>
      <c r="X352" s="216"/>
      <c r="Y352" s="216"/>
      <c r="Z352" s="216"/>
    </row>
    <row r="353" spans="1:26" ht="15.75" customHeight="1">
      <c r="A353" s="134" t="s">
        <v>7351</v>
      </c>
      <c r="B353" s="133" t="s">
        <v>141</v>
      </c>
      <c r="C353" s="133" t="s">
        <v>9865</v>
      </c>
      <c r="D353" s="116">
        <v>20</v>
      </c>
      <c r="E353" s="116">
        <v>20</v>
      </c>
      <c r="F353" s="216" t="str">
        <f t="shared" si="17"/>
        <v>Prof.dr.ing. Florea Adrian</v>
      </c>
      <c r="G353" s="1"/>
      <c r="H353" s="1"/>
      <c r="I353" s="216"/>
      <c r="J353" s="216"/>
      <c r="K353" s="216"/>
      <c r="L353" s="216"/>
      <c r="M353" s="216"/>
      <c r="N353" s="216"/>
      <c r="O353" s="216"/>
      <c r="P353" s="216"/>
      <c r="Q353" s="216"/>
      <c r="R353" s="216"/>
      <c r="S353" s="216"/>
      <c r="T353" s="216"/>
      <c r="U353" s="216"/>
      <c r="V353" s="216"/>
      <c r="W353" s="216"/>
      <c r="X353" s="216"/>
      <c r="Y353" s="216"/>
      <c r="Z353" s="216"/>
    </row>
    <row r="354" spans="1:26" ht="15.75" customHeight="1">
      <c r="A354" s="134" t="s">
        <v>7351</v>
      </c>
      <c r="B354" s="133" t="s">
        <v>141</v>
      </c>
      <c r="C354" s="133" t="s">
        <v>9866</v>
      </c>
      <c r="D354" s="116">
        <v>20</v>
      </c>
      <c r="E354" s="116">
        <v>20</v>
      </c>
      <c r="F354" s="216" t="str">
        <f t="shared" si="17"/>
        <v>Prof.dr.ing. Florea Adrian</v>
      </c>
      <c r="G354" s="1"/>
      <c r="H354" s="1"/>
      <c r="I354" s="216"/>
      <c r="J354" s="216"/>
      <c r="K354" s="216"/>
      <c r="L354" s="216"/>
      <c r="M354" s="216"/>
      <c r="N354" s="216"/>
      <c r="O354" s="216"/>
      <c r="P354" s="216"/>
      <c r="Q354" s="216"/>
      <c r="R354" s="216"/>
      <c r="S354" s="216"/>
      <c r="T354" s="216"/>
      <c r="U354" s="216"/>
      <c r="V354" s="216"/>
      <c r="W354" s="216"/>
      <c r="X354" s="216"/>
      <c r="Y354" s="216"/>
      <c r="Z354" s="216"/>
    </row>
    <row r="355" spans="1:26" ht="15.75" customHeight="1">
      <c r="A355" s="134" t="s">
        <v>7351</v>
      </c>
      <c r="B355" s="133" t="s">
        <v>141</v>
      </c>
      <c r="C355" s="133" t="s">
        <v>9867</v>
      </c>
      <c r="D355" s="116">
        <v>20</v>
      </c>
      <c r="E355" s="116">
        <v>20</v>
      </c>
      <c r="F355" s="216" t="str">
        <f t="shared" si="17"/>
        <v>Prof.dr.ing. Florea Adrian</v>
      </c>
      <c r="G355" s="1"/>
      <c r="H355" s="1"/>
      <c r="I355" s="216"/>
      <c r="J355" s="216"/>
      <c r="K355" s="216"/>
      <c r="L355" s="216"/>
      <c r="M355" s="216"/>
      <c r="N355" s="216"/>
      <c r="O355" s="216"/>
      <c r="P355" s="216"/>
      <c r="Q355" s="216"/>
      <c r="R355" s="216"/>
      <c r="S355" s="216"/>
      <c r="T355" s="216"/>
      <c r="U355" s="216"/>
      <c r="V355" s="216"/>
      <c r="W355" s="216"/>
      <c r="X355" s="216"/>
      <c r="Y355" s="216"/>
      <c r="Z355" s="216"/>
    </row>
    <row r="356" spans="1:26" ht="15.75" customHeight="1">
      <c r="A356" s="134" t="s">
        <v>7351</v>
      </c>
      <c r="B356" s="133" t="s">
        <v>141</v>
      </c>
      <c r="C356" s="133" t="s">
        <v>9868</v>
      </c>
      <c r="D356" s="116">
        <v>20</v>
      </c>
      <c r="E356" s="116">
        <v>20</v>
      </c>
      <c r="F356" s="216" t="str">
        <f t="shared" si="17"/>
        <v>Prof.dr.ing. Florea Adrian</v>
      </c>
      <c r="G356" s="1"/>
      <c r="H356" s="1"/>
      <c r="I356" s="216"/>
      <c r="J356" s="216"/>
      <c r="K356" s="216"/>
      <c r="L356" s="216"/>
      <c r="M356" s="216"/>
      <c r="N356" s="216"/>
      <c r="O356" s="216"/>
      <c r="P356" s="216"/>
      <c r="Q356" s="216"/>
      <c r="R356" s="216"/>
      <c r="S356" s="216"/>
      <c r="T356" s="216"/>
      <c r="U356" s="216"/>
      <c r="V356" s="216"/>
      <c r="W356" s="216"/>
      <c r="X356" s="216"/>
      <c r="Y356" s="216"/>
      <c r="Z356" s="216"/>
    </row>
    <row r="357" spans="1:26" ht="15.75" customHeight="1">
      <c r="A357" s="134" t="s">
        <v>7351</v>
      </c>
      <c r="B357" s="133" t="s">
        <v>141</v>
      </c>
      <c r="C357" s="133" t="s">
        <v>9869</v>
      </c>
      <c r="D357" s="116">
        <v>20</v>
      </c>
      <c r="E357" s="116">
        <v>20</v>
      </c>
      <c r="F357" s="216" t="str">
        <f t="shared" si="17"/>
        <v>Prof.dr.ing. Florea Adrian</v>
      </c>
      <c r="G357" s="1"/>
      <c r="H357" s="1"/>
      <c r="I357" s="216"/>
      <c r="J357" s="216"/>
      <c r="K357" s="216"/>
      <c r="L357" s="216"/>
      <c r="M357" s="216"/>
      <c r="N357" s="216"/>
      <c r="O357" s="216"/>
      <c r="P357" s="216"/>
      <c r="Q357" s="216"/>
      <c r="R357" s="216"/>
      <c r="S357" s="216"/>
      <c r="T357" s="216"/>
      <c r="U357" s="216"/>
      <c r="V357" s="216"/>
      <c r="W357" s="216"/>
      <c r="X357" s="216"/>
      <c r="Y357" s="216"/>
      <c r="Z357" s="216"/>
    </row>
    <row r="358" spans="1:26" ht="15.75" customHeight="1">
      <c r="A358" s="134" t="s">
        <v>7351</v>
      </c>
      <c r="B358" s="133" t="s">
        <v>141</v>
      </c>
      <c r="C358" s="133" t="s">
        <v>9870</v>
      </c>
      <c r="D358" s="116">
        <v>20</v>
      </c>
      <c r="E358" s="116">
        <v>20</v>
      </c>
      <c r="F358" s="216" t="str">
        <f t="shared" si="17"/>
        <v>Prof.dr.ing. Florea Adrian</v>
      </c>
      <c r="G358" s="1"/>
      <c r="H358" s="1"/>
      <c r="I358" s="216"/>
      <c r="J358" s="216"/>
      <c r="K358" s="216"/>
      <c r="L358" s="216"/>
      <c r="M358" s="216"/>
      <c r="N358" s="216"/>
      <c r="O358" s="216"/>
      <c r="P358" s="216"/>
      <c r="Q358" s="216"/>
      <c r="R358" s="216"/>
      <c r="S358" s="216"/>
      <c r="T358" s="216"/>
      <c r="U358" s="216"/>
      <c r="V358" s="216"/>
      <c r="W358" s="216"/>
      <c r="X358" s="216"/>
      <c r="Y358" s="216"/>
      <c r="Z358" s="216"/>
    </row>
    <row r="359" spans="1:26" ht="15.75" customHeight="1">
      <c r="A359" s="134" t="s">
        <v>7351</v>
      </c>
      <c r="B359" s="133" t="s">
        <v>141</v>
      </c>
      <c r="C359" s="133" t="s">
        <v>9871</v>
      </c>
      <c r="D359" s="116">
        <v>30</v>
      </c>
      <c r="E359" s="116">
        <v>30</v>
      </c>
      <c r="F359" s="216" t="str">
        <f t="shared" si="17"/>
        <v>Prof.dr.ing. Florea Adrian</v>
      </c>
      <c r="G359" s="1"/>
      <c r="H359" s="1"/>
      <c r="I359" s="216"/>
      <c r="J359" s="216"/>
      <c r="K359" s="216"/>
      <c r="L359" s="216"/>
      <c r="M359" s="216"/>
      <c r="N359" s="216"/>
      <c r="O359" s="216"/>
      <c r="P359" s="216"/>
      <c r="Q359" s="216"/>
      <c r="R359" s="216"/>
      <c r="S359" s="216"/>
      <c r="T359" s="216"/>
      <c r="U359" s="216"/>
      <c r="V359" s="216"/>
      <c r="W359" s="216"/>
      <c r="X359" s="216"/>
      <c r="Y359" s="216"/>
      <c r="Z359" s="216"/>
    </row>
    <row r="360" spans="1:26" ht="15.75" customHeight="1">
      <c r="A360" s="134" t="s">
        <v>7351</v>
      </c>
      <c r="B360" s="133" t="s">
        <v>141</v>
      </c>
      <c r="C360" s="133" t="s">
        <v>9872</v>
      </c>
      <c r="D360" s="100">
        <v>30</v>
      </c>
      <c r="E360" s="100">
        <v>30</v>
      </c>
      <c r="F360" s="216" t="str">
        <f t="shared" si="17"/>
        <v>Prof.dr.ing. Florea Adrian</v>
      </c>
      <c r="G360" s="1"/>
      <c r="H360" s="1"/>
      <c r="I360" s="216"/>
      <c r="J360" s="216"/>
      <c r="K360" s="216"/>
      <c r="L360" s="216"/>
      <c r="M360" s="216"/>
      <c r="N360" s="216"/>
      <c r="O360" s="216"/>
      <c r="P360" s="216"/>
      <c r="Q360" s="216"/>
      <c r="R360" s="216"/>
      <c r="S360" s="216"/>
      <c r="T360" s="216"/>
      <c r="U360" s="216"/>
      <c r="V360" s="216"/>
      <c r="W360" s="216"/>
      <c r="X360" s="216"/>
      <c r="Y360" s="216"/>
      <c r="Z360" s="216"/>
    </row>
    <row r="361" spans="1:26" ht="15.75" customHeight="1">
      <c r="A361" s="134" t="s">
        <v>7351</v>
      </c>
      <c r="B361" s="133" t="s">
        <v>141</v>
      </c>
      <c r="C361" s="133" t="s">
        <v>9873</v>
      </c>
      <c r="D361" s="116">
        <v>30</v>
      </c>
      <c r="E361" s="116">
        <v>30</v>
      </c>
      <c r="F361" s="216" t="str">
        <f t="shared" si="17"/>
        <v>Prof.dr.ing. Florea Adrian</v>
      </c>
      <c r="G361" s="1"/>
      <c r="H361" s="1"/>
      <c r="I361" s="216"/>
      <c r="J361" s="216"/>
      <c r="K361" s="216"/>
      <c r="L361" s="216"/>
      <c r="M361" s="216"/>
      <c r="N361" s="216"/>
      <c r="O361" s="216"/>
      <c r="P361" s="216"/>
      <c r="Q361" s="216"/>
      <c r="R361" s="216"/>
      <c r="S361" s="216"/>
      <c r="T361" s="216"/>
      <c r="U361" s="216"/>
      <c r="V361" s="216"/>
      <c r="W361" s="216"/>
      <c r="X361" s="216"/>
      <c r="Y361" s="216"/>
      <c r="Z361" s="216"/>
    </row>
    <row r="362" spans="1:26" ht="15.75" customHeight="1">
      <c r="A362" s="134" t="s">
        <v>7351</v>
      </c>
      <c r="B362" s="133" t="s">
        <v>141</v>
      </c>
      <c r="C362" s="133" t="s">
        <v>9874</v>
      </c>
      <c r="D362" s="116">
        <v>30</v>
      </c>
      <c r="E362" s="116">
        <v>30</v>
      </c>
      <c r="F362" s="216" t="str">
        <f t="shared" si="17"/>
        <v>Prof.dr.ing. Florea Adrian</v>
      </c>
      <c r="G362" s="1"/>
      <c r="H362" s="1"/>
      <c r="I362" s="216"/>
      <c r="J362" s="216"/>
      <c r="K362" s="216"/>
      <c r="L362" s="216"/>
      <c r="M362" s="216"/>
      <c r="N362" s="216"/>
      <c r="O362" s="216"/>
      <c r="P362" s="216"/>
      <c r="Q362" s="216"/>
      <c r="R362" s="216"/>
      <c r="S362" s="216"/>
      <c r="T362" s="216"/>
      <c r="U362" s="216"/>
      <c r="V362" s="216"/>
      <c r="W362" s="216"/>
      <c r="X362" s="216"/>
      <c r="Y362" s="216"/>
      <c r="Z362" s="216"/>
    </row>
    <row r="363" spans="1:26" ht="15.75" customHeight="1">
      <c r="A363" s="134" t="s">
        <v>829</v>
      </c>
      <c r="B363" s="133" t="s">
        <v>141</v>
      </c>
      <c r="C363" s="133" t="s">
        <v>9875</v>
      </c>
      <c r="D363" s="116">
        <v>20</v>
      </c>
      <c r="E363" s="528">
        <v>20</v>
      </c>
      <c r="F363" s="216" t="str">
        <f t="shared" si="17"/>
        <v>Gellert Arpad</v>
      </c>
      <c r="G363" s="1"/>
      <c r="H363" s="1"/>
      <c r="I363" s="216"/>
      <c r="J363" s="216"/>
      <c r="K363" s="216"/>
      <c r="L363" s="216"/>
      <c r="M363" s="216"/>
      <c r="N363" s="216"/>
      <c r="O363" s="216"/>
      <c r="P363" s="216"/>
      <c r="Q363" s="216"/>
      <c r="R363" s="216"/>
      <c r="S363" s="216"/>
      <c r="T363" s="216"/>
      <c r="U363" s="216"/>
      <c r="V363" s="216"/>
      <c r="W363" s="216"/>
      <c r="X363" s="216"/>
      <c r="Y363" s="216"/>
      <c r="Z363" s="216"/>
    </row>
    <row r="364" spans="1:26" ht="15.75" customHeight="1">
      <c r="A364" s="134" t="s">
        <v>829</v>
      </c>
      <c r="B364" s="133" t="s">
        <v>141</v>
      </c>
      <c r="C364" s="133" t="s">
        <v>9876</v>
      </c>
      <c r="D364" s="116">
        <v>30</v>
      </c>
      <c r="E364" s="528">
        <v>30</v>
      </c>
      <c r="F364" s="216" t="str">
        <f t="shared" si="17"/>
        <v>Gellert Arpad</v>
      </c>
      <c r="G364" s="1"/>
      <c r="H364" s="1"/>
      <c r="I364" s="216"/>
      <c r="J364" s="216"/>
      <c r="K364" s="216"/>
      <c r="L364" s="216"/>
      <c r="M364" s="216"/>
      <c r="N364" s="216"/>
      <c r="O364" s="216"/>
      <c r="P364" s="216"/>
      <c r="Q364" s="216"/>
      <c r="R364" s="216"/>
      <c r="S364" s="216"/>
      <c r="T364" s="216"/>
      <c r="U364" s="216"/>
      <c r="V364" s="216"/>
      <c r="W364" s="216"/>
      <c r="X364" s="216"/>
      <c r="Y364" s="216"/>
      <c r="Z364" s="216"/>
    </row>
    <row r="365" spans="1:26" ht="15.75" customHeight="1">
      <c r="A365" s="134" t="s">
        <v>829</v>
      </c>
      <c r="B365" s="133" t="s">
        <v>141</v>
      </c>
      <c r="C365" s="133" t="s">
        <v>9877</v>
      </c>
      <c r="D365" s="116">
        <v>30</v>
      </c>
      <c r="E365" s="528">
        <v>30</v>
      </c>
      <c r="F365" s="216" t="str">
        <f t="shared" si="17"/>
        <v>Gellert Arpad</v>
      </c>
      <c r="G365" s="1"/>
      <c r="H365" s="1"/>
      <c r="I365" s="216"/>
      <c r="J365" s="216"/>
      <c r="K365" s="216"/>
      <c r="L365" s="216"/>
      <c r="M365" s="216"/>
      <c r="N365" s="216"/>
      <c r="O365" s="216"/>
      <c r="P365" s="216"/>
      <c r="Q365" s="216"/>
      <c r="R365" s="216"/>
      <c r="S365" s="216"/>
      <c r="T365" s="216"/>
      <c r="U365" s="216"/>
      <c r="V365" s="216"/>
      <c r="W365" s="216"/>
      <c r="X365" s="216"/>
      <c r="Y365" s="216"/>
      <c r="Z365" s="216"/>
    </row>
    <row r="366" spans="1:26" ht="15.75" customHeight="1">
      <c r="A366" s="134" t="s">
        <v>829</v>
      </c>
      <c r="B366" s="133" t="s">
        <v>141</v>
      </c>
      <c r="C366" s="133" t="s">
        <v>9878</v>
      </c>
      <c r="D366" s="116">
        <v>30</v>
      </c>
      <c r="E366" s="528">
        <v>30</v>
      </c>
      <c r="F366" s="216" t="str">
        <f t="shared" si="17"/>
        <v>Gellert Arpad</v>
      </c>
      <c r="G366" s="1"/>
      <c r="H366" s="1"/>
      <c r="I366" s="216"/>
      <c r="J366" s="216"/>
      <c r="K366" s="216"/>
      <c r="L366" s="216"/>
      <c r="M366" s="216"/>
      <c r="N366" s="216"/>
      <c r="O366" s="216"/>
      <c r="P366" s="216"/>
      <c r="Q366" s="216"/>
      <c r="R366" s="216"/>
      <c r="S366" s="216"/>
      <c r="T366" s="216"/>
      <c r="U366" s="216"/>
      <c r="V366" s="216"/>
      <c r="W366" s="216"/>
      <c r="X366" s="216"/>
      <c r="Y366" s="216"/>
      <c r="Z366" s="216"/>
    </row>
    <row r="367" spans="1:26" ht="15.75" customHeight="1">
      <c r="A367" s="134" t="s">
        <v>829</v>
      </c>
      <c r="B367" s="133" t="s">
        <v>141</v>
      </c>
      <c r="C367" s="133" t="s">
        <v>9879</v>
      </c>
      <c r="D367" s="116">
        <v>30</v>
      </c>
      <c r="E367" s="528">
        <v>30</v>
      </c>
      <c r="F367" s="216" t="str">
        <f t="shared" si="17"/>
        <v>Gellert Arpad</v>
      </c>
      <c r="G367" s="1"/>
      <c r="H367" s="1"/>
      <c r="I367" s="216"/>
      <c r="J367" s="216"/>
      <c r="K367" s="216"/>
      <c r="L367" s="216"/>
      <c r="M367" s="216"/>
      <c r="N367" s="216"/>
      <c r="O367" s="216"/>
      <c r="P367" s="216"/>
      <c r="Q367" s="216"/>
      <c r="R367" s="216"/>
      <c r="S367" s="216"/>
      <c r="T367" s="216"/>
      <c r="U367" s="216"/>
      <c r="V367" s="216"/>
      <c r="W367" s="216"/>
      <c r="X367" s="216"/>
      <c r="Y367" s="216"/>
      <c r="Z367" s="216"/>
    </row>
    <row r="368" spans="1:26" ht="15.75" customHeight="1">
      <c r="A368" s="134" t="s">
        <v>7615</v>
      </c>
      <c r="B368" s="133" t="s">
        <v>141</v>
      </c>
      <c r="C368" s="133" t="s">
        <v>9880</v>
      </c>
      <c r="D368" s="100">
        <v>20</v>
      </c>
      <c r="E368" s="528">
        <f t="shared" ref="E368:E369" si="18">D368</f>
        <v>20</v>
      </c>
      <c r="F368" s="216" t="str">
        <f t="shared" si="17"/>
        <v>ILIE Constantin Beriliu</v>
      </c>
      <c r="G368" s="1"/>
      <c r="H368" s="1"/>
      <c r="I368" s="216"/>
      <c r="J368" s="216"/>
      <c r="K368" s="216"/>
      <c r="L368" s="216"/>
      <c r="M368" s="216"/>
      <c r="N368" s="216"/>
      <c r="O368" s="216"/>
      <c r="P368" s="216"/>
      <c r="Q368" s="216"/>
      <c r="R368" s="216"/>
      <c r="S368" s="216"/>
      <c r="T368" s="216"/>
      <c r="U368" s="216"/>
      <c r="V368" s="216"/>
      <c r="W368" s="216"/>
      <c r="X368" s="216"/>
      <c r="Y368" s="216"/>
      <c r="Z368" s="216"/>
    </row>
    <row r="369" spans="1:26" ht="15.75" customHeight="1">
      <c r="A369" s="134" t="s">
        <v>7615</v>
      </c>
      <c r="B369" s="133" t="s">
        <v>51</v>
      </c>
      <c r="C369" s="133" t="s">
        <v>9881</v>
      </c>
      <c r="D369" s="100">
        <v>20</v>
      </c>
      <c r="E369" s="528">
        <f t="shared" si="18"/>
        <v>20</v>
      </c>
      <c r="F369" s="216" t="str">
        <f t="shared" si="17"/>
        <v>ILIE Constantin Beriliu</v>
      </c>
      <c r="G369" s="1"/>
      <c r="H369" s="1"/>
      <c r="I369" s="216"/>
      <c r="J369" s="216"/>
      <c r="K369" s="216"/>
      <c r="L369" s="216"/>
      <c r="M369" s="216"/>
      <c r="N369" s="216"/>
      <c r="O369" s="216"/>
      <c r="P369" s="216"/>
      <c r="Q369" s="216"/>
      <c r="R369" s="216"/>
      <c r="S369" s="216"/>
      <c r="T369" s="216"/>
      <c r="U369" s="216"/>
      <c r="V369" s="216"/>
      <c r="W369" s="216"/>
      <c r="X369" s="216"/>
      <c r="Y369" s="216"/>
      <c r="Z369" s="216"/>
    </row>
    <row r="370" spans="1:26" ht="15.75" customHeight="1">
      <c r="A370" s="134" t="s">
        <v>3249</v>
      </c>
      <c r="B370" s="133" t="s">
        <v>141</v>
      </c>
      <c r="C370" s="133" t="s">
        <v>9882</v>
      </c>
      <c r="D370" s="100">
        <v>20</v>
      </c>
      <c r="E370" s="528">
        <v>20</v>
      </c>
      <c r="F370" s="216" t="str">
        <f t="shared" si="17"/>
        <v>Morariu Daniel</v>
      </c>
      <c r="G370" s="1"/>
      <c r="H370" s="1"/>
      <c r="I370" s="216"/>
      <c r="J370" s="216"/>
      <c r="K370" s="216"/>
      <c r="L370" s="216"/>
      <c r="M370" s="216"/>
      <c r="N370" s="216"/>
      <c r="O370" s="216"/>
      <c r="P370" s="216"/>
      <c r="Q370" s="216"/>
      <c r="R370" s="216"/>
      <c r="S370" s="216"/>
      <c r="T370" s="216"/>
      <c r="U370" s="216"/>
      <c r="V370" s="216"/>
      <c r="W370" s="216"/>
      <c r="X370" s="216"/>
      <c r="Y370" s="216"/>
      <c r="Z370" s="216"/>
    </row>
    <row r="371" spans="1:26" ht="15.75" customHeight="1">
      <c r="A371" s="134" t="s">
        <v>3249</v>
      </c>
      <c r="B371" s="133" t="s">
        <v>141</v>
      </c>
      <c r="C371" s="133" t="s">
        <v>9883</v>
      </c>
      <c r="D371" s="116">
        <v>20</v>
      </c>
      <c r="E371" s="528">
        <v>20</v>
      </c>
      <c r="F371" s="216" t="str">
        <f t="shared" si="17"/>
        <v>Morariu Daniel</v>
      </c>
      <c r="G371" s="1"/>
      <c r="H371" s="1"/>
      <c r="I371" s="216"/>
      <c r="J371" s="216"/>
      <c r="K371" s="216"/>
      <c r="L371" s="216"/>
      <c r="M371" s="216"/>
      <c r="N371" s="216"/>
      <c r="O371" s="216"/>
      <c r="P371" s="216"/>
      <c r="Q371" s="216"/>
      <c r="R371" s="216"/>
      <c r="S371" s="216"/>
      <c r="T371" s="216"/>
      <c r="U371" s="216"/>
      <c r="V371" s="216"/>
      <c r="W371" s="216"/>
      <c r="X371" s="216"/>
      <c r="Y371" s="216"/>
      <c r="Z371" s="216"/>
    </row>
    <row r="372" spans="1:26" ht="15.75" customHeight="1">
      <c r="A372" s="134" t="s">
        <v>3249</v>
      </c>
      <c r="B372" s="133" t="s">
        <v>141</v>
      </c>
      <c r="C372" s="133" t="s">
        <v>9884</v>
      </c>
      <c r="D372" s="116">
        <v>20</v>
      </c>
      <c r="E372" s="528">
        <v>20</v>
      </c>
      <c r="F372" s="216" t="str">
        <f t="shared" si="17"/>
        <v>Morariu Daniel</v>
      </c>
      <c r="G372" s="1"/>
      <c r="H372" s="1"/>
      <c r="I372" s="216"/>
      <c r="J372" s="216"/>
      <c r="K372" s="216"/>
      <c r="L372" s="216"/>
      <c r="M372" s="216"/>
      <c r="N372" s="216"/>
      <c r="O372" s="216"/>
      <c r="P372" s="216"/>
      <c r="Q372" s="216"/>
      <c r="R372" s="216"/>
      <c r="S372" s="216"/>
      <c r="T372" s="216"/>
      <c r="U372" s="216"/>
      <c r="V372" s="216"/>
      <c r="W372" s="216"/>
      <c r="X372" s="216"/>
      <c r="Y372" s="216"/>
      <c r="Z372" s="216"/>
    </row>
    <row r="373" spans="1:26" ht="15.75" customHeight="1">
      <c r="A373" s="134" t="s">
        <v>3249</v>
      </c>
      <c r="B373" s="133" t="s">
        <v>141</v>
      </c>
      <c r="C373" s="133" t="s">
        <v>9885</v>
      </c>
      <c r="D373" s="116">
        <v>20</v>
      </c>
      <c r="E373" s="528">
        <v>20</v>
      </c>
      <c r="F373" s="216" t="str">
        <f t="shared" si="17"/>
        <v>Morariu Daniel</v>
      </c>
      <c r="G373" s="1"/>
      <c r="H373" s="1"/>
      <c r="I373" s="216"/>
      <c r="J373" s="216"/>
      <c r="K373" s="216"/>
      <c r="L373" s="216"/>
      <c r="M373" s="216"/>
      <c r="N373" s="216"/>
      <c r="O373" s="216"/>
      <c r="P373" s="216"/>
      <c r="Q373" s="216"/>
      <c r="R373" s="216"/>
      <c r="S373" s="216"/>
      <c r="T373" s="216"/>
      <c r="U373" s="216"/>
      <c r="V373" s="216"/>
      <c r="W373" s="216"/>
      <c r="X373" s="216"/>
      <c r="Y373" s="216"/>
      <c r="Z373" s="216"/>
    </row>
    <row r="374" spans="1:26" ht="15.75" customHeight="1">
      <c r="A374" s="134" t="s">
        <v>3249</v>
      </c>
      <c r="B374" s="133" t="s">
        <v>141</v>
      </c>
      <c r="C374" s="133" t="s">
        <v>9886</v>
      </c>
      <c r="D374" s="116">
        <v>20</v>
      </c>
      <c r="E374" s="528">
        <v>20</v>
      </c>
      <c r="F374" s="216" t="str">
        <f t="shared" si="17"/>
        <v>Morariu Daniel</v>
      </c>
      <c r="G374" s="1"/>
      <c r="H374" s="1"/>
      <c r="I374" s="216"/>
      <c r="J374" s="216"/>
      <c r="K374" s="216"/>
      <c r="L374" s="216"/>
      <c r="M374" s="216"/>
      <c r="N374" s="216"/>
      <c r="O374" s="216"/>
      <c r="P374" s="216"/>
      <c r="Q374" s="216"/>
      <c r="R374" s="216"/>
      <c r="S374" s="216"/>
      <c r="T374" s="216"/>
      <c r="U374" s="216"/>
      <c r="V374" s="216"/>
      <c r="W374" s="216"/>
      <c r="X374" s="216"/>
      <c r="Y374" s="216"/>
      <c r="Z374" s="216"/>
    </row>
    <row r="375" spans="1:26" ht="15.75" customHeight="1">
      <c r="A375" s="134" t="s">
        <v>3249</v>
      </c>
      <c r="B375" s="133" t="s">
        <v>141</v>
      </c>
      <c r="C375" s="133" t="s">
        <v>9887</v>
      </c>
      <c r="D375" s="100">
        <v>20</v>
      </c>
      <c r="E375" s="528">
        <v>20</v>
      </c>
      <c r="F375" s="216" t="str">
        <f t="shared" si="17"/>
        <v>Morariu Daniel</v>
      </c>
      <c r="G375" s="1"/>
      <c r="H375" s="1"/>
      <c r="I375" s="216"/>
      <c r="J375" s="216"/>
      <c r="K375" s="216"/>
      <c r="L375" s="216"/>
      <c r="M375" s="216"/>
      <c r="N375" s="216"/>
      <c r="O375" s="216"/>
      <c r="P375" s="216"/>
      <c r="Q375" s="216"/>
      <c r="R375" s="216"/>
      <c r="S375" s="216"/>
      <c r="T375" s="216"/>
      <c r="U375" s="216"/>
      <c r="V375" s="216"/>
      <c r="W375" s="216"/>
      <c r="X375" s="216"/>
      <c r="Y375" s="216"/>
      <c r="Z375" s="216"/>
    </row>
    <row r="376" spans="1:26" ht="15.75" customHeight="1">
      <c r="A376" s="134" t="s">
        <v>3249</v>
      </c>
      <c r="B376" s="133" t="s">
        <v>141</v>
      </c>
      <c r="C376" s="133" t="s">
        <v>9888</v>
      </c>
      <c r="D376" s="100">
        <v>30</v>
      </c>
      <c r="E376" s="528">
        <v>30</v>
      </c>
      <c r="F376" s="216" t="str">
        <f t="shared" si="17"/>
        <v>Morariu Daniel</v>
      </c>
      <c r="G376" s="1"/>
      <c r="H376" s="1"/>
      <c r="I376" s="216"/>
      <c r="J376" s="216"/>
      <c r="K376" s="216"/>
      <c r="L376" s="216"/>
      <c r="M376" s="216"/>
      <c r="N376" s="216"/>
      <c r="O376" s="216"/>
      <c r="P376" s="216"/>
      <c r="Q376" s="216"/>
      <c r="R376" s="216"/>
      <c r="S376" s="216"/>
      <c r="T376" s="216"/>
      <c r="U376" s="216"/>
      <c r="V376" s="216"/>
      <c r="W376" s="216"/>
      <c r="X376" s="216"/>
      <c r="Y376" s="216"/>
      <c r="Z376" s="216"/>
    </row>
    <row r="377" spans="1:26" ht="15.75" customHeight="1">
      <c r="A377" s="134" t="s">
        <v>3249</v>
      </c>
      <c r="B377" s="133" t="s">
        <v>141</v>
      </c>
      <c r="C377" s="133" t="s">
        <v>9889</v>
      </c>
      <c r="D377" s="116">
        <v>30</v>
      </c>
      <c r="E377" s="528">
        <v>30</v>
      </c>
      <c r="F377" s="216" t="str">
        <f t="shared" si="17"/>
        <v>Morariu Daniel</v>
      </c>
      <c r="G377" s="1"/>
      <c r="H377" s="1"/>
      <c r="I377" s="216"/>
      <c r="J377" s="216"/>
      <c r="K377" s="216"/>
      <c r="L377" s="216"/>
      <c r="M377" s="216"/>
      <c r="N377" s="216"/>
      <c r="O377" s="216"/>
      <c r="P377" s="216"/>
      <c r="Q377" s="216"/>
      <c r="R377" s="216"/>
      <c r="S377" s="216"/>
      <c r="T377" s="216"/>
      <c r="U377" s="216"/>
      <c r="V377" s="216"/>
      <c r="W377" s="216"/>
      <c r="X377" s="216"/>
      <c r="Y377" s="216"/>
      <c r="Z377" s="216"/>
    </row>
    <row r="378" spans="1:26" ht="15.75" customHeight="1">
      <c r="A378" s="134" t="s">
        <v>3249</v>
      </c>
      <c r="B378" s="133" t="s">
        <v>141</v>
      </c>
      <c r="C378" s="133" t="s">
        <v>9890</v>
      </c>
      <c r="D378" s="100">
        <v>30</v>
      </c>
      <c r="E378" s="528">
        <v>30</v>
      </c>
      <c r="F378" s="216" t="str">
        <f t="shared" si="17"/>
        <v>Morariu Daniel</v>
      </c>
      <c r="G378" s="1"/>
      <c r="H378" s="1"/>
      <c r="I378" s="216"/>
      <c r="J378" s="216"/>
      <c r="K378" s="216"/>
      <c r="L378" s="216"/>
      <c r="M378" s="216"/>
      <c r="N378" s="216"/>
      <c r="O378" s="216"/>
      <c r="P378" s="216"/>
      <c r="Q378" s="216"/>
      <c r="R378" s="216"/>
      <c r="S378" s="216"/>
      <c r="T378" s="216"/>
      <c r="U378" s="216"/>
      <c r="V378" s="216"/>
      <c r="W378" s="216"/>
      <c r="X378" s="216"/>
      <c r="Y378" s="216"/>
      <c r="Z378" s="216"/>
    </row>
    <row r="379" spans="1:26" ht="15.75" customHeight="1">
      <c r="A379" s="134" t="s">
        <v>3249</v>
      </c>
      <c r="B379" s="133" t="s">
        <v>141</v>
      </c>
      <c r="C379" s="133" t="s">
        <v>9891</v>
      </c>
      <c r="D379" s="116">
        <v>30</v>
      </c>
      <c r="E379" s="528">
        <v>30</v>
      </c>
      <c r="F379" s="216" t="str">
        <f t="shared" si="17"/>
        <v>Morariu Daniel</v>
      </c>
      <c r="G379" s="1"/>
      <c r="H379" s="1"/>
      <c r="I379" s="216"/>
      <c r="J379" s="216"/>
      <c r="K379" s="216"/>
      <c r="L379" s="216"/>
      <c r="M379" s="216"/>
      <c r="N379" s="216"/>
      <c r="O379" s="216"/>
      <c r="P379" s="216"/>
      <c r="Q379" s="216"/>
      <c r="R379" s="216"/>
      <c r="S379" s="216"/>
      <c r="T379" s="216"/>
      <c r="U379" s="216"/>
      <c r="V379" s="216"/>
      <c r="W379" s="216"/>
      <c r="X379" s="216"/>
      <c r="Y379" s="216"/>
      <c r="Z379" s="216"/>
    </row>
    <row r="380" spans="1:26" ht="15.75" customHeight="1">
      <c r="A380" s="134" t="s">
        <v>1261</v>
      </c>
      <c r="B380" s="133" t="s">
        <v>141</v>
      </c>
      <c r="C380" s="133" t="s">
        <v>9892</v>
      </c>
      <c r="D380" s="116">
        <v>20</v>
      </c>
      <c r="E380" s="528">
        <v>20</v>
      </c>
      <c r="F380" s="216" t="str">
        <f t="shared" si="17"/>
        <v>Neghină Cătălina</v>
      </c>
      <c r="G380" s="1"/>
      <c r="H380" s="1"/>
      <c r="I380" s="216"/>
      <c r="J380" s="216"/>
      <c r="K380" s="216"/>
      <c r="L380" s="216"/>
      <c r="M380" s="216"/>
      <c r="N380" s="216"/>
      <c r="O380" s="216"/>
      <c r="P380" s="216"/>
      <c r="Q380" s="216"/>
      <c r="R380" s="216"/>
      <c r="S380" s="216"/>
      <c r="T380" s="216"/>
      <c r="U380" s="216"/>
      <c r="V380" s="216"/>
      <c r="W380" s="216"/>
      <c r="X380" s="216"/>
      <c r="Y380" s="216"/>
      <c r="Z380" s="216"/>
    </row>
    <row r="381" spans="1:26" ht="15.75" customHeight="1">
      <c r="A381" s="134" t="s">
        <v>1261</v>
      </c>
      <c r="B381" s="133" t="s">
        <v>141</v>
      </c>
      <c r="C381" s="133" t="s">
        <v>9893</v>
      </c>
      <c r="D381" s="116">
        <v>20</v>
      </c>
      <c r="E381" s="528">
        <v>20</v>
      </c>
      <c r="F381" s="216" t="str">
        <f t="shared" si="17"/>
        <v>Neghină Cătălina</v>
      </c>
      <c r="G381" s="1"/>
      <c r="H381" s="1"/>
      <c r="I381" s="216"/>
      <c r="J381" s="216"/>
      <c r="K381" s="216"/>
      <c r="L381" s="216"/>
      <c r="M381" s="216"/>
      <c r="N381" s="216"/>
      <c r="O381" s="216"/>
      <c r="P381" s="216"/>
      <c r="Q381" s="216"/>
      <c r="R381" s="216"/>
      <c r="S381" s="216"/>
      <c r="T381" s="216"/>
      <c r="U381" s="216"/>
      <c r="V381" s="216"/>
      <c r="W381" s="216"/>
      <c r="X381" s="216"/>
      <c r="Y381" s="216"/>
      <c r="Z381" s="216"/>
    </row>
    <row r="382" spans="1:26" ht="15.75" customHeight="1">
      <c r="A382" s="134" t="s">
        <v>1261</v>
      </c>
      <c r="B382" s="133" t="s">
        <v>141</v>
      </c>
      <c r="C382" s="133" t="s">
        <v>9894</v>
      </c>
      <c r="D382" s="116">
        <v>20</v>
      </c>
      <c r="E382" s="528">
        <v>20</v>
      </c>
      <c r="F382" s="216" t="str">
        <f t="shared" si="17"/>
        <v>Neghină Cătălina</v>
      </c>
      <c r="G382" s="1"/>
      <c r="H382" s="1"/>
      <c r="I382" s="216"/>
      <c r="J382" s="216"/>
      <c r="K382" s="216"/>
      <c r="L382" s="216"/>
      <c r="M382" s="216"/>
      <c r="N382" s="216"/>
      <c r="O382" s="216"/>
      <c r="P382" s="216"/>
      <c r="Q382" s="216"/>
      <c r="R382" s="216"/>
      <c r="S382" s="216"/>
      <c r="T382" s="216"/>
      <c r="U382" s="216"/>
      <c r="V382" s="216"/>
      <c r="W382" s="216"/>
      <c r="X382" s="216"/>
      <c r="Y382" s="216"/>
      <c r="Z382" s="216"/>
    </row>
    <row r="383" spans="1:26" ht="15.75" customHeight="1">
      <c r="A383" s="134" t="s">
        <v>1261</v>
      </c>
      <c r="B383" s="133" t="s">
        <v>141</v>
      </c>
      <c r="C383" s="1185" t="s">
        <v>9895</v>
      </c>
      <c r="D383" s="116">
        <v>20</v>
      </c>
      <c r="E383" s="528">
        <v>20</v>
      </c>
      <c r="F383" s="216" t="str">
        <f t="shared" si="17"/>
        <v>Neghină Cătălina</v>
      </c>
      <c r="G383" s="1"/>
      <c r="H383" s="1"/>
      <c r="I383" s="216"/>
      <c r="J383" s="216"/>
      <c r="K383" s="216"/>
      <c r="L383" s="216"/>
      <c r="M383" s="216"/>
      <c r="N383" s="216"/>
      <c r="O383" s="216"/>
      <c r="P383" s="216"/>
      <c r="Q383" s="216"/>
      <c r="R383" s="216"/>
      <c r="S383" s="216"/>
      <c r="T383" s="216"/>
      <c r="U383" s="216"/>
      <c r="V383" s="216"/>
      <c r="W383" s="216"/>
      <c r="X383" s="216"/>
      <c r="Y383" s="216"/>
      <c r="Z383" s="216"/>
    </row>
    <row r="384" spans="1:26" ht="15.75" customHeight="1">
      <c r="A384" s="134" t="s">
        <v>1261</v>
      </c>
      <c r="B384" s="133" t="s">
        <v>141</v>
      </c>
      <c r="C384" s="133" t="s">
        <v>9896</v>
      </c>
      <c r="D384" s="116">
        <v>20</v>
      </c>
      <c r="E384" s="528">
        <v>20</v>
      </c>
      <c r="F384" s="216" t="str">
        <f t="shared" si="17"/>
        <v>Neghină Cătălina</v>
      </c>
      <c r="G384" s="1"/>
      <c r="H384" s="1"/>
      <c r="I384" s="216"/>
      <c r="J384" s="216"/>
      <c r="K384" s="216"/>
      <c r="L384" s="216"/>
      <c r="M384" s="216"/>
      <c r="N384" s="216"/>
      <c r="O384" s="216"/>
      <c r="P384" s="216"/>
      <c r="Q384" s="216"/>
      <c r="R384" s="216"/>
      <c r="S384" s="216"/>
      <c r="T384" s="216"/>
      <c r="U384" s="216"/>
      <c r="V384" s="216"/>
      <c r="W384" s="216"/>
      <c r="X384" s="216"/>
      <c r="Y384" s="216"/>
      <c r="Z384" s="216"/>
    </row>
    <row r="385" spans="1:26" ht="15.75" customHeight="1">
      <c r="A385" s="134" t="s">
        <v>1261</v>
      </c>
      <c r="B385" s="133" t="s">
        <v>141</v>
      </c>
      <c r="C385" s="1186" t="s">
        <v>9897</v>
      </c>
      <c r="D385" s="116">
        <v>30</v>
      </c>
      <c r="E385" s="528">
        <v>30</v>
      </c>
      <c r="F385" s="216" t="str">
        <f t="shared" si="17"/>
        <v>Neghină Cătălina</v>
      </c>
      <c r="G385" s="1"/>
      <c r="H385" s="1"/>
      <c r="I385" s="216"/>
      <c r="J385" s="216"/>
      <c r="K385" s="216"/>
      <c r="L385" s="216"/>
      <c r="M385" s="216"/>
      <c r="N385" s="216"/>
      <c r="O385" s="216"/>
      <c r="P385" s="216"/>
      <c r="Q385" s="216"/>
      <c r="R385" s="216"/>
      <c r="S385" s="216"/>
      <c r="T385" s="216"/>
      <c r="U385" s="216"/>
      <c r="V385" s="216"/>
      <c r="W385" s="216"/>
      <c r="X385" s="216"/>
      <c r="Y385" s="216"/>
      <c r="Z385" s="216"/>
    </row>
    <row r="386" spans="1:26" ht="15.75" customHeight="1">
      <c r="A386" s="134" t="s">
        <v>1272</v>
      </c>
      <c r="B386" s="133" t="s">
        <v>141</v>
      </c>
      <c r="C386" s="1187" t="s">
        <v>9898</v>
      </c>
      <c r="D386" s="100">
        <v>20</v>
      </c>
      <c r="E386" s="528">
        <v>20</v>
      </c>
      <c r="F386" s="216" t="str">
        <f t="shared" si="17"/>
        <v>Zamfirescu Bălă-Constantin</v>
      </c>
      <c r="G386" s="1"/>
      <c r="H386" s="1"/>
      <c r="I386" s="216"/>
      <c r="J386" s="216"/>
      <c r="K386" s="216"/>
      <c r="L386" s="216"/>
      <c r="M386" s="216"/>
      <c r="N386" s="216"/>
      <c r="O386" s="216"/>
      <c r="P386" s="216"/>
      <c r="Q386" s="216"/>
      <c r="R386" s="216"/>
      <c r="S386" s="216"/>
      <c r="T386" s="216"/>
      <c r="U386" s="216"/>
      <c r="V386" s="216"/>
      <c r="W386" s="216"/>
      <c r="X386" s="216"/>
      <c r="Y386" s="216"/>
      <c r="Z386" s="216"/>
    </row>
    <row r="387" spans="1:26" ht="15.75" customHeight="1">
      <c r="A387" s="134" t="s">
        <v>1273</v>
      </c>
      <c r="B387" s="133" t="s">
        <v>141</v>
      </c>
      <c r="C387" s="133" t="s">
        <v>9899</v>
      </c>
      <c r="D387" s="100">
        <v>20</v>
      </c>
      <c r="E387" s="528">
        <v>20</v>
      </c>
      <c r="F387" s="216" t="str">
        <f t="shared" si="17"/>
        <v>Mihai Neghina</v>
      </c>
      <c r="G387" s="1"/>
      <c r="H387" s="1"/>
      <c r="I387" s="216"/>
      <c r="J387" s="216"/>
      <c r="K387" s="216"/>
      <c r="L387" s="216"/>
      <c r="M387" s="216"/>
      <c r="N387" s="216"/>
      <c r="O387" s="216"/>
      <c r="P387" s="216"/>
      <c r="Q387" s="216"/>
      <c r="R387" s="216"/>
      <c r="S387" s="216"/>
      <c r="T387" s="216"/>
      <c r="U387" s="216"/>
      <c r="V387" s="216"/>
      <c r="W387" s="216"/>
      <c r="X387" s="216"/>
      <c r="Y387" s="216"/>
      <c r="Z387" s="216"/>
    </row>
    <row r="388" spans="1:26" ht="15.75" customHeight="1">
      <c r="A388" s="134" t="s">
        <v>1273</v>
      </c>
      <c r="B388" s="133" t="s">
        <v>141</v>
      </c>
      <c r="C388" s="133" t="s">
        <v>9900</v>
      </c>
      <c r="D388" s="100">
        <v>20</v>
      </c>
      <c r="E388" s="528">
        <v>20</v>
      </c>
      <c r="F388" s="216" t="str">
        <f t="shared" si="17"/>
        <v>Mihai Neghina</v>
      </c>
      <c r="G388" s="1"/>
      <c r="H388" s="1"/>
      <c r="I388" s="216"/>
      <c r="J388" s="216"/>
      <c r="K388" s="216"/>
      <c r="L388" s="216"/>
      <c r="M388" s="216"/>
      <c r="N388" s="216"/>
      <c r="O388" s="216"/>
      <c r="P388" s="216"/>
      <c r="Q388" s="216"/>
      <c r="R388" s="216"/>
      <c r="S388" s="216"/>
      <c r="T388" s="216"/>
      <c r="U388" s="216"/>
      <c r="V388" s="216"/>
      <c r="W388" s="216"/>
      <c r="X388" s="216"/>
      <c r="Y388" s="216"/>
      <c r="Z388" s="216"/>
    </row>
    <row r="389" spans="1:26" ht="15.75" customHeight="1">
      <c r="A389" s="134" t="s">
        <v>1273</v>
      </c>
      <c r="B389" s="133" t="s">
        <v>141</v>
      </c>
      <c r="C389" s="133" t="s">
        <v>9901</v>
      </c>
      <c r="D389" s="100">
        <v>20</v>
      </c>
      <c r="E389" s="528">
        <v>20</v>
      </c>
      <c r="F389" s="216" t="str">
        <f t="shared" si="17"/>
        <v>Mihai Neghina</v>
      </c>
      <c r="G389" s="1"/>
      <c r="H389" s="1"/>
      <c r="I389" s="216"/>
      <c r="J389" s="216"/>
      <c r="K389" s="216"/>
      <c r="L389" s="216"/>
      <c r="M389" s="216"/>
      <c r="N389" s="216"/>
      <c r="O389" s="216"/>
      <c r="P389" s="216"/>
      <c r="Q389" s="216"/>
      <c r="R389" s="216"/>
      <c r="S389" s="216"/>
      <c r="T389" s="216"/>
      <c r="U389" s="216"/>
      <c r="V389" s="216"/>
      <c r="W389" s="216"/>
      <c r="X389" s="216"/>
      <c r="Y389" s="216"/>
      <c r="Z389" s="216"/>
    </row>
    <row r="390" spans="1:26" ht="15.75" customHeight="1">
      <c r="A390" s="134" t="s">
        <v>1273</v>
      </c>
      <c r="B390" s="133" t="s">
        <v>141</v>
      </c>
      <c r="C390" s="133" t="s">
        <v>9902</v>
      </c>
      <c r="D390" s="100">
        <v>20</v>
      </c>
      <c r="E390" s="528">
        <v>20</v>
      </c>
      <c r="F390" s="216" t="str">
        <f t="shared" si="17"/>
        <v>Mihai Neghina</v>
      </c>
      <c r="G390" s="1"/>
      <c r="H390" s="1"/>
      <c r="I390" s="216"/>
      <c r="J390" s="216"/>
      <c r="K390" s="216"/>
      <c r="L390" s="216"/>
      <c r="M390" s="216"/>
      <c r="N390" s="216"/>
      <c r="O390" s="216"/>
      <c r="P390" s="216"/>
      <c r="Q390" s="216"/>
      <c r="R390" s="216"/>
      <c r="S390" s="216"/>
      <c r="T390" s="216"/>
      <c r="U390" s="216"/>
      <c r="V390" s="216"/>
      <c r="W390" s="216"/>
      <c r="X390" s="216"/>
      <c r="Y390" s="216"/>
      <c r="Z390" s="216"/>
    </row>
    <row r="391" spans="1:26" ht="15.75" customHeight="1">
      <c r="A391" s="134" t="s">
        <v>3415</v>
      </c>
      <c r="B391" s="108" t="s">
        <v>141</v>
      </c>
      <c r="C391" s="1188" t="s">
        <v>9903</v>
      </c>
      <c r="D391" s="100">
        <v>20</v>
      </c>
      <c r="E391" s="528">
        <v>20</v>
      </c>
      <c r="F391" s="216" t="str">
        <f t="shared" si="17"/>
        <v>Panu Mihai</v>
      </c>
      <c r="G391" s="1"/>
      <c r="H391" s="1"/>
      <c r="I391" s="216"/>
      <c r="J391" s="216"/>
      <c r="K391" s="216"/>
      <c r="L391" s="216"/>
      <c r="M391" s="216"/>
      <c r="N391" s="216"/>
      <c r="O391" s="216"/>
      <c r="P391" s="216"/>
      <c r="Q391" s="216"/>
      <c r="R391" s="216"/>
      <c r="S391" s="216"/>
      <c r="T391" s="216"/>
      <c r="U391" s="216"/>
      <c r="V391" s="216"/>
      <c r="W391" s="216"/>
      <c r="X391" s="216"/>
      <c r="Y391" s="216"/>
      <c r="Z391" s="216"/>
    </row>
    <row r="392" spans="1:26" ht="15.75" customHeight="1">
      <c r="A392" s="134" t="s">
        <v>3415</v>
      </c>
      <c r="B392" s="108" t="s">
        <v>141</v>
      </c>
      <c r="C392" s="1188" t="s">
        <v>9904</v>
      </c>
      <c r="D392" s="100">
        <v>20</v>
      </c>
      <c r="E392" s="528">
        <v>20</v>
      </c>
      <c r="F392" s="216" t="str">
        <f t="shared" si="17"/>
        <v>Panu Mihai</v>
      </c>
      <c r="G392" s="1"/>
      <c r="H392" s="1"/>
      <c r="I392" s="216"/>
      <c r="J392" s="216"/>
      <c r="K392" s="216"/>
      <c r="L392" s="216"/>
      <c r="M392" s="216"/>
      <c r="N392" s="216"/>
      <c r="O392" s="216"/>
      <c r="P392" s="216"/>
      <c r="Q392" s="216"/>
      <c r="R392" s="216"/>
      <c r="S392" s="216"/>
      <c r="T392" s="216"/>
      <c r="U392" s="216"/>
      <c r="V392" s="216"/>
      <c r="W392" s="216"/>
      <c r="X392" s="216"/>
      <c r="Y392" s="216"/>
      <c r="Z392" s="216"/>
    </row>
    <row r="393" spans="1:26" ht="15.75" customHeight="1">
      <c r="A393" s="134" t="s">
        <v>3415</v>
      </c>
      <c r="B393" s="108" t="s">
        <v>141</v>
      </c>
      <c r="C393" s="1189" t="s">
        <v>9905</v>
      </c>
      <c r="D393" s="100">
        <v>20</v>
      </c>
      <c r="E393" s="528">
        <v>20</v>
      </c>
      <c r="F393" s="216" t="str">
        <f t="shared" si="17"/>
        <v>Panu Mihai</v>
      </c>
      <c r="G393" s="1"/>
      <c r="H393" s="1"/>
      <c r="I393" s="216"/>
      <c r="J393" s="216"/>
      <c r="K393" s="216"/>
      <c r="L393" s="216"/>
      <c r="M393" s="216"/>
      <c r="N393" s="216"/>
      <c r="O393" s="216"/>
      <c r="P393" s="216"/>
      <c r="Q393" s="216"/>
      <c r="R393" s="216"/>
      <c r="S393" s="216"/>
      <c r="T393" s="216"/>
      <c r="U393" s="216"/>
      <c r="V393" s="216"/>
      <c r="W393" s="216"/>
      <c r="X393" s="216"/>
      <c r="Y393" s="216"/>
      <c r="Z393" s="216"/>
    </row>
    <row r="394" spans="1:26" ht="15.75" customHeight="1">
      <c r="A394" s="134" t="s">
        <v>3415</v>
      </c>
      <c r="B394" s="108" t="s">
        <v>141</v>
      </c>
      <c r="C394" s="1189" t="s">
        <v>9906</v>
      </c>
      <c r="D394" s="100">
        <v>20</v>
      </c>
      <c r="E394" s="528">
        <v>20</v>
      </c>
      <c r="F394" s="216" t="str">
        <f t="shared" si="17"/>
        <v>Panu Mihai</v>
      </c>
      <c r="G394" s="1"/>
      <c r="H394" s="1"/>
      <c r="I394" s="216"/>
      <c r="J394" s="216"/>
      <c r="K394" s="216"/>
      <c r="L394" s="216"/>
      <c r="M394" s="216"/>
      <c r="N394" s="216"/>
      <c r="O394" s="216"/>
      <c r="P394" s="216"/>
      <c r="Q394" s="216"/>
      <c r="R394" s="216"/>
      <c r="S394" s="216"/>
      <c r="T394" s="216"/>
      <c r="U394" s="216"/>
      <c r="V394" s="216"/>
      <c r="W394" s="216"/>
      <c r="X394" s="216"/>
      <c r="Y394" s="216"/>
      <c r="Z394" s="216"/>
    </row>
    <row r="395" spans="1:26" ht="15.75" customHeight="1">
      <c r="A395" s="134" t="s">
        <v>3415</v>
      </c>
      <c r="B395" s="108" t="s">
        <v>141</v>
      </c>
      <c r="C395" s="1189" t="s">
        <v>9907</v>
      </c>
      <c r="D395" s="100">
        <v>20</v>
      </c>
      <c r="E395" s="528">
        <v>20</v>
      </c>
      <c r="F395" s="216" t="str">
        <f t="shared" si="17"/>
        <v>Panu Mihai</v>
      </c>
      <c r="G395" s="1"/>
      <c r="H395" s="1"/>
      <c r="I395" s="216"/>
      <c r="J395" s="216"/>
      <c r="K395" s="216"/>
      <c r="L395" s="216"/>
      <c r="M395" s="216"/>
      <c r="N395" s="216"/>
      <c r="O395" s="216"/>
      <c r="P395" s="216"/>
      <c r="Q395" s="216"/>
      <c r="R395" s="216"/>
      <c r="S395" s="216"/>
      <c r="T395" s="216"/>
      <c r="U395" s="216"/>
      <c r="V395" s="216"/>
      <c r="W395" s="216"/>
      <c r="X395" s="216"/>
      <c r="Y395" s="216"/>
      <c r="Z395" s="216"/>
    </row>
    <row r="396" spans="1:26" ht="15.75" customHeight="1">
      <c r="A396" s="134" t="s">
        <v>3415</v>
      </c>
      <c r="B396" s="108" t="s">
        <v>141</v>
      </c>
      <c r="C396" s="1189" t="s">
        <v>9908</v>
      </c>
      <c r="D396" s="100">
        <v>20</v>
      </c>
      <c r="E396" s="528">
        <v>20</v>
      </c>
      <c r="F396" s="216" t="str">
        <f t="shared" si="17"/>
        <v>Panu Mihai</v>
      </c>
      <c r="G396" s="1"/>
      <c r="H396" s="1"/>
      <c r="I396" s="216"/>
      <c r="J396" s="216"/>
      <c r="K396" s="216"/>
      <c r="L396" s="216"/>
      <c r="M396" s="216"/>
      <c r="N396" s="216"/>
      <c r="O396" s="216"/>
      <c r="P396" s="216"/>
      <c r="Q396" s="216"/>
      <c r="R396" s="216"/>
      <c r="S396" s="216"/>
      <c r="T396" s="216"/>
      <c r="U396" s="216"/>
      <c r="V396" s="216"/>
      <c r="W396" s="216"/>
      <c r="X396" s="216"/>
      <c r="Y396" s="216"/>
      <c r="Z396" s="216"/>
    </row>
    <row r="397" spans="1:26" ht="15.75" customHeight="1">
      <c r="A397" s="134" t="s">
        <v>3415</v>
      </c>
      <c r="B397" s="108" t="s">
        <v>141</v>
      </c>
      <c r="C397" s="1189" t="s">
        <v>9909</v>
      </c>
      <c r="D397" s="100">
        <v>20</v>
      </c>
      <c r="E397" s="528">
        <v>20</v>
      </c>
      <c r="F397" s="216" t="str">
        <f t="shared" si="17"/>
        <v>Panu Mihai</v>
      </c>
      <c r="G397" s="1"/>
      <c r="H397" s="1"/>
      <c r="I397" s="216"/>
      <c r="J397" s="216"/>
      <c r="K397" s="216"/>
      <c r="L397" s="216"/>
      <c r="M397" s="216"/>
      <c r="N397" s="216"/>
      <c r="O397" s="216"/>
      <c r="P397" s="216"/>
      <c r="Q397" s="216"/>
      <c r="R397" s="216"/>
      <c r="S397" s="216"/>
      <c r="T397" s="216"/>
      <c r="U397" s="216"/>
      <c r="V397" s="216"/>
      <c r="W397" s="216"/>
      <c r="X397" s="216"/>
      <c r="Y397" s="216"/>
      <c r="Z397" s="216"/>
    </row>
    <row r="398" spans="1:26" ht="15.75" customHeight="1">
      <c r="A398" s="134" t="s">
        <v>3415</v>
      </c>
      <c r="B398" s="108" t="s">
        <v>141</v>
      </c>
      <c r="C398" s="1189" t="s">
        <v>9910</v>
      </c>
      <c r="D398" s="100">
        <v>20</v>
      </c>
      <c r="E398" s="528">
        <v>20</v>
      </c>
      <c r="F398" s="216" t="str">
        <f t="shared" si="17"/>
        <v>Panu Mihai</v>
      </c>
      <c r="G398" s="1"/>
      <c r="H398" s="1"/>
      <c r="I398" s="216"/>
      <c r="J398" s="216"/>
      <c r="K398" s="216"/>
      <c r="L398" s="216"/>
      <c r="M398" s="216"/>
      <c r="N398" s="216"/>
      <c r="O398" s="216"/>
      <c r="P398" s="216"/>
      <c r="Q398" s="216"/>
      <c r="R398" s="216"/>
      <c r="S398" s="216"/>
      <c r="T398" s="216"/>
      <c r="U398" s="216"/>
      <c r="V398" s="216"/>
      <c r="W398" s="216"/>
      <c r="X398" s="216"/>
      <c r="Y398" s="216"/>
      <c r="Z398" s="216"/>
    </row>
    <row r="399" spans="1:26" ht="15.75" customHeight="1">
      <c r="A399" s="134" t="s">
        <v>3415</v>
      </c>
      <c r="B399" s="108" t="s">
        <v>141</v>
      </c>
      <c r="C399" s="1189" t="s">
        <v>9911</v>
      </c>
      <c r="D399" s="100">
        <v>20</v>
      </c>
      <c r="E399" s="528">
        <v>20</v>
      </c>
      <c r="F399" s="216" t="str">
        <f t="shared" si="17"/>
        <v>Panu Mihai</v>
      </c>
      <c r="G399" s="1"/>
      <c r="H399" s="1"/>
      <c r="I399" s="216"/>
      <c r="J399" s="216"/>
      <c r="K399" s="216"/>
      <c r="L399" s="216"/>
      <c r="M399" s="216"/>
      <c r="N399" s="216"/>
      <c r="O399" s="216"/>
      <c r="P399" s="216"/>
      <c r="Q399" s="216"/>
      <c r="R399" s="216"/>
      <c r="S399" s="216"/>
      <c r="T399" s="216"/>
      <c r="U399" s="216"/>
      <c r="V399" s="216"/>
      <c r="W399" s="216"/>
      <c r="X399" s="216"/>
      <c r="Y399" s="216"/>
      <c r="Z399" s="216"/>
    </row>
    <row r="400" spans="1:26" ht="15.75" customHeight="1">
      <c r="A400" s="134" t="s">
        <v>3415</v>
      </c>
      <c r="B400" s="108" t="s">
        <v>141</v>
      </c>
      <c r="C400" s="1189" t="s">
        <v>9912</v>
      </c>
      <c r="D400" s="100">
        <v>20</v>
      </c>
      <c r="E400" s="528">
        <v>20</v>
      </c>
      <c r="F400" s="216" t="str">
        <f t="shared" si="17"/>
        <v>Panu Mihai</v>
      </c>
      <c r="G400" s="1"/>
      <c r="H400" s="1"/>
      <c r="I400" s="216"/>
      <c r="J400" s="216"/>
      <c r="K400" s="216"/>
      <c r="L400" s="216"/>
      <c r="M400" s="216"/>
      <c r="N400" s="216"/>
      <c r="O400" s="216"/>
      <c r="P400" s="216"/>
      <c r="Q400" s="216"/>
      <c r="R400" s="216"/>
      <c r="S400" s="216"/>
      <c r="T400" s="216"/>
      <c r="U400" s="216"/>
      <c r="V400" s="216"/>
      <c r="W400" s="216"/>
      <c r="X400" s="216"/>
      <c r="Y400" s="216"/>
      <c r="Z400" s="216"/>
    </row>
    <row r="401" spans="1:26" ht="15.75" customHeight="1">
      <c r="A401" s="134" t="s">
        <v>3415</v>
      </c>
      <c r="B401" s="108" t="s">
        <v>141</v>
      </c>
      <c r="C401" s="1190" t="s">
        <v>9913</v>
      </c>
      <c r="D401" s="100">
        <v>30</v>
      </c>
      <c r="E401" s="528">
        <v>30</v>
      </c>
      <c r="F401" s="216" t="str">
        <f t="shared" si="17"/>
        <v>Panu Mihai</v>
      </c>
      <c r="G401" s="1"/>
      <c r="H401" s="1"/>
      <c r="I401" s="216"/>
      <c r="J401" s="216"/>
      <c r="K401" s="216"/>
      <c r="L401" s="216"/>
      <c r="M401" s="216"/>
      <c r="N401" s="216"/>
      <c r="O401" s="216"/>
      <c r="P401" s="216"/>
      <c r="Q401" s="216"/>
      <c r="R401" s="216"/>
      <c r="S401" s="216"/>
      <c r="T401" s="216"/>
      <c r="U401" s="216"/>
      <c r="V401" s="216"/>
      <c r="W401" s="216"/>
      <c r="X401" s="216"/>
      <c r="Y401" s="216"/>
      <c r="Z401" s="216"/>
    </row>
    <row r="402" spans="1:26" ht="15.75" customHeight="1">
      <c r="A402" s="1070" t="s">
        <v>3415</v>
      </c>
      <c r="B402" s="228" t="s">
        <v>141</v>
      </c>
      <c r="C402" s="1191" t="s">
        <v>9914</v>
      </c>
      <c r="D402" s="100">
        <v>30</v>
      </c>
      <c r="E402" s="528">
        <v>30</v>
      </c>
      <c r="F402" s="216" t="str">
        <f t="shared" si="17"/>
        <v>Panu Mihai</v>
      </c>
      <c r="G402" s="1"/>
      <c r="H402" s="1"/>
      <c r="I402" s="216"/>
      <c r="J402" s="216"/>
      <c r="K402" s="216"/>
      <c r="L402" s="216"/>
      <c r="M402" s="216"/>
      <c r="N402" s="216"/>
      <c r="O402" s="216"/>
      <c r="P402" s="216"/>
      <c r="Q402" s="216"/>
      <c r="R402" s="216"/>
      <c r="S402" s="216"/>
      <c r="T402" s="216"/>
      <c r="U402" s="216"/>
      <c r="V402" s="216"/>
      <c r="W402" s="216"/>
      <c r="X402" s="216"/>
      <c r="Y402" s="216"/>
      <c r="Z402" s="216"/>
    </row>
    <row r="403" spans="1:26" ht="15.75" customHeight="1">
      <c r="A403" s="134" t="s">
        <v>3417</v>
      </c>
      <c r="B403" s="586" t="s">
        <v>141</v>
      </c>
      <c r="C403" s="31" t="s">
        <v>9915</v>
      </c>
      <c r="D403" s="1175">
        <v>20</v>
      </c>
      <c r="E403" s="528">
        <f t="shared" ref="E403:E445" si="19">D403</f>
        <v>20</v>
      </c>
      <c r="F403" s="216" t="str">
        <f t="shared" si="17"/>
        <v>Pitic Antoniu</v>
      </c>
      <c r="G403" s="1"/>
      <c r="H403" s="1"/>
      <c r="I403" s="216"/>
      <c r="J403" s="216"/>
      <c r="K403" s="216"/>
      <c r="L403" s="216"/>
      <c r="M403" s="216"/>
      <c r="N403" s="216"/>
      <c r="O403" s="216"/>
      <c r="P403" s="216"/>
      <c r="Q403" s="216"/>
      <c r="R403" s="216"/>
      <c r="S403" s="216"/>
      <c r="T403" s="216"/>
      <c r="U403" s="216"/>
      <c r="V403" s="216"/>
      <c r="W403" s="216"/>
      <c r="X403" s="216"/>
      <c r="Y403" s="216"/>
      <c r="Z403" s="216"/>
    </row>
    <row r="404" spans="1:26" ht="15.75" customHeight="1">
      <c r="A404" s="134" t="s">
        <v>3417</v>
      </c>
      <c r="B404" s="586" t="s">
        <v>141</v>
      </c>
      <c r="C404" s="31" t="s">
        <v>9916</v>
      </c>
      <c r="D404" s="1175">
        <v>20</v>
      </c>
      <c r="E404" s="528">
        <f t="shared" si="19"/>
        <v>20</v>
      </c>
      <c r="F404" s="216" t="str">
        <f t="shared" si="17"/>
        <v>Pitic Antoniu</v>
      </c>
      <c r="G404" s="1"/>
      <c r="H404" s="1"/>
      <c r="I404" s="216"/>
      <c r="J404" s="216"/>
      <c r="K404" s="216"/>
      <c r="L404" s="216"/>
      <c r="M404" s="216"/>
      <c r="N404" s="216"/>
      <c r="O404" s="216"/>
      <c r="P404" s="216"/>
      <c r="Q404" s="216"/>
      <c r="R404" s="216"/>
      <c r="S404" s="216"/>
      <c r="T404" s="216"/>
      <c r="U404" s="216"/>
      <c r="V404" s="216"/>
      <c r="W404" s="216"/>
      <c r="X404" s="216"/>
      <c r="Y404" s="216"/>
      <c r="Z404" s="216"/>
    </row>
    <row r="405" spans="1:26" ht="15.75" customHeight="1">
      <c r="A405" s="134" t="s">
        <v>3417</v>
      </c>
      <c r="B405" s="586" t="s">
        <v>141</v>
      </c>
      <c r="C405" s="31" t="s">
        <v>9917</v>
      </c>
      <c r="D405" s="1175">
        <v>20</v>
      </c>
      <c r="E405" s="528">
        <f t="shared" si="19"/>
        <v>20</v>
      </c>
      <c r="F405" s="216" t="str">
        <f t="shared" si="17"/>
        <v>Pitic Antoniu</v>
      </c>
      <c r="G405" s="1"/>
      <c r="H405" s="1"/>
      <c r="I405" s="216"/>
      <c r="J405" s="216"/>
      <c r="K405" s="216"/>
      <c r="L405" s="216"/>
      <c r="M405" s="216"/>
      <c r="N405" s="216"/>
      <c r="O405" s="216"/>
      <c r="P405" s="216"/>
      <c r="Q405" s="216"/>
      <c r="R405" s="216"/>
      <c r="S405" s="216"/>
      <c r="T405" s="216"/>
      <c r="U405" s="216"/>
      <c r="V405" s="216"/>
      <c r="W405" s="216"/>
      <c r="X405" s="216"/>
      <c r="Y405" s="216"/>
      <c r="Z405" s="216"/>
    </row>
    <row r="406" spans="1:26" ht="15.75" customHeight="1">
      <c r="A406" s="134" t="s">
        <v>3417</v>
      </c>
      <c r="B406" s="586" t="s">
        <v>141</v>
      </c>
      <c r="C406" s="31" t="s">
        <v>9918</v>
      </c>
      <c r="D406" s="1175">
        <v>20</v>
      </c>
      <c r="E406" s="528">
        <f t="shared" si="19"/>
        <v>20</v>
      </c>
      <c r="F406" s="216" t="str">
        <f t="shared" si="17"/>
        <v>Pitic Antoniu</v>
      </c>
      <c r="G406" s="1"/>
      <c r="H406" s="1"/>
      <c r="I406" s="216"/>
      <c r="J406" s="216"/>
      <c r="K406" s="216"/>
      <c r="L406" s="216"/>
      <c r="M406" s="216"/>
      <c r="N406" s="216"/>
      <c r="O406" s="216"/>
      <c r="P406" s="216"/>
      <c r="Q406" s="216"/>
      <c r="R406" s="216"/>
      <c r="S406" s="216"/>
      <c r="T406" s="216"/>
      <c r="U406" s="216"/>
      <c r="V406" s="216"/>
      <c r="W406" s="216"/>
      <c r="X406" s="216"/>
      <c r="Y406" s="216"/>
      <c r="Z406" s="216"/>
    </row>
    <row r="407" spans="1:26" ht="15.75" customHeight="1">
      <c r="A407" s="134" t="s">
        <v>3417</v>
      </c>
      <c r="B407" s="586" t="s">
        <v>141</v>
      </c>
      <c r="C407" s="31" t="s">
        <v>9919</v>
      </c>
      <c r="D407" s="1175">
        <v>20</v>
      </c>
      <c r="E407" s="528">
        <f t="shared" si="19"/>
        <v>20</v>
      </c>
      <c r="F407" s="216" t="str">
        <f t="shared" si="17"/>
        <v>Pitic Antoniu</v>
      </c>
      <c r="G407" s="1"/>
      <c r="H407" s="1"/>
      <c r="I407" s="216"/>
      <c r="J407" s="216"/>
      <c r="K407" s="216"/>
      <c r="L407" s="216"/>
      <c r="M407" s="216"/>
      <c r="N407" s="216"/>
      <c r="O407" s="216"/>
      <c r="P407" s="216"/>
      <c r="Q407" s="216"/>
      <c r="R407" s="216"/>
      <c r="S407" s="216"/>
      <c r="T407" s="216"/>
      <c r="U407" s="216"/>
      <c r="V407" s="216"/>
      <c r="W407" s="216"/>
      <c r="X407" s="216"/>
      <c r="Y407" s="216"/>
      <c r="Z407" s="216"/>
    </row>
    <row r="408" spans="1:26" ht="15.75" customHeight="1">
      <c r="A408" s="134" t="s">
        <v>3417</v>
      </c>
      <c r="B408" s="586" t="s">
        <v>141</v>
      </c>
      <c r="C408" s="31" t="s">
        <v>9920</v>
      </c>
      <c r="D408" s="1175">
        <v>20</v>
      </c>
      <c r="E408" s="528">
        <f t="shared" si="19"/>
        <v>20</v>
      </c>
      <c r="F408" s="216" t="str">
        <f t="shared" si="17"/>
        <v>Pitic Antoniu</v>
      </c>
      <c r="G408" s="1"/>
      <c r="H408" s="1"/>
      <c r="I408" s="216"/>
      <c r="J408" s="216"/>
      <c r="K408" s="216"/>
      <c r="L408" s="216"/>
      <c r="M408" s="216"/>
      <c r="N408" s="216"/>
      <c r="O408" s="216"/>
      <c r="P408" s="216"/>
      <c r="Q408" s="216"/>
      <c r="R408" s="216"/>
      <c r="S408" s="216"/>
      <c r="T408" s="216"/>
      <c r="U408" s="216"/>
      <c r="V408" s="216"/>
      <c r="W408" s="216"/>
      <c r="X408" s="216"/>
      <c r="Y408" s="216"/>
      <c r="Z408" s="216"/>
    </row>
    <row r="409" spans="1:26" ht="15.75" customHeight="1">
      <c r="A409" s="134" t="s">
        <v>3417</v>
      </c>
      <c r="B409" s="586" t="s">
        <v>141</v>
      </c>
      <c r="C409" s="31" t="s">
        <v>9921</v>
      </c>
      <c r="D409" s="1175">
        <v>20</v>
      </c>
      <c r="E409" s="528">
        <f t="shared" si="19"/>
        <v>20</v>
      </c>
      <c r="F409" s="216" t="str">
        <f t="shared" si="17"/>
        <v>Pitic Antoniu</v>
      </c>
      <c r="G409" s="1"/>
      <c r="H409" s="1"/>
      <c r="I409" s="216"/>
      <c r="J409" s="216"/>
      <c r="K409" s="216"/>
      <c r="L409" s="216"/>
      <c r="M409" s="216"/>
      <c r="N409" s="216"/>
      <c r="O409" s="216"/>
      <c r="P409" s="216"/>
      <c r="Q409" s="216"/>
      <c r="R409" s="216"/>
      <c r="S409" s="216"/>
      <c r="T409" s="216"/>
      <c r="U409" s="216"/>
      <c r="V409" s="216"/>
      <c r="W409" s="216"/>
      <c r="X409" s="216"/>
      <c r="Y409" s="216"/>
      <c r="Z409" s="216"/>
    </row>
    <row r="410" spans="1:26" ht="15.75" customHeight="1">
      <c r="A410" s="134" t="s">
        <v>3417</v>
      </c>
      <c r="B410" s="586" t="s">
        <v>141</v>
      </c>
      <c r="C410" s="31" t="s">
        <v>9922</v>
      </c>
      <c r="D410" s="1175">
        <v>20</v>
      </c>
      <c r="E410" s="528">
        <f t="shared" si="19"/>
        <v>20</v>
      </c>
      <c r="F410" s="216" t="str">
        <f t="shared" si="17"/>
        <v>Pitic Antoniu</v>
      </c>
      <c r="G410" s="1"/>
      <c r="H410" s="1"/>
      <c r="I410" s="216"/>
      <c r="J410" s="216"/>
      <c r="K410" s="216"/>
      <c r="L410" s="216"/>
      <c r="M410" s="216"/>
      <c r="N410" s="216"/>
      <c r="O410" s="216"/>
      <c r="P410" s="216"/>
      <c r="Q410" s="216"/>
      <c r="R410" s="216"/>
      <c r="S410" s="216"/>
      <c r="T410" s="216"/>
      <c r="U410" s="216"/>
      <c r="V410" s="216"/>
      <c r="W410" s="216"/>
      <c r="X410" s="216"/>
      <c r="Y410" s="216"/>
      <c r="Z410" s="216"/>
    </row>
    <row r="411" spans="1:26" ht="15.75" customHeight="1">
      <c r="A411" s="134" t="s">
        <v>3417</v>
      </c>
      <c r="B411" s="586" t="s">
        <v>141</v>
      </c>
      <c r="C411" s="31" t="s">
        <v>9923</v>
      </c>
      <c r="D411" s="1175">
        <v>20</v>
      </c>
      <c r="E411" s="528">
        <f t="shared" si="19"/>
        <v>20</v>
      </c>
      <c r="F411" s="216" t="str">
        <f t="shared" si="17"/>
        <v>Pitic Antoniu</v>
      </c>
      <c r="G411" s="1"/>
      <c r="H411" s="1"/>
      <c r="I411" s="216"/>
      <c r="J411" s="216"/>
      <c r="K411" s="216"/>
      <c r="L411" s="216"/>
      <c r="M411" s="216"/>
      <c r="N411" s="216"/>
      <c r="O411" s="216"/>
      <c r="P411" s="216"/>
      <c r="Q411" s="216"/>
      <c r="R411" s="216"/>
      <c r="S411" s="216"/>
      <c r="T411" s="216"/>
      <c r="U411" s="216"/>
      <c r="V411" s="216"/>
      <c r="W411" s="216"/>
      <c r="X411" s="216"/>
      <c r="Y411" s="216"/>
      <c r="Z411" s="216"/>
    </row>
    <row r="412" spans="1:26" ht="15.75" customHeight="1">
      <c r="A412" s="134" t="s">
        <v>3417</v>
      </c>
      <c r="B412" s="586" t="s">
        <v>141</v>
      </c>
      <c r="C412" s="31" t="s">
        <v>9924</v>
      </c>
      <c r="D412" s="1175">
        <v>20</v>
      </c>
      <c r="E412" s="528">
        <f t="shared" si="19"/>
        <v>20</v>
      </c>
      <c r="F412" s="216" t="str">
        <f t="shared" si="17"/>
        <v>Pitic Antoniu</v>
      </c>
      <c r="G412" s="1"/>
      <c r="H412" s="1"/>
      <c r="I412" s="216"/>
      <c r="J412" s="216"/>
      <c r="K412" s="216"/>
      <c r="L412" s="216"/>
      <c r="M412" s="216"/>
      <c r="N412" s="216"/>
      <c r="O412" s="216"/>
      <c r="P412" s="216"/>
      <c r="Q412" s="216"/>
      <c r="R412" s="216"/>
      <c r="S412" s="216"/>
      <c r="T412" s="216"/>
      <c r="U412" s="216"/>
      <c r="V412" s="216"/>
      <c r="W412" s="216"/>
      <c r="X412" s="216"/>
      <c r="Y412" s="216"/>
      <c r="Z412" s="216"/>
    </row>
    <row r="413" spans="1:26" ht="15.75" customHeight="1">
      <c r="A413" s="134" t="s">
        <v>3417</v>
      </c>
      <c r="B413" s="586" t="s">
        <v>141</v>
      </c>
      <c r="C413" s="31" t="s">
        <v>9925</v>
      </c>
      <c r="D413" s="1175">
        <v>20</v>
      </c>
      <c r="E413" s="528">
        <f t="shared" si="19"/>
        <v>20</v>
      </c>
      <c r="F413" s="216" t="str">
        <f t="shared" si="17"/>
        <v>Pitic Antoniu</v>
      </c>
      <c r="G413" s="1"/>
      <c r="H413" s="1"/>
      <c r="I413" s="216"/>
      <c r="J413" s="216"/>
      <c r="K413" s="216"/>
      <c r="L413" s="216"/>
      <c r="M413" s="216"/>
      <c r="N413" s="216"/>
      <c r="O413" s="216"/>
      <c r="P413" s="216"/>
      <c r="Q413" s="216"/>
      <c r="R413" s="216"/>
      <c r="S413" s="216"/>
      <c r="T413" s="216"/>
      <c r="U413" s="216"/>
      <c r="V413" s="216"/>
      <c r="W413" s="216"/>
      <c r="X413" s="216"/>
      <c r="Y413" s="216"/>
      <c r="Z413" s="216"/>
    </row>
    <row r="414" spans="1:26" ht="15.75" customHeight="1">
      <c r="A414" s="134" t="s">
        <v>3417</v>
      </c>
      <c r="B414" s="586" t="s">
        <v>141</v>
      </c>
      <c r="C414" s="31" t="s">
        <v>9926</v>
      </c>
      <c r="D414" s="1175">
        <v>20</v>
      </c>
      <c r="E414" s="528">
        <f t="shared" si="19"/>
        <v>20</v>
      </c>
      <c r="F414" s="216" t="str">
        <f t="shared" si="17"/>
        <v>Pitic Antoniu</v>
      </c>
      <c r="G414" s="1"/>
      <c r="H414" s="1"/>
      <c r="I414" s="216"/>
      <c r="J414" s="216"/>
      <c r="K414" s="216"/>
      <c r="L414" s="216"/>
      <c r="M414" s="216"/>
      <c r="N414" s="216"/>
      <c r="O414" s="216"/>
      <c r="P414" s="216"/>
      <c r="Q414" s="216"/>
      <c r="R414" s="216"/>
      <c r="S414" s="216"/>
      <c r="T414" s="216"/>
      <c r="U414" s="216"/>
      <c r="V414" s="216"/>
      <c r="W414" s="216"/>
      <c r="X414" s="216"/>
      <c r="Y414" s="216"/>
      <c r="Z414" s="216"/>
    </row>
    <row r="415" spans="1:26" ht="15.75" customHeight="1">
      <c r="A415" s="134" t="s">
        <v>3417</v>
      </c>
      <c r="B415" s="586" t="s">
        <v>141</v>
      </c>
      <c r="C415" s="31" t="s">
        <v>9927</v>
      </c>
      <c r="D415" s="1175">
        <v>20</v>
      </c>
      <c r="E415" s="528">
        <f t="shared" si="19"/>
        <v>20</v>
      </c>
      <c r="F415" s="216" t="str">
        <f t="shared" si="17"/>
        <v>Pitic Antoniu</v>
      </c>
      <c r="G415" s="1"/>
      <c r="H415" s="1"/>
      <c r="I415" s="216"/>
      <c r="J415" s="216"/>
      <c r="K415" s="216"/>
      <c r="L415" s="216"/>
      <c r="M415" s="216"/>
      <c r="N415" s="216"/>
      <c r="O415" s="216"/>
      <c r="P415" s="216"/>
      <c r="Q415" s="216"/>
      <c r="R415" s="216"/>
      <c r="S415" s="216"/>
      <c r="T415" s="216"/>
      <c r="U415" s="216"/>
      <c r="V415" s="216"/>
      <c r="W415" s="216"/>
      <c r="X415" s="216"/>
      <c r="Y415" s="216"/>
      <c r="Z415" s="216"/>
    </row>
    <row r="416" spans="1:26" ht="15.75" customHeight="1">
      <c r="A416" s="134" t="s">
        <v>3417</v>
      </c>
      <c r="B416" s="586" t="s">
        <v>141</v>
      </c>
      <c r="C416" s="31" t="s">
        <v>9928</v>
      </c>
      <c r="D416" s="1175">
        <v>20</v>
      </c>
      <c r="E416" s="528">
        <f t="shared" si="19"/>
        <v>20</v>
      </c>
      <c r="F416" s="216" t="str">
        <f t="shared" si="17"/>
        <v>Pitic Antoniu</v>
      </c>
      <c r="G416" s="1"/>
      <c r="H416" s="1"/>
      <c r="I416" s="216"/>
      <c r="J416" s="216"/>
      <c r="K416" s="216"/>
      <c r="L416" s="216"/>
      <c r="M416" s="216"/>
      <c r="N416" s="216"/>
      <c r="O416" s="216"/>
      <c r="P416" s="216"/>
      <c r="Q416" s="216"/>
      <c r="R416" s="216"/>
      <c r="S416" s="216"/>
      <c r="T416" s="216"/>
      <c r="U416" s="216"/>
      <c r="V416" s="216"/>
      <c r="W416" s="216"/>
      <c r="X416" s="216"/>
      <c r="Y416" s="216"/>
      <c r="Z416" s="216"/>
    </row>
    <row r="417" spans="1:26" ht="15.75" customHeight="1">
      <c r="A417" s="134" t="s">
        <v>3417</v>
      </c>
      <c r="B417" s="586" t="s">
        <v>141</v>
      </c>
      <c r="C417" s="31" t="s">
        <v>9929</v>
      </c>
      <c r="D417" s="1175">
        <v>20</v>
      </c>
      <c r="E417" s="528">
        <f t="shared" si="19"/>
        <v>20</v>
      </c>
      <c r="F417" s="216" t="str">
        <f t="shared" si="17"/>
        <v>Pitic Antoniu</v>
      </c>
      <c r="G417" s="1"/>
      <c r="H417" s="1"/>
      <c r="I417" s="216"/>
      <c r="J417" s="216"/>
      <c r="K417" s="216"/>
      <c r="L417" s="216"/>
      <c r="M417" s="216"/>
      <c r="N417" s="216"/>
      <c r="O417" s="216"/>
      <c r="P417" s="216"/>
      <c r="Q417" s="216"/>
      <c r="R417" s="216"/>
      <c r="S417" s="216"/>
      <c r="T417" s="216"/>
      <c r="U417" s="216"/>
      <c r="V417" s="216"/>
      <c r="W417" s="216"/>
      <c r="X417" s="216"/>
      <c r="Y417" s="216"/>
      <c r="Z417" s="216"/>
    </row>
    <row r="418" spans="1:26" ht="15.75" customHeight="1">
      <c r="A418" s="134" t="s">
        <v>3417</v>
      </c>
      <c r="B418" s="586" t="s">
        <v>141</v>
      </c>
      <c r="C418" s="31" t="s">
        <v>9930</v>
      </c>
      <c r="D418" s="1175">
        <v>20</v>
      </c>
      <c r="E418" s="528">
        <f t="shared" si="19"/>
        <v>20</v>
      </c>
      <c r="F418" s="216" t="str">
        <f t="shared" si="17"/>
        <v>Pitic Antoniu</v>
      </c>
      <c r="G418" s="1"/>
      <c r="H418" s="1"/>
      <c r="I418" s="216"/>
      <c r="J418" s="216"/>
      <c r="K418" s="216"/>
      <c r="L418" s="216"/>
      <c r="M418" s="216"/>
      <c r="N418" s="216"/>
      <c r="O418" s="216"/>
      <c r="P418" s="216"/>
      <c r="Q418" s="216"/>
      <c r="R418" s="216"/>
      <c r="S418" s="216"/>
      <c r="T418" s="216"/>
      <c r="U418" s="216"/>
      <c r="V418" s="216"/>
      <c r="W418" s="216"/>
      <c r="X418" s="216"/>
      <c r="Y418" s="216"/>
      <c r="Z418" s="216"/>
    </row>
    <row r="419" spans="1:26" ht="15.75" customHeight="1">
      <c r="A419" s="134" t="s">
        <v>3417</v>
      </c>
      <c r="B419" s="586" t="s">
        <v>141</v>
      </c>
      <c r="C419" s="31" t="s">
        <v>9931</v>
      </c>
      <c r="D419" s="1175">
        <v>20</v>
      </c>
      <c r="E419" s="528">
        <f t="shared" si="19"/>
        <v>20</v>
      </c>
      <c r="F419" s="216" t="str">
        <f t="shared" si="17"/>
        <v>Pitic Antoniu</v>
      </c>
      <c r="G419" s="1"/>
      <c r="H419" s="1"/>
      <c r="I419" s="216"/>
      <c r="J419" s="216"/>
      <c r="K419" s="216"/>
      <c r="L419" s="216"/>
      <c r="M419" s="216"/>
      <c r="N419" s="216"/>
      <c r="O419" s="216"/>
      <c r="P419" s="216"/>
      <c r="Q419" s="216"/>
      <c r="R419" s="216"/>
      <c r="S419" s="216"/>
      <c r="T419" s="216"/>
      <c r="U419" s="216"/>
      <c r="V419" s="216"/>
      <c r="W419" s="216"/>
      <c r="X419" s="216"/>
      <c r="Y419" s="216"/>
      <c r="Z419" s="216"/>
    </row>
    <row r="420" spans="1:26" ht="15.75" customHeight="1">
      <c r="A420" s="134" t="s">
        <v>3417</v>
      </c>
      <c r="B420" s="586" t="s">
        <v>141</v>
      </c>
      <c r="C420" s="31" t="s">
        <v>9932</v>
      </c>
      <c r="D420" s="1175">
        <v>20</v>
      </c>
      <c r="E420" s="528">
        <f t="shared" si="19"/>
        <v>20</v>
      </c>
      <c r="F420" s="216" t="str">
        <f t="shared" si="17"/>
        <v>Pitic Antoniu</v>
      </c>
      <c r="G420" s="1"/>
      <c r="H420" s="1"/>
      <c r="I420" s="216"/>
      <c r="J420" s="216"/>
      <c r="K420" s="216"/>
      <c r="L420" s="216"/>
      <c r="M420" s="216"/>
      <c r="N420" s="216"/>
      <c r="O420" s="216"/>
      <c r="P420" s="216"/>
      <c r="Q420" s="216"/>
      <c r="R420" s="216"/>
      <c r="S420" s="216"/>
      <c r="T420" s="216"/>
      <c r="U420" s="216"/>
      <c r="V420" s="216"/>
      <c r="W420" s="216"/>
      <c r="X420" s="216"/>
      <c r="Y420" s="216"/>
      <c r="Z420" s="216"/>
    </row>
    <row r="421" spans="1:26" ht="15.75" customHeight="1">
      <c r="A421" s="134" t="s">
        <v>3417</v>
      </c>
      <c r="B421" s="586" t="s">
        <v>141</v>
      </c>
      <c r="C421" s="31" t="s">
        <v>9933</v>
      </c>
      <c r="D421" s="1175">
        <v>20</v>
      </c>
      <c r="E421" s="528">
        <f t="shared" si="19"/>
        <v>20</v>
      </c>
      <c r="F421" s="216" t="str">
        <f t="shared" si="17"/>
        <v>Pitic Antoniu</v>
      </c>
      <c r="G421" s="1"/>
      <c r="H421" s="1"/>
      <c r="I421" s="216"/>
      <c r="J421" s="216"/>
      <c r="K421" s="216"/>
      <c r="L421" s="216"/>
      <c r="M421" s="216"/>
      <c r="N421" s="216"/>
      <c r="O421" s="216"/>
      <c r="P421" s="216"/>
      <c r="Q421" s="216"/>
      <c r="R421" s="216"/>
      <c r="S421" s="216"/>
      <c r="T421" s="216"/>
      <c r="U421" s="216"/>
      <c r="V421" s="216"/>
      <c r="W421" s="216"/>
      <c r="X421" s="216"/>
      <c r="Y421" s="216"/>
      <c r="Z421" s="216"/>
    </row>
    <row r="422" spans="1:26" ht="15.75" customHeight="1">
      <c r="A422" s="134" t="s">
        <v>3417</v>
      </c>
      <c r="B422" s="586" t="s">
        <v>141</v>
      </c>
      <c r="C422" s="31" t="s">
        <v>9934</v>
      </c>
      <c r="D422" s="1175">
        <v>20</v>
      </c>
      <c r="E422" s="528">
        <f t="shared" si="19"/>
        <v>20</v>
      </c>
      <c r="F422" s="216" t="str">
        <f t="shared" si="17"/>
        <v>Pitic Antoniu</v>
      </c>
      <c r="G422" s="1"/>
      <c r="H422" s="1"/>
      <c r="I422" s="216"/>
      <c r="J422" s="216"/>
      <c r="K422" s="216"/>
      <c r="L422" s="216"/>
      <c r="M422" s="216"/>
      <c r="N422" s="216"/>
      <c r="O422" s="216"/>
      <c r="P422" s="216"/>
      <c r="Q422" s="216"/>
      <c r="R422" s="216"/>
      <c r="S422" s="216"/>
      <c r="T422" s="216"/>
      <c r="U422" s="216"/>
      <c r="V422" s="216"/>
      <c r="W422" s="216"/>
      <c r="X422" s="216"/>
      <c r="Y422" s="216"/>
      <c r="Z422" s="216"/>
    </row>
    <row r="423" spans="1:26" ht="15.75" customHeight="1">
      <c r="A423" s="134" t="s">
        <v>3417</v>
      </c>
      <c r="B423" s="586" t="s">
        <v>141</v>
      </c>
      <c r="C423" s="31" t="s">
        <v>9935</v>
      </c>
      <c r="D423" s="1175">
        <v>20</v>
      </c>
      <c r="E423" s="528">
        <f t="shared" si="19"/>
        <v>20</v>
      </c>
      <c r="F423" s="216" t="str">
        <f t="shared" si="17"/>
        <v>Pitic Antoniu</v>
      </c>
      <c r="G423" s="1"/>
      <c r="H423" s="1"/>
      <c r="I423" s="216"/>
      <c r="J423" s="216"/>
      <c r="K423" s="216"/>
      <c r="L423" s="216"/>
      <c r="M423" s="216"/>
      <c r="N423" s="216"/>
      <c r="O423" s="216"/>
      <c r="P423" s="216"/>
      <c r="Q423" s="216"/>
      <c r="R423" s="216"/>
      <c r="S423" s="216"/>
      <c r="T423" s="216"/>
      <c r="U423" s="216"/>
      <c r="V423" s="216"/>
      <c r="W423" s="216"/>
      <c r="X423" s="216"/>
      <c r="Y423" s="216"/>
      <c r="Z423" s="216"/>
    </row>
    <row r="424" spans="1:26" ht="15.75" customHeight="1">
      <c r="A424" s="134" t="s">
        <v>3417</v>
      </c>
      <c r="B424" s="586" t="s">
        <v>141</v>
      </c>
      <c r="C424" s="31" t="s">
        <v>9936</v>
      </c>
      <c r="D424" s="1175">
        <v>20</v>
      </c>
      <c r="E424" s="528">
        <f t="shared" si="19"/>
        <v>20</v>
      </c>
      <c r="F424" s="216" t="str">
        <f t="shared" si="17"/>
        <v>Pitic Antoniu</v>
      </c>
      <c r="G424" s="1"/>
      <c r="H424" s="1"/>
      <c r="I424" s="216"/>
      <c r="J424" s="216"/>
      <c r="K424" s="216"/>
      <c r="L424" s="216"/>
      <c r="M424" s="216"/>
      <c r="N424" s="216"/>
      <c r="O424" s="216"/>
      <c r="P424" s="216"/>
      <c r="Q424" s="216"/>
      <c r="R424" s="216"/>
      <c r="S424" s="216"/>
      <c r="T424" s="216"/>
      <c r="U424" s="216"/>
      <c r="V424" s="216"/>
      <c r="W424" s="216"/>
      <c r="X424" s="216"/>
      <c r="Y424" s="216"/>
      <c r="Z424" s="216"/>
    </row>
    <row r="425" spans="1:26" ht="15.75" customHeight="1">
      <c r="A425" s="134" t="s">
        <v>3417</v>
      </c>
      <c r="B425" s="586" t="s">
        <v>141</v>
      </c>
      <c r="C425" s="31" t="s">
        <v>9937</v>
      </c>
      <c r="D425" s="1175">
        <v>20</v>
      </c>
      <c r="E425" s="528">
        <f t="shared" si="19"/>
        <v>20</v>
      </c>
      <c r="F425" s="216" t="str">
        <f t="shared" si="17"/>
        <v>Pitic Antoniu</v>
      </c>
      <c r="G425" s="1"/>
      <c r="H425" s="1"/>
      <c r="I425" s="216"/>
      <c r="J425" s="216"/>
      <c r="K425" s="216"/>
      <c r="L425" s="216"/>
      <c r="M425" s="216"/>
      <c r="N425" s="216"/>
      <c r="O425" s="216"/>
      <c r="P425" s="216"/>
      <c r="Q425" s="216"/>
      <c r="R425" s="216"/>
      <c r="S425" s="216"/>
      <c r="T425" s="216"/>
      <c r="U425" s="216"/>
      <c r="V425" s="216"/>
      <c r="W425" s="216"/>
      <c r="X425" s="216"/>
      <c r="Y425" s="216"/>
      <c r="Z425" s="216"/>
    </row>
    <row r="426" spans="1:26" ht="15.75" customHeight="1">
      <c r="A426" s="134" t="s">
        <v>3417</v>
      </c>
      <c r="B426" s="586" t="s">
        <v>141</v>
      </c>
      <c r="C426" s="31" t="s">
        <v>9938</v>
      </c>
      <c r="D426" s="1175">
        <v>20</v>
      </c>
      <c r="E426" s="528">
        <f t="shared" si="19"/>
        <v>20</v>
      </c>
      <c r="F426" s="216" t="str">
        <f t="shared" si="17"/>
        <v>Pitic Antoniu</v>
      </c>
      <c r="G426" s="1"/>
      <c r="H426" s="1"/>
      <c r="I426" s="216"/>
      <c r="J426" s="216"/>
      <c r="K426" s="216"/>
      <c r="L426" s="216"/>
      <c r="M426" s="216"/>
      <c r="N426" s="216"/>
      <c r="O426" s="216"/>
      <c r="P426" s="216"/>
      <c r="Q426" s="216"/>
      <c r="R426" s="216"/>
      <c r="S426" s="216"/>
      <c r="T426" s="216"/>
      <c r="U426" s="216"/>
      <c r="V426" s="216"/>
      <c r="W426" s="216"/>
      <c r="X426" s="216"/>
      <c r="Y426" s="216"/>
      <c r="Z426" s="216"/>
    </row>
    <row r="427" spans="1:26" ht="15.75" customHeight="1">
      <c r="A427" s="134" t="s">
        <v>3417</v>
      </c>
      <c r="B427" s="586" t="s">
        <v>141</v>
      </c>
      <c r="C427" s="31" t="s">
        <v>9939</v>
      </c>
      <c r="D427" s="1175">
        <v>20</v>
      </c>
      <c r="E427" s="528">
        <f t="shared" si="19"/>
        <v>20</v>
      </c>
      <c r="F427" s="216" t="str">
        <f t="shared" si="17"/>
        <v>Pitic Antoniu</v>
      </c>
      <c r="G427" s="1"/>
      <c r="H427" s="1"/>
      <c r="I427" s="216"/>
      <c r="J427" s="216"/>
      <c r="K427" s="216"/>
      <c r="L427" s="216"/>
      <c r="M427" s="216"/>
      <c r="N427" s="216"/>
      <c r="O427" s="216"/>
      <c r="P427" s="216"/>
      <c r="Q427" s="216"/>
      <c r="R427" s="216"/>
      <c r="S427" s="216"/>
      <c r="T427" s="216"/>
      <c r="U427" s="216"/>
      <c r="V427" s="216"/>
      <c r="W427" s="216"/>
      <c r="X427" s="216"/>
      <c r="Y427" s="216"/>
      <c r="Z427" s="216"/>
    </row>
    <row r="428" spans="1:26" ht="15.75" customHeight="1">
      <c r="A428" s="134" t="s">
        <v>3417</v>
      </c>
      <c r="B428" s="586" t="s">
        <v>141</v>
      </c>
      <c r="C428" s="31" t="s">
        <v>9940</v>
      </c>
      <c r="D428" s="1175">
        <v>20</v>
      </c>
      <c r="E428" s="528">
        <f t="shared" si="19"/>
        <v>20</v>
      </c>
      <c r="F428" s="216" t="str">
        <f t="shared" si="17"/>
        <v>Pitic Antoniu</v>
      </c>
      <c r="G428" s="1"/>
      <c r="H428" s="1"/>
      <c r="I428" s="216"/>
      <c r="J428" s="216"/>
      <c r="K428" s="216"/>
      <c r="L428" s="216"/>
      <c r="M428" s="216"/>
      <c r="N428" s="216"/>
      <c r="O428" s="216"/>
      <c r="P428" s="216"/>
      <c r="Q428" s="216"/>
      <c r="R428" s="216"/>
      <c r="S428" s="216"/>
      <c r="T428" s="216"/>
      <c r="U428" s="216"/>
      <c r="V428" s="216"/>
      <c r="W428" s="216"/>
      <c r="X428" s="216"/>
      <c r="Y428" s="216"/>
      <c r="Z428" s="216"/>
    </row>
    <row r="429" spans="1:26" ht="15.75" customHeight="1">
      <c r="A429" s="134" t="s">
        <v>3417</v>
      </c>
      <c r="B429" s="586" t="s">
        <v>141</v>
      </c>
      <c r="C429" s="31" t="s">
        <v>9941</v>
      </c>
      <c r="D429" s="1175">
        <v>20</v>
      </c>
      <c r="E429" s="528">
        <f t="shared" si="19"/>
        <v>20</v>
      </c>
      <c r="F429" s="216" t="str">
        <f t="shared" si="17"/>
        <v>Pitic Antoniu</v>
      </c>
      <c r="G429" s="1"/>
      <c r="H429" s="1"/>
      <c r="I429" s="216"/>
      <c r="J429" s="216"/>
      <c r="K429" s="216"/>
      <c r="L429" s="216"/>
      <c r="M429" s="216"/>
      <c r="N429" s="216"/>
      <c r="O429" s="216"/>
      <c r="P429" s="216"/>
      <c r="Q429" s="216"/>
      <c r="R429" s="216"/>
      <c r="S429" s="216"/>
      <c r="T429" s="216"/>
      <c r="U429" s="216"/>
      <c r="V429" s="216"/>
      <c r="W429" s="216"/>
      <c r="X429" s="216"/>
      <c r="Y429" s="216"/>
      <c r="Z429" s="216"/>
    </row>
    <row r="430" spans="1:26" ht="15.75" customHeight="1">
      <c r="A430" s="134" t="s">
        <v>3417</v>
      </c>
      <c r="B430" s="586" t="s">
        <v>141</v>
      </c>
      <c r="C430" s="31" t="s">
        <v>9942</v>
      </c>
      <c r="D430" s="1175">
        <v>20</v>
      </c>
      <c r="E430" s="528">
        <f t="shared" si="19"/>
        <v>20</v>
      </c>
      <c r="F430" s="216" t="str">
        <f t="shared" si="17"/>
        <v>Pitic Antoniu</v>
      </c>
      <c r="G430" s="1"/>
      <c r="H430" s="1"/>
      <c r="I430" s="216"/>
      <c r="J430" s="216"/>
      <c r="K430" s="216"/>
      <c r="L430" s="216"/>
      <c r="M430" s="216"/>
      <c r="N430" s="216"/>
      <c r="O430" s="216"/>
      <c r="P430" s="216"/>
      <c r="Q430" s="216"/>
      <c r="R430" s="216"/>
      <c r="S430" s="216"/>
      <c r="T430" s="216"/>
      <c r="U430" s="216"/>
      <c r="V430" s="216"/>
      <c r="W430" s="216"/>
      <c r="X430" s="216"/>
      <c r="Y430" s="216"/>
      <c r="Z430" s="216"/>
    </row>
    <row r="431" spans="1:26" ht="15.75" customHeight="1">
      <c r="A431" s="134" t="s">
        <v>3417</v>
      </c>
      <c r="B431" s="586" t="s">
        <v>141</v>
      </c>
      <c r="C431" s="31" t="s">
        <v>9943</v>
      </c>
      <c r="D431" s="1175">
        <v>20</v>
      </c>
      <c r="E431" s="528">
        <f t="shared" si="19"/>
        <v>20</v>
      </c>
      <c r="F431" s="216" t="str">
        <f t="shared" si="17"/>
        <v>Pitic Antoniu</v>
      </c>
      <c r="G431" s="1"/>
      <c r="H431" s="1"/>
      <c r="I431" s="216"/>
      <c r="J431" s="216"/>
      <c r="K431" s="216"/>
      <c r="L431" s="216"/>
      <c r="M431" s="216"/>
      <c r="N431" s="216"/>
      <c r="O431" s="216"/>
      <c r="P431" s="216"/>
      <c r="Q431" s="216"/>
      <c r="R431" s="216"/>
      <c r="S431" s="216"/>
      <c r="T431" s="216"/>
      <c r="U431" s="216"/>
      <c r="V431" s="216"/>
      <c r="W431" s="216"/>
      <c r="X431" s="216"/>
      <c r="Y431" s="216"/>
      <c r="Z431" s="216"/>
    </row>
    <row r="432" spans="1:26" ht="15.75" customHeight="1">
      <c r="A432" s="134" t="s">
        <v>3417</v>
      </c>
      <c r="B432" s="586" t="s">
        <v>141</v>
      </c>
      <c r="C432" s="31" t="s">
        <v>9944</v>
      </c>
      <c r="D432" s="1175">
        <v>20</v>
      </c>
      <c r="E432" s="528">
        <f t="shared" si="19"/>
        <v>20</v>
      </c>
      <c r="F432" s="216" t="str">
        <f t="shared" si="17"/>
        <v>Pitic Antoniu</v>
      </c>
      <c r="G432" s="1"/>
      <c r="H432" s="1"/>
      <c r="I432" s="216"/>
      <c r="J432" s="216"/>
      <c r="K432" s="216"/>
      <c r="L432" s="216"/>
      <c r="M432" s="216"/>
      <c r="N432" s="216"/>
      <c r="O432" s="216"/>
      <c r="P432" s="216"/>
      <c r="Q432" s="216"/>
      <c r="R432" s="216"/>
      <c r="S432" s="216"/>
      <c r="T432" s="216"/>
      <c r="U432" s="216"/>
      <c r="V432" s="216"/>
      <c r="W432" s="216"/>
      <c r="X432" s="216"/>
      <c r="Y432" s="216"/>
      <c r="Z432" s="216"/>
    </row>
    <row r="433" spans="1:26" ht="15.75" customHeight="1">
      <c r="A433" s="134" t="s">
        <v>3417</v>
      </c>
      <c r="B433" s="586" t="s">
        <v>141</v>
      </c>
      <c r="C433" s="31" t="s">
        <v>9945</v>
      </c>
      <c r="D433" s="1175">
        <v>30</v>
      </c>
      <c r="E433" s="528">
        <f t="shared" si="19"/>
        <v>30</v>
      </c>
      <c r="F433" s="216" t="str">
        <f t="shared" si="17"/>
        <v>Pitic Antoniu</v>
      </c>
      <c r="G433" s="1"/>
      <c r="H433" s="1"/>
      <c r="I433" s="216"/>
      <c r="J433" s="216"/>
      <c r="K433" s="216"/>
      <c r="L433" s="216"/>
      <c r="M433" s="216"/>
      <c r="N433" s="216"/>
      <c r="O433" s="216"/>
      <c r="P433" s="216"/>
      <c r="Q433" s="216"/>
      <c r="R433" s="216"/>
      <c r="S433" s="216"/>
      <c r="T433" s="216"/>
      <c r="U433" s="216"/>
      <c r="V433" s="216"/>
      <c r="W433" s="216"/>
      <c r="X433" s="216"/>
      <c r="Y433" s="216"/>
      <c r="Z433" s="216"/>
    </row>
    <row r="434" spans="1:26" ht="15.75" customHeight="1">
      <c r="A434" s="134" t="s">
        <v>3417</v>
      </c>
      <c r="B434" s="586" t="s">
        <v>141</v>
      </c>
      <c r="C434" s="31" t="s">
        <v>9946</v>
      </c>
      <c r="D434" s="1175">
        <v>30</v>
      </c>
      <c r="E434" s="528">
        <f t="shared" si="19"/>
        <v>30</v>
      </c>
      <c r="F434" s="216" t="str">
        <f t="shared" si="17"/>
        <v>Pitic Antoniu</v>
      </c>
      <c r="G434" s="1"/>
      <c r="H434" s="1"/>
      <c r="I434" s="216"/>
      <c r="J434" s="216"/>
      <c r="K434" s="216"/>
      <c r="L434" s="216"/>
      <c r="M434" s="216"/>
      <c r="N434" s="216"/>
      <c r="O434" s="216"/>
      <c r="P434" s="216"/>
      <c r="Q434" s="216"/>
      <c r="R434" s="216"/>
      <c r="S434" s="216"/>
      <c r="T434" s="216"/>
      <c r="U434" s="216"/>
      <c r="V434" s="216"/>
      <c r="W434" s="216"/>
      <c r="X434" s="216"/>
      <c r="Y434" s="216"/>
      <c r="Z434" s="216"/>
    </row>
    <row r="435" spans="1:26" ht="15.75" customHeight="1">
      <c r="A435" s="134" t="s">
        <v>3417</v>
      </c>
      <c r="B435" s="586" t="s">
        <v>141</v>
      </c>
      <c r="C435" s="31" t="s">
        <v>9947</v>
      </c>
      <c r="D435" s="1175">
        <v>30</v>
      </c>
      <c r="E435" s="528">
        <f t="shared" si="19"/>
        <v>30</v>
      </c>
      <c r="F435" s="216" t="str">
        <f t="shared" si="17"/>
        <v>Pitic Antoniu</v>
      </c>
      <c r="G435" s="1"/>
      <c r="H435" s="1"/>
      <c r="I435" s="216"/>
      <c r="J435" s="216"/>
      <c r="K435" s="216"/>
      <c r="L435" s="216"/>
      <c r="M435" s="216"/>
      <c r="N435" s="216"/>
      <c r="O435" s="216"/>
      <c r="P435" s="216"/>
      <c r="Q435" s="216"/>
      <c r="R435" s="216"/>
      <c r="S435" s="216"/>
      <c r="T435" s="216"/>
      <c r="U435" s="216"/>
      <c r="V435" s="216"/>
      <c r="W435" s="216"/>
      <c r="X435" s="216"/>
      <c r="Y435" s="216"/>
      <c r="Z435" s="216"/>
    </row>
    <row r="436" spans="1:26" ht="15.75" customHeight="1">
      <c r="A436" s="134" t="s">
        <v>3417</v>
      </c>
      <c r="B436" s="586" t="s">
        <v>141</v>
      </c>
      <c r="C436" s="31" t="s">
        <v>9948</v>
      </c>
      <c r="D436" s="1175">
        <v>30</v>
      </c>
      <c r="E436" s="528">
        <f t="shared" si="19"/>
        <v>30</v>
      </c>
      <c r="F436" s="216" t="str">
        <f t="shared" si="17"/>
        <v>Pitic Antoniu</v>
      </c>
      <c r="G436" s="1"/>
      <c r="H436" s="1"/>
      <c r="I436" s="216"/>
      <c r="J436" s="216"/>
      <c r="K436" s="216"/>
      <c r="L436" s="216"/>
      <c r="M436" s="216"/>
      <c r="N436" s="216"/>
      <c r="O436" s="216"/>
      <c r="P436" s="216"/>
      <c r="Q436" s="216"/>
      <c r="R436" s="216"/>
      <c r="S436" s="216"/>
      <c r="T436" s="216"/>
      <c r="U436" s="216"/>
      <c r="V436" s="216"/>
      <c r="W436" s="216"/>
      <c r="X436" s="216"/>
      <c r="Y436" s="216"/>
      <c r="Z436" s="216"/>
    </row>
    <row r="437" spans="1:26" ht="15.75" customHeight="1">
      <c r="A437" s="134" t="s">
        <v>3417</v>
      </c>
      <c r="B437" s="586" t="s">
        <v>141</v>
      </c>
      <c r="C437" s="31" t="s">
        <v>9949</v>
      </c>
      <c r="D437" s="1175">
        <v>30</v>
      </c>
      <c r="E437" s="528">
        <f t="shared" si="19"/>
        <v>30</v>
      </c>
      <c r="F437" s="216" t="str">
        <f t="shared" si="17"/>
        <v>Pitic Antoniu</v>
      </c>
      <c r="G437" s="1"/>
      <c r="H437" s="1"/>
      <c r="I437" s="216"/>
      <c r="J437" s="216"/>
      <c r="K437" s="216"/>
      <c r="L437" s="216"/>
      <c r="M437" s="216"/>
      <c r="N437" s="216"/>
      <c r="O437" s="216"/>
      <c r="P437" s="216"/>
      <c r="Q437" s="216"/>
      <c r="R437" s="216"/>
      <c r="S437" s="216"/>
      <c r="T437" s="216"/>
      <c r="U437" s="216"/>
      <c r="V437" s="216"/>
      <c r="W437" s="216"/>
      <c r="X437" s="216"/>
      <c r="Y437" s="216"/>
      <c r="Z437" s="216"/>
    </row>
    <row r="438" spans="1:26" ht="15.75" customHeight="1">
      <c r="A438" s="134" t="s">
        <v>3417</v>
      </c>
      <c r="B438" s="586" t="s">
        <v>141</v>
      </c>
      <c r="C438" s="31" t="s">
        <v>9950</v>
      </c>
      <c r="D438" s="1175">
        <v>30</v>
      </c>
      <c r="E438" s="528">
        <f t="shared" si="19"/>
        <v>30</v>
      </c>
      <c r="F438" s="216" t="str">
        <f t="shared" si="17"/>
        <v>Pitic Antoniu</v>
      </c>
      <c r="G438" s="1"/>
      <c r="H438" s="1"/>
      <c r="I438" s="216"/>
      <c r="J438" s="216"/>
      <c r="K438" s="216"/>
      <c r="L438" s="216"/>
      <c r="M438" s="216"/>
      <c r="N438" s="216"/>
      <c r="O438" s="216"/>
      <c r="P438" s="216"/>
      <c r="Q438" s="216"/>
      <c r="R438" s="216"/>
      <c r="S438" s="216"/>
      <c r="T438" s="216"/>
      <c r="U438" s="216"/>
      <c r="V438" s="216"/>
      <c r="W438" s="216"/>
      <c r="X438" s="216"/>
      <c r="Y438" s="216"/>
      <c r="Z438" s="216"/>
    </row>
    <row r="439" spans="1:26" ht="15.75" customHeight="1">
      <c r="A439" s="134" t="s">
        <v>3417</v>
      </c>
      <c r="B439" s="586" t="s">
        <v>141</v>
      </c>
      <c r="C439" s="31" t="s">
        <v>9951</v>
      </c>
      <c r="D439" s="1175">
        <v>30</v>
      </c>
      <c r="E439" s="528">
        <f t="shared" si="19"/>
        <v>30</v>
      </c>
      <c r="F439" s="216" t="str">
        <f t="shared" si="17"/>
        <v>Pitic Antoniu</v>
      </c>
      <c r="G439" s="1"/>
      <c r="H439" s="1"/>
      <c r="I439" s="216"/>
      <c r="J439" s="216"/>
      <c r="K439" s="216"/>
      <c r="L439" s="216"/>
      <c r="M439" s="216"/>
      <c r="N439" s="216"/>
      <c r="O439" s="216"/>
      <c r="P439" s="216"/>
      <c r="Q439" s="216"/>
      <c r="R439" s="216"/>
      <c r="S439" s="216"/>
      <c r="T439" s="216"/>
      <c r="U439" s="216"/>
      <c r="V439" s="216"/>
      <c r="W439" s="216"/>
      <c r="X439" s="216"/>
      <c r="Y439" s="216"/>
      <c r="Z439" s="216"/>
    </row>
    <row r="440" spans="1:26" ht="15.75" customHeight="1">
      <c r="A440" s="134" t="s">
        <v>3417</v>
      </c>
      <c r="B440" s="586" t="s">
        <v>141</v>
      </c>
      <c r="C440" s="31" t="s">
        <v>9952</v>
      </c>
      <c r="D440" s="1175">
        <v>30</v>
      </c>
      <c r="E440" s="528">
        <f t="shared" si="19"/>
        <v>30</v>
      </c>
      <c r="F440" s="216" t="str">
        <f t="shared" si="17"/>
        <v>Pitic Antoniu</v>
      </c>
      <c r="G440" s="1"/>
      <c r="H440" s="1"/>
      <c r="I440" s="216"/>
      <c r="J440" s="216"/>
      <c r="K440" s="216"/>
      <c r="L440" s="216"/>
      <c r="M440" s="216"/>
      <c r="N440" s="216"/>
      <c r="O440" s="216"/>
      <c r="P440" s="216"/>
      <c r="Q440" s="216"/>
      <c r="R440" s="216"/>
      <c r="S440" s="216"/>
      <c r="T440" s="216"/>
      <c r="U440" s="216"/>
      <c r="V440" s="216"/>
      <c r="W440" s="216"/>
      <c r="X440" s="216"/>
      <c r="Y440" s="216"/>
      <c r="Z440" s="216"/>
    </row>
    <row r="441" spans="1:26" ht="15.75" customHeight="1">
      <c r="A441" s="134" t="s">
        <v>3417</v>
      </c>
      <c r="B441" s="586" t="s">
        <v>141</v>
      </c>
      <c r="C441" s="31" t="s">
        <v>9953</v>
      </c>
      <c r="D441" s="1175">
        <v>30</v>
      </c>
      <c r="E441" s="528">
        <f t="shared" si="19"/>
        <v>30</v>
      </c>
      <c r="F441" s="216" t="str">
        <f t="shared" si="17"/>
        <v>Pitic Antoniu</v>
      </c>
      <c r="G441" s="1"/>
      <c r="H441" s="1"/>
      <c r="I441" s="216"/>
      <c r="J441" s="216"/>
      <c r="K441" s="216"/>
      <c r="L441" s="216"/>
      <c r="M441" s="216"/>
      <c r="N441" s="216"/>
      <c r="O441" s="216"/>
      <c r="P441" s="216"/>
      <c r="Q441" s="216"/>
      <c r="R441" s="216"/>
      <c r="S441" s="216"/>
      <c r="T441" s="216"/>
      <c r="U441" s="216"/>
      <c r="V441" s="216"/>
      <c r="W441" s="216"/>
      <c r="X441" s="216"/>
      <c r="Y441" s="216"/>
      <c r="Z441" s="216"/>
    </row>
    <row r="442" spans="1:26" ht="15.75" customHeight="1">
      <c r="A442" s="134" t="s">
        <v>3417</v>
      </c>
      <c r="B442" s="586" t="s">
        <v>141</v>
      </c>
      <c r="C442" s="31" t="s">
        <v>9954</v>
      </c>
      <c r="D442" s="1175">
        <v>30</v>
      </c>
      <c r="E442" s="528">
        <f t="shared" si="19"/>
        <v>30</v>
      </c>
      <c r="F442" s="216" t="str">
        <f t="shared" si="17"/>
        <v>Pitic Antoniu</v>
      </c>
      <c r="G442" s="1"/>
      <c r="H442" s="1"/>
      <c r="I442" s="216"/>
      <c r="J442" s="216"/>
      <c r="K442" s="216"/>
      <c r="L442" s="216"/>
      <c r="M442" s="216"/>
      <c r="N442" s="216"/>
      <c r="O442" s="216"/>
      <c r="P442" s="216"/>
      <c r="Q442" s="216"/>
      <c r="R442" s="216"/>
      <c r="S442" s="216"/>
      <c r="T442" s="216"/>
      <c r="U442" s="216"/>
      <c r="V442" s="216"/>
      <c r="W442" s="216"/>
      <c r="X442" s="216"/>
      <c r="Y442" s="216"/>
      <c r="Z442" s="216"/>
    </row>
    <row r="443" spans="1:26" ht="15.75" customHeight="1">
      <c r="A443" s="134" t="s">
        <v>3417</v>
      </c>
      <c r="B443" s="586" t="s">
        <v>141</v>
      </c>
      <c r="C443" s="31" t="s">
        <v>9955</v>
      </c>
      <c r="D443" s="1175">
        <v>30</v>
      </c>
      <c r="E443" s="528">
        <f t="shared" si="19"/>
        <v>30</v>
      </c>
      <c r="F443" s="216" t="str">
        <f t="shared" si="17"/>
        <v>Pitic Antoniu</v>
      </c>
      <c r="G443" s="1"/>
      <c r="H443" s="1"/>
      <c r="I443" s="216"/>
      <c r="J443" s="216"/>
      <c r="K443" s="216"/>
      <c r="L443" s="216"/>
      <c r="M443" s="216"/>
      <c r="N443" s="216"/>
      <c r="O443" s="216"/>
      <c r="P443" s="216"/>
      <c r="Q443" s="216"/>
      <c r="R443" s="216"/>
      <c r="S443" s="216"/>
      <c r="T443" s="216"/>
      <c r="U443" s="216"/>
      <c r="V443" s="216"/>
      <c r="W443" s="216"/>
      <c r="X443" s="216"/>
      <c r="Y443" s="216"/>
      <c r="Z443" s="216"/>
    </row>
    <row r="444" spans="1:26" ht="15.75" customHeight="1">
      <c r="A444" s="134" t="s">
        <v>3417</v>
      </c>
      <c r="B444" s="586" t="s">
        <v>141</v>
      </c>
      <c r="C444" s="31" t="s">
        <v>9956</v>
      </c>
      <c r="D444" s="1175">
        <v>30</v>
      </c>
      <c r="E444" s="528">
        <f t="shared" si="19"/>
        <v>30</v>
      </c>
      <c r="F444" s="216" t="str">
        <f t="shared" si="17"/>
        <v>Pitic Antoniu</v>
      </c>
      <c r="G444" s="1"/>
      <c r="H444" s="1"/>
      <c r="I444" s="216"/>
      <c r="J444" s="216"/>
      <c r="K444" s="216"/>
      <c r="L444" s="216"/>
      <c r="M444" s="216"/>
      <c r="N444" s="216"/>
      <c r="O444" s="216"/>
      <c r="P444" s="216"/>
      <c r="Q444" s="216"/>
      <c r="R444" s="216"/>
      <c r="S444" s="216"/>
      <c r="T444" s="216"/>
      <c r="U444" s="216"/>
      <c r="V444" s="216"/>
      <c r="W444" s="216"/>
      <c r="X444" s="216"/>
      <c r="Y444" s="216"/>
      <c r="Z444" s="216"/>
    </row>
    <row r="445" spans="1:26" ht="15.75" customHeight="1">
      <c r="A445" s="134" t="s">
        <v>3417</v>
      </c>
      <c r="B445" s="586" t="s">
        <v>141</v>
      </c>
      <c r="C445" s="31" t="s">
        <v>9957</v>
      </c>
      <c r="D445" s="1175">
        <v>30</v>
      </c>
      <c r="E445" s="528">
        <f t="shared" si="19"/>
        <v>30</v>
      </c>
      <c r="F445" s="216" t="str">
        <f t="shared" si="17"/>
        <v>Pitic Antoniu</v>
      </c>
      <c r="G445" s="1"/>
      <c r="H445" s="1"/>
      <c r="I445" s="216"/>
      <c r="J445" s="216"/>
      <c r="K445" s="216"/>
      <c r="L445" s="216"/>
      <c r="M445" s="216"/>
      <c r="N445" s="216"/>
      <c r="O445" s="216"/>
      <c r="P445" s="216"/>
      <c r="Q445" s="216"/>
      <c r="R445" s="216"/>
      <c r="S445" s="216"/>
      <c r="T445" s="216"/>
      <c r="U445" s="216"/>
      <c r="V445" s="216"/>
      <c r="W445" s="216"/>
      <c r="X445" s="216"/>
      <c r="Y445" s="216"/>
      <c r="Z445" s="216"/>
    </row>
    <row r="446" spans="1:26" ht="15.75" customHeight="1">
      <c r="A446" s="134" t="s">
        <v>3450</v>
      </c>
      <c r="B446" s="133" t="s">
        <v>141</v>
      </c>
      <c r="C446" s="469" t="s">
        <v>9958</v>
      </c>
      <c r="D446" s="100">
        <v>20</v>
      </c>
      <c r="E446" s="528">
        <v>20</v>
      </c>
      <c r="F446" s="216" t="str">
        <f t="shared" si="17"/>
        <v>Viorel Alina</v>
      </c>
      <c r="G446" s="1"/>
      <c r="H446" s="1"/>
      <c r="I446" s="216"/>
      <c r="J446" s="216"/>
      <c r="K446" s="216"/>
      <c r="L446" s="216"/>
      <c r="M446" s="216"/>
      <c r="N446" s="216"/>
      <c r="O446" s="216"/>
      <c r="P446" s="216"/>
      <c r="Q446" s="216"/>
      <c r="R446" s="216"/>
      <c r="S446" s="216"/>
      <c r="T446" s="216"/>
      <c r="U446" s="216"/>
      <c r="V446" s="216"/>
      <c r="W446" s="216"/>
      <c r="X446" s="216"/>
      <c r="Y446" s="216"/>
      <c r="Z446" s="216"/>
    </row>
    <row r="447" spans="1:26" ht="15.75" customHeight="1">
      <c r="A447" s="134" t="s">
        <v>1204</v>
      </c>
      <c r="B447" s="586" t="s">
        <v>141</v>
      </c>
      <c r="C447" s="1192" t="s">
        <v>9959</v>
      </c>
      <c r="D447" s="1175">
        <v>20</v>
      </c>
      <c r="E447" s="528">
        <v>20</v>
      </c>
      <c r="F447" s="216" t="str">
        <f t="shared" si="17"/>
        <v>Volovici Daniel</v>
      </c>
      <c r="G447" s="1"/>
      <c r="H447" s="1"/>
      <c r="I447" s="216"/>
      <c r="J447" s="216"/>
      <c r="K447" s="216"/>
      <c r="L447" s="216"/>
      <c r="M447" s="216"/>
      <c r="N447" s="216"/>
      <c r="O447" s="216"/>
      <c r="P447" s="216"/>
      <c r="Q447" s="216"/>
      <c r="R447" s="216"/>
      <c r="S447" s="216"/>
      <c r="T447" s="216"/>
      <c r="U447" s="216"/>
      <c r="V447" s="216"/>
      <c r="W447" s="216"/>
      <c r="X447" s="216"/>
      <c r="Y447" s="216"/>
      <c r="Z447" s="216"/>
    </row>
    <row r="448" spans="1:26" ht="15.75" customHeight="1">
      <c r="A448" s="134" t="s">
        <v>1204</v>
      </c>
      <c r="B448" s="586" t="s">
        <v>141</v>
      </c>
      <c r="C448" s="1193" t="s">
        <v>9960</v>
      </c>
      <c r="D448" s="1175">
        <v>20</v>
      </c>
      <c r="E448" s="528">
        <v>20</v>
      </c>
      <c r="F448" s="216" t="str">
        <f t="shared" si="17"/>
        <v>Volovici Daniel</v>
      </c>
      <c r="G448" s="1"/>
      <c r="H448" s="1"/>
      <c r="I448" s="216"/>
      <c r="J448" s="216"/>
      <c r="K448" s="216"/>
      <c r="L448" s="216"/>
      <c r="M448" s="216"/>
      <c r="N448" s="216"/>
      <c r="O448" s="216"/>
      <c r="P448" s="216"/>
      <c r="Q448" s="216"/>
      <c r="R448" s="216"/>
      <c r="S448" s="216"/>
      <c r="T448" s="216"/>
      <c r="U448" s="216"/>
      <c r="V448" s="216"/>
      <c r="W448" s="216"/>
      <c r="X448" s="216"/>
      <c r="Y448" s="216"/>
      <c r="Z448" s="216"/>
    </row>
    <row r="449" spans="1:26" ht="15.75" customHeight="1">
      <c r="A449" s="134" t="s">
        <v>6654</v>
      </c>
      <c r="B449" s="586" t="s">
        <v>141</v>
      </c>
      <c r="C449" s="1193" t="s">
        <v>9961</v>
      </c>
      <c r="D449" s="1175">
        <v>20</v>
      </c>
      <c r="E449" s="528">
        <v>20</v>
      </c>
      <c r="F449" s="216" t="s">
        <v>6654</v>
      </c>
      <c r="G449" s="1"/>
      <c r="H449" s="1"/>
      <c r="I449" s="216"/>
      <c r="J449" s="216"/>
      <c r="K449" s="216"/>
      <c r="L449" s="216"/>
      <c r="M449" s="216"/>
      <c r="N449" s="216"/>
      <c r="O449" s="216"/>
      <c r="P449" s="216"/>
      <c r="Q449" s="216"/>
      <c r="R449" s="216"/>
      <c r="S449" s="216"/>
      <c r="T449" s="216"/>
      <c r="U449" s="216"/>
      <c r="V449" s="216"/>
      <c r="W449" s="216"/>
      <c r="X449" s="216"/>
      <c r="Y449" s="216"/>
      <c r="Z449" s="216"/>
    </row>
    <row r="450" spans="1:26" ht="15.75" customHeight="1">
      <c r="A450" s="134" t="s">
        <v>6654</v>
      </c>
      <c r="B450" s="586" t="s">
        <v>141</v>
      </c>
      <c r="C450" s="1193" t="s">
        <v>9962</v>
      </c>
      <c r="D450" s="1175">
        <v>20</v>
      </c>
      <c r="E450" s="528">
        <v>20</v>
      </c>
      <c r="F450" s="216" t="s">
        <v>6654</v>
      </c>
      <c r="G450" s="1"/>
      <c r="H450" s="1"/>
      <c r="I450" s="216"/>
      <c r="J450" s="216"/>
      <c r="K450" s="216"/>
      <c r="L450" s="216"/>
      <c r="M450" s="216"/>
      <c r="N450" s="216"/>
      <c r="O450" s="216"/>
      <c r="P450" s="216"/>
      <c r="Q450" s="216"/>
      <c r="R450" s="216"/>
      <c r="S450" s="216"/>
      <c r="T450" s="216"/>
      <c r="U450" s="216"/>
      <c r="V450" s="216"/>
      <c r="W450" s="216"/>
      <c r="X450" s="216"/>
      <c r="Y450" s="216"/>
      <c r="Z450" s="216"/>
    </row>
    <row r="451" spans="1:26" ht="15.75" customHeight="1">
      <c r="A451" s="134" t="s">
        <v>6654</v>
      </c>
      <c r="B451" s="586" t="s">
        <v>141</v>
      </c>
      <c r="C451" s="1193" t="s">
        <v>9963</v>
      </c>
      <c r="D451" s="1175">
        <v>20</v>
      </c>
      <c r="E451" s="528">
        <v>20</v>
      </c>
      <c r="F451" s="216" t="s">
        <v>6654</v>
      </c>
      <c r="G451" s="1"/>
      <c r="H451" s="1"/>
      <c r="I451" s="216"/>
      <c r="J451" s="216"/>
      <c r="K451" s="216"/>
      <c r="L451" s="216"/>
      <c r="M451" s="216"/>
      <c r="N451" s="216"/>
      <c r="O451" s="216"/>
      <c r="P451" s="216"/>
      <c r="Q451" s="216"/>
      <c r="R451" s="216"/>
      <c r="S451" s="216"/>
      <c r="T451" s="216"/>
      <c r="U451" s="216"/>
      <c r="V451" s="216"/>
      <c r="W451" s="216"/>
      <c r="X451" s="216"/>
      <c r="Y451" s="216"/>
      <c r="Z451" s="216"/>
    </row>
    <row r="452" spans="1:26" ht="15.75" customHeight="1">
      <c r="A452" s="134" t="s">
        <v>6654</v>
      </c>
      <c r="B452" s="586" t="s">
        <v>141</v>
      </c>
      <c r="C452" s="1193" t="s">
        <v>9964</v>
      </c>
      <c r="D452" s="1175">
        <v>20</v>
      </c>
      <c r="E452" s="528">
        <v>20</v>
      </c>
      <c r="F452" s="216" t="s">
        <v>6654</v>
      </c>
      <c r="G452" s="1"/>
      <c r="H452" s="1"/>
      <c r="I452" s="216"/>
      <c r="J452" s="216"/>
      <c r="K452" s="216"/>
      <c r="L452" s="216"/>
      <c r="M452" s="216"/>
      <c r="N452" s="216"/>
      <c r="O452" s="216"/>
      <c r="P452" s="216"/>
      <c r="Q452" s="216"/>
      <c r="R452" s="216"/>
      <c r="S452" s="216"/>
      <c r="T452" s="216"/>
      <c r="U452" s="216"/>
      <c r="V452" s="216"/>
      <c r="W452" s="216"/>
      <c r="X452" s="216"/>
      <c r="Y452" s="216"/>
      <c r="Z452" s="216"/>
    </row>
    <row r="453" spans="1:26" ht="15.75" customHeight="1">
      <c r="A453" s="134" t="s">
        <v>6654</v>
      </c>
      <c r="B453" s="586" t="s">
        <v>141</v>
      </c>
      <c r="C453" s="1193" t="s">
        <v>9965</v>
      </c>
      <c r="D453" s="1175">
        <v>20</v>
      </c>
      <c r="E453" s="528">
        <v>20</v>
      </c>
      <c r="F453" s="216" t="s">
        <v>6654</v>
      </c>
      <c r="G453" s="1"/>
      <c r="H453" s="1"/>
      <c r="I453" s="216"/>
      <c r="J453" s="216"/>
      <c r="K453" s="216"/>
      <c r="L453" s="216"/>
      <c r="M453" s="216"/>
      <c r="N453" s="216"/>
      <c r="O453" s="216"/>
      <c r="P453" s="216"/>
      <c r="Q453" s="216"/>
      <c r="R453" s="216"/>
      <c r="S453" s="216"/>
      <c r="T453" s="216"/>
      <c r="U453" s="216"/>
      <c r="V453" s="216"/>
      <c r="W453" s="216"/>
      <c r="X453" s="216"/>
      <c r="Y453" s="216"/>
      <c r="Z453" s="216"/>
    </row>
    <row r="454" spans="1:26" ht="15.75" customHeight="1">
      <c r="A454" s="134" t="s">
        <v>6654</v>
      </c>
      <c r="B454" s="586" t="s">
        <v>141</v>
      </c>
      <c r="C454" s="1193" t="s">
        <v>9966</v>
      </c>
      <c r="D454" s="1175">
        <v>20</v>
      </c>
      <c r="E454" s="528">
        <v>20</v>
      </c>
      <c r="F454" s="216" t="s">
        <v>6654</v>
      </c>
      <c r="G454" s="1"/>
      <c r="H454" s="1"/>
      <c r="I454" s="216"/>
      <c r="J454" s="216"/>
      <c r="K454" s="216"/>
      <c r="L454" s="216"/>
      <c r="M454" s="216"/>
      <c r="N454" s="216"/>
      <c r="O454" s="216"/>
      <c r="P454" s="216"/>
      <c r="Q454" s="216"/>
      <c r="R454" s="216"/>
      <c r="S454" s="216"/>
      <c r="T454" s="216"/>
      <c r="U454" s="216"/>
      <c r="V454" s="216"/>
      <c r="W454" s="216"/>
      <c r="X454" s="216"/>
      <c r="Y454" s="216"/>
      <c r="Z454" s="216"/>
    </row>
    <row r="455" spans="1:26" ht="15.75" customHeight="1">
      <c r="A455" s="1266" t="s">
        <v>7619</v>
      </c>
      <c r="B455" s="1267" t="s">
        <v>141</v>
      </c>
      <c r="C455" s="1268" t="s">
        <v>9967</v>
      </c>
      <c r="D455" s="1264">
        <v>20</v>
      </c>
      <c r="E455" s="1265">
        <v>20</v>
      </c>
      <c r="F455" s="256" t="s">
        <v>7619</v>
      </c>
      <c r="G455" s="1"/>
      <c r="H455" s="1"/>
      <c r="I455" s="216"/>
      <c r="J455" s="216"/>
      <c r="K455" s="216"/>
      <c r="L455" s="216"/>
      <c r="M455" s="216"/>
      <c r="N455" s="216"/>
      <c r="O455" s="216"/>
      <c r="P455" s="216"/>
      <c r="Q455" s="216"/>
      <c r="R455" s="216"/>
      <c r="S455" s="216"/>
      <c r="T455" s="216"/>
      <c r="U455" s="216"/>
      <c r="V455" s="216"/>
      <c r="W455" s="216"/>
      <c r="X455" s="216"/>
      <c r="Y455" s="216"/>
      <c r="Z455" s="216"/>
    </row>
    <row r="456" spans="1:26" ht="15.75" customHeight="1">
      <c r="A456" s="1250"/>
      <c r="B456" s="1250"/>
      <c r="C456" s="1250"/>
      <c r="D456" s="1250"/>
      <c r="E456" s="1250"/>
      <c r="F456" s="256" t="s">
        <v>7619</v>
      </c>
      <c r="G456" s="1"/>
      <c r="H456" s="1"/>
      <c r="I456" s="216"/>
      <c r="J456" s="216"/>
      <c r="K456" s="216"/>
      <c r="L456" s="216"/>
      <c r="M456" s="216"/>
      <c r="N456" s="216"/>
      <c r="O456" s="216"/>
      <c r="P456" s="216"/>
      <c r="Q456" s="216"/>
      <c r="R456" s="216"/>
      <c r="S456" s="216"/>
      <c r="T456" s="216"/>
      <c r="U456" s="216"/>
      <c r="V456" s="216"/>
      <c r="W456" s="216"/>
      <c r="X456" s="216"/>
      <c r="Y456" s="216"/>
      <c r="Z456" s="216"/>
    </row>
    <row r="457" spans="1:26" ht="15.75" customHeight="1">
      <c r="A457" s="134" t="s">
        <v>7619</v>
      </c>
      <c r="B457" s="108" t="s">
        <v>141</v>
      </c>
      <c r="C457" s="133" t="s">
        <v>9968</v>
      </c>
      <c r="D457" s="100">
        <v>20</v>
      </c>
      <c r="E457" s="528">
        <v>20</v>
      </c>
      <c r="F457" s="134" t="s">
        <v>7619</v>
      </c>
      <c r="G457" s="1"/>
      <c r="H457" s="1"/>
      <c r="I457" s="216"/>
      <c r="J457" s="216"/>
      <c r="K457" s="216"/>
      <c r="L457" s="216"/>
      <c r="M457" s="216"/>
      <c r="N457" s="216"/>
      <c r="O457" s="216"/>
      <c r="P457" s="216"/>
      <c r="Q457" s="216"/>
      <c r="R457" s="216"/>
      <c r="S457" s="216"/>
      <c r="T457" s="216"/>
      <c r="U457" s="216"/>
      <c r="V457" s="216"/>
      <c r="W457" s="216"/>
      <c r="X457" s="216"/>
      <c r="Y457" s="216"/>
      <c r="Z457" s="216"/>
    </row>
    <row r="458" spans="1:26" ht="15.75" customHeight="1">
      <c r="A458" s="134" t="s">
        <v>7619</v>
      </c>
      <c r="B458" s="108" t="s">
        <v>141</v>
      </c>
      <c r="C458" s="133" t="s">
        <v>9969</v>
      </c>
      <c r="D458" s="100">
        <v>20</v>
      </c>
      <c r="E458" s="528">
        <v>20</v>
      </c>
      <c r="F458" s="216"/>
      <c r="G458" s="1"/>
      <c r="H458" s="1"/>
      <c r="I458" s="216"/>
      <c r="J458" s="216"/>
      <c r="K458" s="216"/>
      <c r="L458" s="216"/>
      <c r="M458" s="216"/>
      <c r="N458" s="216"/>
      <c r="O458" s="216"/>
      <c r="P458" s="216"/>
      <c r="Q458" s="216"/>
      <c r="R458" s="216"/>
      <c r="S458" s="216"/>
      <c r="T458" s="216"/>
      <c r="U458" s="216"/>
      <c r="V458" s="216"/>
      <c r="W458" s="216"/>
      <c r="X458" s="216"/>
      <c r="Y458" s="216"/>
      <c r="Z458" s="216"/>
    </row>
    <row r="459" spans="1:26" ht="15" customHeight="1">
      <c r="A459" s="134" t="s">
        <v>114</v>
      </c>
      <c r="B459" s="133" t="s">
        <v>105</v>
      </c>
      <c r="C459" s="133" t="s">
        <v>9970</v>
      </c>
      <c r="D459" s="100">
        <v>30</v>
      </c>
      <c r="E459" s="528">
        <v>30</v>
      </c>
      <c r="F459" s="338" t="s">
        <v>114</v>
      </c>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ht="15" customHeight="1">
      <c r="A460" s="134" t="s">
        <v>7245</v>
      </c>
      <c r="B460" s="133" t="s">
        <v>105</v>
      </c>
      <c r="C460" s="1194" t="s">
        <v>9971</v>
      </c>
      <c r="D460" s="100">
        <v>20</v>
      </c>
      <c r="E460" s="528">
        <f t="shared" ref="E460:E477" si="20">D460</f>
        <v>20</v>
      </c>
      <c r="F460" s="338" t="s">
        <v>952</v>
      </c>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ht="15" customHeight="1">
      <c r="A461" s="134" t="s">
        <v>7245</v>
      </c>
      <c r="B461" s="133" t="s">
        <v>105</v>
      </c>
      <c r="C461" s="1179" t="s">
        <v>9972</v>
      </c>
      <c r="D461" s="100">
        <v>20</v>
      </c>
      <c r="E461" s="528">
        <f t="shared" si="20"/>
        <v>20</v>
      </c>
      <c r="F461" s="338" t="s">
        <v>952</v>
      </c>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ht="15" customHeight="1">
      <c r="A462" s="134" t="s">
        <v>7245</v>
      </c>
      <c r="B462" s="133" t="s">
        <v>105</v>
      </c>
      <c r="C462" s="133" t="s">
        <v>9973</v>
      </c>
      <c r="D462" s="100">
        <v>20</v>
      </c>
      <c r="E462" s="528">
        <f t="shared" si="20"/>
        <v>20</v>
      </c>
      <c r="F462" s="338" t="s">
        <v>952</v>
      </c>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ht="15" customHeight="1">
      <c r="A463" s="134" t="s">
        <v>7245</v>
      </c>
      <c r="B463" s="133" t="s">
        <v>105</v>
      </c>
      <c r="C463" s="133" t="s">
        <v>9974</v>
      </c>
      <c r="D463" s="100">
        <v>20</v>
      </c>
      <c r="E463" s="528">
        <f t="shared" si="20"/>
        <v>20</v>
      </c>
      <c r="F463" s="338" t="s">
        <v>952</v>
      </c>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ht="15" customHeight="1">
      <c r="A464" s="134" t="s">
        <v>7245</v>
      </c>
      <c r="B464" s="133" t="s">
        <v>105</v>
      </c>
      <c r="C464" s="133" t="s">
        <v>9975</v>
      </c>
      <c r="D464" s="100">
        <v>20</v>
      </c>
      <c r="E464" s="528">
        <f t="shared" si="20"/>
        <v>20</v>
      </c>
      <c r="F464" s="338" t="s">
        <v>952</v>
      </c>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ht="15" customHeight="1">
      <c r="A465" s="134" t="s">
        <v>7245</v>
      </c>
      <c r="B465" s="133" t="s">
        <v>105</v>
      </c>
      <c r="C465" s="133" t="s">
        <v>9976</v>
      </c>
      <c r="D465" s="100">
        <v>20</v>
      </c>
      <c r="E465" s="528">
        <f t="shared" si="20"/>
        <v>20</v>
      </c>
      <c r="F465" s="338" t="s">
        <v>952</v>
      </c>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ht="15" customHeight="1">
      <c r="A466" s="134" t="s">
        <v>7245</v>
      </c>
      <c r="B466" s="133" t="s">
        <v>105</v>
      </c>
      <c r="C466" s="133" t="s">
        <v>9977</v>
      </c>
      <c r="D466" s="100">
        <v>20</v>
      </c>
      <c r="E466" s="528">
        <f t="shared" si="20"/>
        <v>20</v>
      </c>
      <c r="F466" s="338" t="s">
        <v>952</v>
      </c>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ht="15" customHeight="1">
      <c r="A467" s="134" t="s">
        <v>7245</v>
      </c>
      <c r="B467" s="133" t="s">
        <v>105</v>
      </c>
      <c r="C467" s="133" t="s">
        <v>9978</v>
      </c>
      <c r="D467" s="100">
        <v>20</v>
      </c>
      <c r="E467" s="528">
        <f t="shared" si="20"/>
        <v>20</v>
      </c>
      <c r="F467" s="338" t="s">
        <v>952</v>
      </c>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ht="15" customHeight="1">
      <c r="A468" s="134" t="s">
        <v>7245</v>
      </c>
      <c r="B468" s="133" t="s">
        <v>105</v>
      </c>
      <c r="C468" s="133" t="s">
        <v>9979</v>
      </c>
      <c r="D468" s="100">
        <v>20</v>
      </c>
      <c r="E468" s="528">
        <f t="shared" si="20"/>
        <v>20</v>
      </c>
      <c r="F468" s="338" t="s">
        <v>952</v>
      </c>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ht="15" customHeight="1">
      <c r="A469" s="134" t="s">
        <v>7245</v>
      </c>
      <c r="B469" s="133" t="s">
        <v>105</v>
      </c>
      <c r="C469" s="133" t="s">
        <v>9980</v>
      </c>
      <c r="D469" s="100">
        <v>20</v>
      </c>
      <c r="E469" s="528">
        <f t="shared" si="20"/>
        <v>20</v>
      </c>
      <c r="F469" s="338" t="s">
        <v>952</v>
      </c>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ht="15" customHeight="1">
      <c r="A470" s="134" t="s">
        <v>7245</v>
      </c>
      <c r="B470" s="133" t="s">
        <v>105</v>
      </c>
      <c r="C470" s="133" t="s">
        <v>9981</v>
      </c>
      <c r="D470" s="100">
        <v>20</v>
      </c>
      <c r="E470" s="528">
        <f t="shared" si="20"/>
        <v>20</v>
      </c>
      <c r="F470" s="338" t="s">
        <v>952</v>
      </c>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ht="15" customHeight="1">
      <c r="A471" s="134" t="s">
        <v>7245</v>
      </c>
      <c r="B471" s="133" t="s">
        <v>105</v>
      </c>
      <c r="C471" s="133" t="s">
        <v>9982</v>
      </c>
      <c r="D471" s="100">
        <v>20</v>
      </c>
      <c r="E471" s="528">
        <f t="shared" si="20"/>
        <v>20</v>
      </c>
      <c r="F471" s="338" t="s">
        <v>952</v>
      </c>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ht="15" customHeight="1">
      <c r="A472" s="134" t="s">
        <v>7245</v>
      </c>
      <c r="B472" s="133" t="s">
        <v>105</v>
      </c>
      <c r="C472" s="133" t="s">
        <v>9983</v>
      </c>
      <c r="D472" s="100">
        <v>20</v>
      </c>
      <c r="E472" s="528">
        <f t="shared" si="20"/>
        <v>20</v>
      </c>
      <c r="F472" s="338" t="s">
        <v>952</v>
      </c>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ht="15" customHeight="1">
      <c r="A473" s="134" t="s">
        <v>7245</v>
      </c>
      <c r="B473" s="133" t="s">
        <v>105</v>
      </c>
      <c r="C473" s="133" t="s">
        <v>9984</v>
      </c>
      <c r="D473" s="100">
        <v>20</v>
      </c>
      <c r="E473" s="528">
        <f t="shared" si="20"/>
        <v>20</v>
      </c>
      <c r="F473" s="338" t="s">
        <v>952</v>
      </c>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ht="15" customHeight="1">
      <c r="A474" s="134" t="s">
        <v>7245</v>
      </c>
      <c r="B474" s="133" t="s">
        <v>105</v>
      </c>
      <c r="C474" s="133" t="s">
        <v>9985</v>
      </c>
      <c r="D474" s="100">
        <v>30</v>
      </c>
      <c r="E474" s="528">
        <f t="shared" si="20"/>
        <v>30</v>
      </c>
      <c r="F474" s="338" t="s">
        <v>952</v>
      </c>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ht="15" customHeight="1">
      <c r="A475" s="134" t="s">
        <v>7245</v>
      </c>
      <c r="B475" s="133" t="s">
        <v>105</v>
      </c>
      <c r="C475" s="1195" t="s">
        <v>9986</v>
      </c>
      <c r="D475" s="100">
        <v>30</v>
      </c>
      <c r="E475" s="528">
        <f t="shared" si="20"/>
        <v>30</v>
      </c>
      <c r="F475" s="338" t="s">
        <v>952</v>
      </c>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ht="15" customHeight="1">
      <c r="A476" s="134" t="s">
        <v>7245</v>
      </c>
      <c r="B476" s="133" t="s">
        <v>105</v>
      </c>
      <c r="C476" s="133" t="s">
        <v>9987</v>
      </c>
      <c r="D476" s="100">
        <v>30</v>
      </c>
      <c r="E476" s="528">
        <f t="shared" si="20"/>
        <v>30</v>
      </c>
      <c r="F476" s="338" t="s">
        <v>952</v>
      </c>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ht="15" customHeight="1">
      <c r="A477" s="134" t="s">
        <v>7245</v>
      </c>
      <c r="B477" s="133" t="s">
        <v>105</v>
      </c>
      <c r="C477" s="133" t="s">
        <v>9988</v>
      </c>
      <c r="D477" s="100">
        <v>30</v>
      </c>
      <c r="E477" s="528">
        <f t="shared" si="20"/>
        <v>30</v>
      </c>
      <c r="F477" s="338" t="s">
        <v>952</v>
      </c>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ht="15" customHeight="1">
      <c r="A478" s="134" t="s">
        <v>123</v>
      </c>
      <c r="B478" s="133" t="s">
        <v>105</v>
      </c>
      <c r="C478" s="133" t="s">
        <v>9989</v>
      </c>
      <c r="D478" s="100">
        <v>20</v>
      </c>
      <c r="E478" s="528">
        <v>20</v>
      </c>
      <c r="F478" s="338" t="s">
        <v>123</v>
      </c>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ht="15" customHeight="1">
      <c r="A479" s="134" t="s">
        <v>123</v>
      </c>
      <c r="B479" s="133" t="s">
        <v>105</v>
      </c>
      <c r="C479" s="133" t="s">
        <v>9990</v>
      </c>
      <c r="D479" s="100">
        <v>20</v>
      </c>
      <c r="E479" s="528">
        <v>20</v>
      </c>
      <c r="F479" s="338" t="s">
        <v>123</v>
      </c>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ht="15" customHeight="1">
      <c r="A480" s="134" t="s">
        <v>123</v>
      </c>
      <c r="B480" s="133" t="s">
        <v>105</v>
      </c>
      <c r="C480" s="133" t="s">
        <v>9991</v>
      </c>
      <c r="D480" s="100">
        <v>20</v>
      </c>
      <c r="E480" s="528">
        <v>20</v>
      </c>
      <c r="F480" s="338" t="s">
        <v>123</v>
      </c>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ht="15" customHeight="1">
      <c r="A481" s="134" t="s">
        <v>123</v>
      </c>
      <c r="B481" s="133" t="s">
        <v>105</v>
      </c>
      <c r="C481" s="133" t="s">
        <v>9992</v>
      </c>
      <c r="D481" s="100">
        <v>20</v>
      </c>
      <c r="E481" s="528">
        <v>20</v>
      </c>
      <c r="F481" s="338" t="s">
        <v>123</v>
      </c>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ht="15" customHeight="1">
      <c r="A482" s="134" t="s">
        <v>123</v>
      </c>
      <c r="B482" s="133" t="s">
        <v>105</v>
      </c>
      <c r="C482" s="133" t="s">
        <v>9993</v>
      </c>
      <c r="D482" s="100">
        <v>20</v>
      </c>
      <c r="E482" s="528">
        <v>20</v>
      </c>
      <c r="F482" s="338" t="s">
        <v>123</v>
      </c>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ht="15" customHeight="1">
      <c r="A483" s="134" t="s">
        <v>6722</v>
      </c>
      <c r="B483" s="586" t="s">
        <v>105</v>
      </c>
      <c r="C483" s="464" t="s">
        <v>9994</v>
      </c>
      <c r="D483" s="1158">
        <v>20</v>
      </c>
      <c r="E483" s="528">
        <v>20</v>
      </c>
      <c r="F483" s="338" t="s">
        <v>104</v>
      </c>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ht="15" customHeight="1">
      <c r="A484" s="134" t="s">
        <v>6722</v>
      </c>
      <c r="B484" s="586" t="s">
        <v>105</v>
      </c>
      <c r="C484" s="464" t="s">
        <v>9995</v>
      </c>
      <c r="D484" s="1158">
        <v>20</v>
      </c>
      <c r="E484" s="528">
        <v>20</v>
      </c>
      <c r="F484" s="338" t="s">
        <v>104</v>
      </c>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ht="15" customHeight="1">
      <c r="A485" s="134" t="s">
        <v>6722</v>
      </c>
      <c r="B485" s="586" t="s">
        <v>105</v>
      </c>
      <c r="C485" s="464" t="s">
        <v>9996</v>
      </c>
      <c r="D485" s="1158">
        <v>20</v>
      </c>
      <c r="E485" s="528">
        <v>20</v>
      </c>
      <c r="F485" s="338" t="s">
        <v>104</v>
      </c>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ht="15" customHeight="1">
      <c r="A486" s="134" t="s">
        <v>6722</v>
      </c>
      <c r="B486" s="586" t="s">
        <v>105</v>
      </c>
      <c r="C486" s="464" t="s">
        <v>9997</v>
      </c>
      <c r="D486" s="1158">
        <v>20</v>
      </c>
      <c r="E486" s="528">
        <v>20</v>
      </c>
      <c r="F486" s="338" t="s">
        <v>104</v>
      </c>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ht="15" customHeight="1">
      <c r="A487" s="134" t="s">
        <v>6722</v>
      </c>
      <c r="B487" s="586" t="s">
        <v>105</v>
      </c>
      <c r="C487" s="464" t="s">
        <v>9998</v>
      </c>
      <c r="D487" s="1158">
        <v>20</v>
      </c>
      <c r="E487" s="528">
        <v>20</v>
      </c>
      <c r="F487" s="338" t="s">
        <v>104</v>
      </c>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ht="15" customHeight="1">
      <c r="A488" s="134" t="s">
        <v>6722</v>
      </c>
      <c r="B488" s="586" t="s">
        <v>105</v>
      </c>
      <c r="C488" s="464" t="s">
        <v>9999</v>
      </c>
      <c r="D488" s="1158">
        <v>20</v>
      </c>
      <c r="E488" s="528">
        <v>20</v>
      </c>
      <c r="F488" s="338" t="s">
        <v>104</v>
      </c>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ht="15" customHeight="1">
      <c r="A489" s="134" t="s">
        <v>6722</v>
      </c>
      <c r="B489" s="586" t="s">
        <v>105</v>
      </c>
      <c r="C489" s="464" t="s">
        <v>10000</v>
      </c>
      <c r="D489" s="1158">
        <v>20</v>
      </c>
      <c r="E489" s="528">
        <v>20</v>
      </c>
      <c r="F489" s="338" t="s">
        <v>104</v>
      </c>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ht="15" customHeight="1">
      <c r="A490" s="134" t="s">
        <v>6722</v>
      </c>
      <c r="B490" s="586" t="s">
        <v>105</v>
      </c>
      <c r="C490" s="464" t="s">
        <v>10001</v>
      </c>
      <c r="D490" s="1158">
        <v>20</v>
      </c>
      <c r="E490" s="528">
        <v>20</v>
      </c>
      <c r="F490" s="338" t="s">
        <v>104</v>
      </c>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ht="15" customHeight="1">
      <c r="A491" s="134" t="s">
        <v>6722</v>
      </c>
      <c r="B491" s="586" t="s">
        <v>105</v>
      </c>
      <c r="C491" s="464" t="s">
        <v>10002</v>
      </c>
      <c r="D491" s="1158">
        <v>20</v>
      </c>
      <c r="E491" s="528">
        <v>20</v>
      </c>
      <c r="F491" s="338" t="s">
        <v>104</v>
      </c>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ht="15" customHeight="1">
      <c r="A492" s="134" t="s">
        <v>6722</v>
      </c>
      <c r="B492" s="133" t="s">
        <v>105</v>
      </c>
      <c r="C492" s="1151" t="s">
        <v>10003</v>
      </c>
      <c r="D492" s="116">
        <v>20</v>
      </c>
      <c r="E492" s="528">
        <v>20</v>
      </c>
      <c r="F492" s="338" t="s">
        <v>104</v>
      </c>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ht="15" customHeight="1">
      <c r="A493" s="134" t="s">
        <v>6722</v>
      </c>
      <c r="B493" s="133" t="s">
        <v>105</v>
      </c>
      <c r="C493" s="1151" t="s">
        <v>10004</v>
      </c>
      <c r="D493" s="116">
        <v>20</v>
      </c>
      <c r="E493" s="528">
        <v>20</v>
      </c>
      <c r="F493" s="338" t="s">
        <v>104</v>
      </c>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ht="15" customHeight="1">
      <c r="A494" s="134" t="s">
        <v>6722</v>
      </c>
      <c r="B494" s="133" t="s">
        <v>105</v>
      </c>
      <c r="C494" s="1151" t="s">
        <v>10005</v>
      </c>
      <c r="D494" s="116">
        <v>30</v>
      </c>
      <c r="E494" s="528">
        <v>30</v>
      </c>
      <c r="F494" s="338" t="s">
        <v>104</v>
      </c>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ht="15" customHeight="1">
      <c r="A495" s="134" t="s">
        <v>6722</v>
      </c>
      <c r="B495" s="133" t="s">
        <v>105</v>
      </c>
      <c r="C495" s="133" t="s">
        <v>10006</v>
      </c>
      <c r="D495" s="116">
        <v>30</v>
      </c>
      <c r="E495" s="528">
        <v>30</v>
      </c>
      <c r="F495" s="338" t="s">
        <v>104</v>
      </c>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ht="15" customHeight="1">
      <c r="A496" s="134" t="s">
        <v>132</v>
      </c>
      <c r="B496" s="133" t="s">
        <v>105</v>
      </c>
      <c r="C496" s="133" t="s">
        <v>10007</v>
      </c>
      <c r="D496" s="100">
        <v>20</v>
      </c>
      <c r="E496" s="528">
        <f t="shared" ref="E496:E499" si="21">D496</f>
        <v>20</v>
      </c>
      <c r="F496" s="338" t="s">
        <v>132</v>
      </c>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ht="15" customHeight="1">
      <c r="A497" s="134" t="s">
        <v>132</v>
      </c>
      <c r="B497" s="133" t="s">
        <v>105</v>
      </c>
      <c r="C497" s="133" t="s">
        <v>10008</v>
      </c>
      <c r="D497" s="100">
        <v>20</v>
      </c>
      <c r="E497" s="528">
        <f t="shared" si="21"/>
        <v>20</v>
      </c>
      <c r="F497" s="338" t="s">
        <v>132</v>
      </c>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ht="15" customHeight="1">
      <c r="A498" s="134" t="s">
        <v>132</v>
      </c>
      <c r="B498" s="133" t="s">
        <v>105</v>
      </c>
      <c r="C498" s="133" t="s">
        <v>10009</v>
      </c>
      <c r="D498" s="100">
        <v>20</v>
      </c>
      <c r="E498" s="528">
        <f t="shared" si="21"/>
        <v>20</v>
      </c>
      <c r="F498" s="338" t="s">
        <v>132</v>
      </c>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ht="15" customHeight="1">
      <c r="A499" s="134" t="s">
        <v>132</v>
      </c>
      <c r="B499" s="133" t="s">
        <v>105</v>
      </c>
      <c r="C499" s="133" t="s">
        <v>10010</v>
      </c>
      <c r="D499" s="100">
        <v>20</v>
      </c>
      <c r="E499" s="528">
        <f t="shared" si="21"/>
        <v>20</v>
      </c>
      <c r="F499" s="338" t="s">
        <v>132</v>
      </c>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ht="15" customHeight="1">
      <c r="A500" s="134" t="s">
        <v>7628</v>
      </c>
      <c r="B500" s="133" t="s">
        <v>105</v>
      </c>
      <c r="C500" s="133" t="s">
        <v>10011</v>
      </c>
      <c r="D500" s="100">
        <v>20</v>
      </c>
      <c r="E500" s="528">
        <f t="shared" ref="E500:E501" si="22">D500/2</f>
        <v>10</v>
      </c>
      <c r="F500" s="338" t="s">
        <v>124</v>
      </c>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ht="15" customHeight="1">
      <c r="A501" s="134" t="s">
        <v>7628</v>
      </c>
      <c r="B501" s="133" t="s">
        <v>105</v>
      </c>
      <c r="C501" s="133" t="s">
        <v>10012</v>
      </c>
      <c r="D501" s="116">
        <v>20</v>
      </c>
      <c r="E501" s="528">
        <f t="shared" si="22"/>
        <v>10</v>
      </c>
      <c r="F501" s="338" t="s">
        <v>124</v>
      </c>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ht="15" customHeight="1">
      <c r="A502" s="134" t="s">
        <v>7263</v>
      </c>
      <c r="B502" s="133" t="s">
        <v>105</v>
      </c>
      <c r="C502" s="133" t="s">
        <v>10013</v>
      </c>
      <c r="D502" s="100">
        <v>20</v>
      </c>
      <c r="E502" s="528">
        <v>20</v>
      </c>
      <c r="F502" s="338" t="s">
        <v>125</v>
      </c>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ht="15" customHeight="1">
      <c r="A503" s="134" t="s">
        <v>7263</v>
      </c>
      <c r="B503" s="133" t="s">
        <v>105</v>
      </c>
      <c r="C503" s="133" t="s">
        <v>10014</v>
      </c>
      <c r="D503" s="100">
        <v>10</v>
      </c>
      <c r="E503" s="528">
        <v>10</v>
      </c>
      <c r="F503" s="338" t="s">
        <v>125</v>
      </c>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ht="15" customHeight="1">
      <c r="A504" s="134" t="s">
        <v>118</v>
      </c>
      <c r="B504" s="133" t="s">
        <v>105</v>
      </c>
      <c r="C504" s="133" t="s">
        <v>10015</v>
      </c>
      <c r="D504" s="116">
        <v>20</v>
      </c>
      <c r="E504" s="528">
        <v>10</v>
      </c>
      <c r="F504" s="338" t="s">
        <v>118</v>
      </c>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ht="15" customHeight="1">
      <c r="A505" s="134" t="s">
        <v>118</v>
      </c>
      <c r="B505" s="133" t="s">
        <v>105</v>
      </c>
      <c r="C505" s="133" t="s">
        <v>10016</v>
      </c>
      <c r="D505" s="116">
        <v>20</v>
      </c>
      <c r="E505" s="528">
        <v>20</v>
      </c>
      <c r="F505" s="338" t="s">
        <v>118</v>
      </c>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ht="15" customHeight="1">
      <c r="A506" s="134" t="s">
        <v>118</v>
      </c>
      <c r="B506" s="133" t="s">
        <v>105</v>
      </c>
      <c r="C506" s="133" t="s">
        <v>10017</v>
      </c>
      <c r="D506" s="116">
        <v>20</v>
      </c>
      <c r="E506" s="528">
        <v>20</v>
      </c>
      <c r="F506" s="338" t="s">
        <v>118</v>
      </c>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ht="15" customHeight="1">
      <c r="A507" s="134" t="s">
        <v>118</v>
      </c>
      <c r="B507" s="133" t="s">
        <v>105</v>
      </c>
      <c r="C507" s="133" t="s">
        <v>10018</v>
      </c>
      <c r="D507" s="116">
        <v>20</v>
      </c>
      <c r="E507" s="528">
        <v>20</v>
      </c>
      <c r="F507" s="338" t="s">
        <v>118</v>
      </c>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ht="15" customHeight="1">
      <c r="A508" s="134" t="s">
        <v>118</v>
      </c>
      <c r="B508" s="133" t="s">
        <v>105</v>
      </c>
      <c r="C508" s="133" t="s">
        <v>10019</v>
      </c>
      <c r="D508" s="116">
        <v>20</v>
      </c>
      <c r="E508" s="528">
        <v>20</v>
      </c>
      <c r="F508" s="338" t="s">
        <v>118</v>
      </c>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ht="15" customHeight="1">
      <c r="A509" s="134" t="s">
        <v>118</v>
      </c>
      <c r="B509" s="133" t="s">
        <v>105</v>
      </c>
      <c r="C509" s="133" t="s">
        <v>10020</v>
      </c>
      <c r="D509" s="116">
        <v>20</v>
      </c>
      <c r="E509" s="528">
        <v>10</v>
      </c>
      <c r="F509" s="338" t="s">
        <v>118</v>
      </c>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ht="15" customHeight="1">
      <c r="A510" s="134" t="s">
        <v>118</v>
      </c>
      <c r="B510" s="133" t="s">
        <v>105</v>
      </c>
      <c r="C510" s="133" t="s">
        <v>10021</v>
      </c>
      <c r="D510" s="116">
        <v>20</v>
      </c>
      <c r="E510" s="528">
        <v>10</v>
      </c>
      <c r="F510" s="338" t="s">
        <v>118</v>
      </c>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ht="15" customHeight="1">
      <c r="A511" s="134" t="s">
        <v>118</v>
      </c>
      <c r="B511" s="133" t="s">
        <v>105</v>
      </c>
      <c r="C511" s="133" t="s">
        <v>10022</v>
      </c>
      <c r="D511" s="116">
        <v>20</v>
      </c>
      <c r="E511" s="528">
        <v>10</v>
      </c>
      <c r="F511" s="338" t="s">
        <v>118</v>
      </c>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ht="15" customHeight="1">
      <c r="A512" s="134" t="s">
        <v>118</v>
      </c>
      <c r="B512" s="133" t="s">
        <v>105</v>
      </c>
      <c r="C512" s="133" t="s">
        <v>10023</v>
      </c>
      <c r="D512" s="116">
        <v>20</v>
      </c>
      <c r="E512" s="528">
        <v>10</v>
      </c>
      <c r="F512" s="338" t="s">
        <v>118</v>
      </c>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ht="15" customHeight="1">
      <c r="A513" s="134" t="s">
        <v>7632</v>
      </c>
      <c r="B513" s="133" t="s">
        <v>105</v>
      </c>
      <c r="C513" s="1194" t="s">
        <v>10024</v>
      </c>
      <c r="D513" s="100">
        <v>20</v>
      </c>
      <c r="E513" s="528">
        <f t="shared" ref="E513:E527" si="23">D513</f>
        <v>20</v>
      </c>
      <c r="F513" s="338" t="s">
        <v>126</v>
      </c>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ht="15" customHeight="1">
      <c r="A514" s="134" t="s">
        <v>7632</v>
      </c>
      <c r="B514" s="133" t="s">
        <v>105</v>
      </c>
      <c r="C514" s="1179" t="s">
        <v>10025</v>
      </c>
      <c r="D514" s="100">
        <v>20</v>
      </c>
      <c r="E514" s="528">
        <f t="shared" si="23"/>
        <v>20</v>
      </c>
      <c r="F514" s="338" t="s">
        <v>126</v>
      </c>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ht="15" customHeight="1">
      <c r="A515" s="134" t="s">
        <v>7632</v>
      </c>
      <c r="B515" s="133" t="s">
        <v>105</v>
      </c>
      <c r="C515" s="133" t="s">
        <v>10026</v>
      </c>
      <c r="D515" s="100">
        <v>20</v>
      </c>
      <c r="E515" s="528">
        <f t="shared" si="23"/>
        <v>20</v>
      </c>
      <c r="F515" s="338" t="s">
        <v>126</v>
      </c>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ht="15" customHeight="1">
      <c r="A516" s="134" t="s">
        <v>7632</v>
      </c>
      <c r="B516" s="133" t="s">
        <v>105</v>
      </c>
      <c r="C516" s="133" t="s">
        <v>10027</v>
      </c>
      <c r="D516" s="100">
        <v>20</v>
      </c>
      <c r="E516" s="528">
        <f t="shared" si="23"/>
        <v>20</v>
      </c>
      <c r="F516" s="338" t="s">
        <v>126</v>
      </c>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ht="15" customHeight="1">
      <c r="A517" s="134" t="s">
        <v>7632</v>
      </c>
      <c r="B517" s="133" t="s">
        <v>105</v>
      </c>
      <c r="C517" s="133" t="s">
        <v>10028</v>
      </c>
      <c r="D517" s="100">
        <v>20</v>
      </c>
      <c r="E517" s="528">
        <f t="shared" si="23"/>
        <v>20</v>
      </c>
      <c r="F517" s="338" t="s">
        <v>126</v>
      </c>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ht="15" customHeight="1">
      <c r="A518" s="134" t="s">
        <v>7632</v>
      </c>
      <c r="B518" s="133" t="s">
        <v>105</v>
      </c>
      <c r="C518" s="133" t="s">
        <v>10029</v>
      </c>
      <c r="D518" s="100">
        <v>20</v>
      </c>
      <c r="E518" s="528">
        <f t="shared" si="23"/>
        <v>20</v>
      </c>
      <c r="F518" s="338" t="s">
        <v>126</v>
      </c>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ht="15" customHeight="1">
      <c r="A519" s="134" t="s">
        <v>7632</v>
      </c>
      <c r="B519" s="133" t="s">
        <v>105</v>
      </c>
      <c r="C519" s="133" t="s">
        <v>10030</v>
      </c>
      <c r="D519" s="100">
        <v>20</v>
      </c>
      <c r="E519" s="528">
        <f t="shared" si="23"/>
        <v>20</v>
      </c>
      <c r="F519" s="338" t="s">
        <v>126</v>
      </c>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ht="15" customHeight="1">
      <c r="A520" s="134" t="s">
        <v>7632</v>
      </c>
      <c r="B520" s="133" t="s">
        <v>105</v>
      </c>
      <c r="C520" s="133" t="s">
        <v>10031</v>
      </c>
      <c r="D520" s="100">
        <v>20</v>
      </c>
      <c r="E520" s="528">
        <f t="shared" si="23"/>
        <v>20</v>
      </c>
      <c r="F520" s="338" t="s">
        <v>126</v>
      </c>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ht="15" customHeight="1">
      <c r="A521" s="134" t="s">
        <v>7632</v>
      </c>
      <c r="B521" s="133" t="s">
        <v>105</v>
      </c>
      <c r="C521" s="133" t="s">
        <v>10032</v>
      </c>
      <c r="D521" s="100">
        <v>20</v>
      </c>
      <c r="E521" s="528">
        <f t="shared" si="23"/>
        <v>20</v>
      </c>
      <c r="F521" s="338" t="s">
        <v>126</v>
      </c>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ht="15" customHeight="1">
      <c r="A522" s="134" t="s">
        <v>7632</v>
      </c>
      <c r="B522" s="133" t="s">
        <v>105</v>
      </c>
      <c r="C522" s="133" t="s">
        <v>10033</v>
      </c>
      <c r="D522" s="100">
        <v>20</v>
      </c>
      <c r="E522" s="528">
        <f t="shared" si="23"/>
        <v>20</v>
      </c>
      <c r="F522" s="338" t="s">
        <v>126</v>
      </c>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ht="15" customHeight="1">
      <c r="A523" s="134" t="s">
        <v>7632</v>
      </c>
      <c r="B523" s="133" t="s">
        <v>105</v>
      </c>
      <c r="C523" s="133" t="s">
        <v>10034</v>
      </c>
      <c r="D523" s="100">
        <v>20</v>
      </c>
      <c r="E523" s="528">
        <f t="shared" si="23"/>
        <v>20</v>
      </c>
      <c r="F523" s="338" t="s">
        <v>126</v>
      </c>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ht="15" customHeight="1">
      <c r="A524" s="134" t="s">
        <v>7632</v>
      </c>
      <c r="B524" s="133" t="s">
        <v>105</v>
      </c>
      <c r="C524" s="133" t="s">
        <v>10035</v>
      </c>
      <c r="D524" s="100">
        <v>20</v>
      </c>
      <c r="E524" s="528">
        <f t="shared" si="23"/>
        <v>20</v>
      </c>
      <c r="F524" s="338" t="s">
        <v>126</v>
      </c>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ht="15" customHeight="1">
      <c r="A525" s="134" t="s">
        <v>7632</v>
      </c>
      <c r="B525" s="133" t="s">
        <v>105</v>
      </c>
      <c r="C525" s="133" t="s">
        <v>10036</v>
      </c>
      <c r="D525" s="100">
        <v>20</v>
      </c>
      <c r="E525" s="528">
        <f t="shared" si="23"/>
        <v>20</v>
      </c>
      <c r="F525" s="338" t="s">
        <v>126</v>
      </c>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ht="15" customHeight="1">
      <c r="A526" s="134" t="s">
        <v>7632</v>
      </c>
      <c r="B526" s="133" t="s">
        <v>105</v>
      </c>
      <c r="C526" s="133" t="s">
        <v>10037</v>
      </c>
      <c r="D526" s="100">
        <v>30</v>
      </c>
      <c r="E526" s="528">
        <f t="shared" si="23"/>
        <v>30</v>
      </c>
      <c r="F526" s="338" t="s">
        <v>126</v>
      </c>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ht="15" customHeight="1">
      <c r="A527" s="134" t="s">
        <v>7632</v>
      </c>
      <c r="B527" s="133" t="s">
        <v>105</v>
      </c>
      <c r="C527" s="133" t="s">
        <v>10038</v>
      </c>
      <c r="D527" s="100">
        <v>30</v>
      </c>
      <c r="E527" s="528">
        <f t="shared" si="23"/>
        <v>30</v>
      </c>
      <c r="F527" s="338" t="s">
        <v>126</v>
      </c>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ht="15" customHeight="1">
      <c r="A528" s="134" t="s">
        <v>10039</v>
      </c>
      <c r="B528" s="133" t="s">
        <v>3753</v>
      </c>
      <c r="C528" s="133" t="s">
        <v>10040</v>
      </c>
      <c r="D528" s="100">
        <v>20</v>
      </c>
      <c r="E528" s="528">
        <v>10</v>
      </c>
      <c r="F528" s="338" t="s">
        <v>127</v>
      </c>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ht="15" customHeight="1">
      <c r="A529" s="134" t="s">
        <v>10039</v>
      </c>
      <c r="B529" s="133" t="s">
        <v>3753</v>
      </c>
      <c r="C529" s="133" t="s">
        <v>10041</v>
      </c>
      <c r="D529" s="100">
        <v>20</v>
      </c>
      <c r="E529" s="528">
        <v>10</v>
      </c>
      <c r="F529" s="338" t="s">
        <v>127</v>
      </c>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ht="15" customHeight="1">
      <c r="A530" s="134" t="s">
        <v>9232</v>
      </c>
      <c r="B530" s="133" t="s">
        <v>105</v>
      </c>
      <c r="C530" s="133" t="s">
        <v>10042</v>
      </c>
      <c r="D530" s="100">
        <v>30</v>
      </c>
      <c r="E530" s="528">
        <f t="shared" ref="E530:E550" si="24">D530</f>
        <v>30</v>
      </c>
      <c r="F530" s="338" t="s">
        <v>119</v>
      </c>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ht="15" customHeight="1">
      <c r="A531" s="134" t="s">
        <v>9232</v>
      </c>
      <c r="B531" s="133" t="s">
        <v>105</v>
      </c>
      <c r="C531" s="133" t="s">
        <v>10043</v>
      </c>
      <c r="D531" s="100">
        <v>30</v>
      </c>
      <c r="E531" s="528">
        <f t="shared" si="24"/>
        <v>30</v>
      </c>
      <c r="F531" s="338" t="s">
        <v>119</v>
      </c>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ht="15" customHeight="1">
      <c r="A532" s="134" t="s">
        <v>9232</v>
      </c>
      <c r="B532" s="133" t="s">
        <v>105</v>
      </c>
      <c r="C532" s="133" t="s">
        <v>10044</v>
      </c>
      <c r="D532" s="100">
        <v>30</v>
      </c>
      <c r="E532" s="528">
        <f t="shared" si="24"/>
        <v>30</v>
      </c>
      <c r="F532" s="338" t="s">
        <v>119</v>
      </c>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ht="15" customHeight="1">
      <c r="A533" s="134" t="s">
        <v>9232</v>
      </c>
      <c r="B533" s="133" t="s">
        <v>105</v>
      </c>
      <c r="C533" s="133" t="s">
        <v>10045</v>
      </c>
      <c r="D533" s="100">
        <v>30</v>
      </c>
      <c r="E533" s="528">
        <f t="shared" si="24"/>
        <v>30</v>
      </c>
      <c r="F533" s="338" t="s">
        <v>119</v>
      </c>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ht="15" customHeight="1">
      <c r="A534" s="134" t="s">
        <v>9232</v>
      </c>
      <c r="B534" s="133" t="s">
        <v>105</v>
      </c>
      <c r="C534" s="133" t="s">
        <v>10046</v>
      </c>
      <c r="D534" s="100">
        <v>30</v>
      </c>
      <c r="E534" s="528">
        <f t="shared" si="24"/>
        <v>30</v>
      </c>
      <c r="F534" s="338" t="s">
        <v>119</v>
      </c>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ht="15" customHeight="1">
      <c r="A535" s="134" t="s">
        <v>9232</v>
      </c>
      <c r="B535" s="133" t="s">
        <v>105</v>
      </c>
      <c r="C535" s="133" t="s">
        <v>10047</v>
      </c>
      <c r="D535" s="100">
        <v>30</v>
      </c>
      <c r="E535" s="528">
        <f t="shared" si="24"/>
        <v>30</v>
      </c>
      <c r="F535" s="338" t="s">
        <v>119</v>
      </c>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ht="15" customHeight="1">
      <c r="A536" s="134" t="s">
        <v>9232</v>
      </c>
      <c r="B536" s="133" t="s">
        <v>105</v>
      </c>
      <c r="C536" s="133" t="s">
        <v>10048</v>
      </c>
      <c r="D536" s="100">
        <v>30</v>
      </c>
      <c r="E536" s="528">
        <f t="shared" si="24"/>
        <v>30</v>
      </c>
      <c r="F536" s="338" t="s">
        <v>119</v>
      </c>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ht="15" customHeight="1">
      <c r="A537" s="134" t="s">
        <v>9232</v>
      </c>
      <c r="B537" s="133" t="s">
        <v>105</v>
      </c>
      <c r="C537" s="133" t="s">
        <v>10049</v>
      </c>
      <c r="D537" s="100">
        <v>30</v>
      </c>
      <c r="E537" s="528">
        <f t="shared" si="24"/>
        <v>30</v>
      </c>
      <c r="F537" s="338" t="s">
        <v>119</v>
      </c>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ht="15" customHeight="1">
      <c r="A538" s="134" t="s">
        <v>9232</v>
      </c>
      <c r="B538" s="133" t="s">
        <v>105</v>
      </c>
      <c r="C538" s="133" t="s">
        <v>10050</v>
      </c>
      <c r="D538" s="100">
        <v>30</v>
      </c>
      <c r="E538" s="528">
        <f t="shared" si="24"/>
        <v>30</v>
      </c>
      <c r="F538" s="338" t="s">
        <v>119</v>
      </c>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ht="15" customHeight="1">
      <c r="A539" s="134" t="s">
        <v>9232</v>
      </c>
      <c r="B539" s="133" t="s">
        <v>105</v>
      </c>
      <c r="C539" s="133" t="s">
        <v>10051</v>
      </c>
      <c r="D539" s="100">
        <v>30</v>
      </c>
      <c r="E539" s="528">
        <f t="shared" si="24"/>
        <v>30</v>
      </c>
      <c r="F539" s="338" t="s">
        <v>119</v>
      </c>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ht="15" customHeight="1">
      <c r="A540" s="134" t="s">
        <v>9232</v>
      </c>
      <c r="B540" s="133" t="s">
        <v>105</v>
      </c>
      <c r="C540" s="133" t="s">
        <v>10052</v>
      </c>
      <c r="D540" s="100">
        <v>20</v>
      </c>
      <c r="E540" s="528">
        <f t="shared" si="24"/>
        <v>20</v>
      </c>
      <c r="F540" s="338" t="s">
        <v>119</v>
      </c>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ht="15" customHeight="1">
      <c r="A541" s="134" t="s">
        <v>9232</v>
      </c>
      <c r="B541" s="133" t="s">
        <v>105</v>
      </c>
      <c r="C541" s="133" t="s">
        <v>10053</v>
      </c>
      <c r="D541" s="100">
        <v>20</v>
      </c>
      <c r="E541" s="528">
        <f t="shared" si="24"/>
        <v>20</v>
      </c>
      <c r="F541" s="338" t="s">
        <v>119</v>
      </c>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ht="15" customHeight="1">
      <c r="A542" s="134" t="s">
        <v>9232</v>
      </c>
      <c r="B542" s="133" t="s">
        <v>105</v>
      </c>
      <c r="C542" s="133" t="s">
        <v>10054</v>
      </c>
      <c r="D542" s="100">
        <v>20</v>
      </c>
      <c r="E542" s="528">
        <f t="shared" si="24"/>
        <v>20</v>
      </c>
      <c r="F542" s="338" t="s">
        <v>119</v>
      </c>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ht="15" customHeight="1">
      <c r="A543" s="134" t="s">
        <v>9232</v>
      </c>
      <c r="B543" s="133" t="s">
        <v>105</v>
      </c>
      <c r="C543" s="133" t="s">
        <v>10055</v>
      </c>
      <c r="D543" s="100">
        <v>20</v>
      </c>
      <c r="E543" s="528">
        <f t="shared" si="24"/>
        <v>20</v>
      </c>
      <c r="F543" s="338" t="s">
        <v>119</v>
      </c>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ht="15" customHeight="1">
      <c r="A544" s="134" t="s">
        <v>9232</v>
      </c>
      <c r="B544" s="133" t="s">
        <v>105</v>
      </c>
      <c r="C544" s="133" t="s">
        <v>10056</v>
      </c>
      <c r="D544" s="100">
        <v>20</v>
      </c>
      <c r="E544" s="528">
        <f t="shared" si="24"/>
        <v>20</v>
      </c>
      <c r="F544" s="338" t="s">
        <v>119</v>
      </c>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ht="15" customHeight="1">
      <c r="A545" s="134" t="s">
        <v>9232</v>
      </c>
      <c r="B545" s="133" t="s">
        <v>105</v>
      </c>
      <c r="C545" s="133" t="s">
        <v>10057</v>
      </c>
      <c r="D545" s="100">
        <v>20</v>
      </c>
      <c r="E545" s="528">
        <f t="shared" si="24"/>
        <v>20</v>
      </c>
      <c r="F545" s="338" t="s">
        <v>119</v>
      </c>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ht="15" customHeight="1">
      <c r="A546" s="134" t="s">
        <v>9232</v>
      </c>
      <c r="B546" s="133" t="s">
        <v>105</v>
      </c>
      <c r="C546" s="133" t="s">
        <v>10058</v>
      </c>
      <c r="D546" s="100">
        <v>20</v>
      </c>
      <c r="E546" s="528">
        <f t="shared" si="24"/>
        <v>20</v>
      </c>
      <c r="F546" s="338" t="s">
        <v>119</v>
      </c>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ht="15" customHeight="1">
      <c r="A547" s="134" t="s">
        <v>9232</v>
      </c>
      <c r="B547" s="133" t="s">
        <v>105</v>
      </c>
      <c r="C547" s="133" t="s">
        <v>10059</v>
      </c>
      <c r="D547" s="100">
        <v>20</v>
      </c>
      <c r="E547" s="528">
        <f t="shared" si="24"/>
        <v>20</v>
      </c>
      <c r="F547" s="338" t="s">
        <v>119</v>
      </c>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ht="15" customHeight="1">
      <c r="A548" s="134" t="s">
        <v>9232</v>
      </c>
      <c r="B548" s="133" t="s">
        <v>105</v>
      </c>
      <c r="C548" s="133" t="s">
        <v>10060</v>
      </c>
      <c r="D548" s="100">
        <v>20</v>
      </c>
      <c r="E548" s="528">
        <f t="shared" si="24"/>
        <v>20</v>
      </c>
      <c r="F548" s="338" t="s">
        <v>119</v>
      </c>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ht="15" customHeight="1">
      <c r="A549" s="134" t="s">
        <v>9232</v>
      </c>
      <c r="B549" s="133" t="s">
        <v>105</v>
      </c>
      <c r="C549" s="133" t="s">
        <v>10061</v>
      </c>
      <c r="D549" s="100">
        <v>20</v>
      </c>
      <c r="E549" s="528">
        <f t="shared" si="24"/>
        <v>20</v>
      </c>
      <c r="F549" s="338" t="s">
        <v>119</v>
      </c>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ht="15" customHeight="1">
      <c r="A550" s="134" t="s">
        <v>9232</v>
      </c>
      <c r="B550" s="133" t="s">
        <v>105</v>
      </c>
      <c r="C550" s="133" t="s">
        <v>10062</v>
      </c>
      <c r="D550" s="116">
        <v>30</v>
      </c>
      <c r="E550" s="528">
        <f t="shared" si="24"/>
        <v>30</v>
      </c>
      <c r="F550" s="338" t="s">
        <v>119</v>
      </c>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ht="15" customHeight="1">
      <c r="A551" s="134" t="s">
        <v>7637</v>
      </c>
      <c r="B551" s="133" t="s">
        <v>105</v>
      </c>
      <c r="C551" s="133" t="s">
        <v>10063</v>
      </c>
      <c r="D551" s="100">
        <v>20</v>
      </c>
      <c r="E551" s="100">
        <v>20</v>
      </c>
      <c r="F551" s="338" t="s">
        <v>129</v>
      </c>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ht="15" customHeight="1">
      <c r="A552" s="134" t="s">
        <v>7637</v>
      </c>
      <c r="B552" s="133" t="s">
        <v>105</v>
      </c>
      <c r="C552" s="133" t="s">
        <v>10064</v>
      </c>
      <c r="D552" s="100">
        <v>20</v>
      </c>
      <c r="E552" s="100">
        <v>10</v>
      </c>
      <c r="F552" s="338" t="s">
        <v>129</v>
      </c>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ht="15" customHeight="1">
      <c r="A553" s="134" t="s">
        <v>7637</v>
      </c>
      <c r="B553" s="133" t="s">
        <v>105</v>
      </c>
      <c r="C553" s="133" t="s">
        <v>10065</v>
      </c>
      <c r="D553" s="100">
        <v>20</v>
      </c>
      <c r="E553" s="100">
        <v>10</v>
      </c>
      <c r="F553" s="338" t="s">
        <v>129</v>
      </c>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ht="15" customHeight="1">
      <c r="A554" s="134" t="s">
        <v>7637</v>
      </c>
      <c r="B554" s="133" t="s">
        <v>105</v>
      </c>
      <c r="C554" s="133" t="s">
        <v>10066</v>
      </c>
      <c r="D554" s="100">
        <v>20</v>
      </c>
      <c r="E554" s="100">
        <v>10</v>
      </c>
      <c r="F554" s="338" t="s">
        <v>129</v>
      </c>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ht="15" customHeight="1">
      <c r="A555" s="134" t="s">
        <v>7637</v>
      </c>
      <c r="B555" s="133" t="s">
        <v>105</v>
      </c>
      <c r="C555" s="133" t="s">
        <v>10067</v>
      </c>
      <c r="D555" s="100">
        <v>20</v>
      </c>
      <c r="E555" s="100">
        <v>20</v>
      </c>
      <c r="F555" s="338" t="s">
        <v>129</v>
      </c>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ht="15" customHeight="1">
      <c r="A556" s="134" t="s">
        <v>7637</v>
      </c>
      <c r="B556" s="133" t="s">
        <v>105</v>
      </c>
      <c r="C556" s="133" t="s">
        <v>10068</v>
      </c>
      <c r="D556" s="100">
        <v>20</v>
      </c>
      <c r="E556" s="100">
        <v>10</v>
      </c>
      <c r="F556" s="338" t="s">
        <v>129</v>
      </c>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ht="15" customHeight="1">
      <c r="A557" s="134" t="s">
        <v>7637</v>
      </c>
      <c r="B557" s="133" t="s">
        <v>105</v>
      </c>
      <c r="C557" s="133" t="s">
        <v>10069</v>
      </c>
      <c r="D557" s="100">
        <v>20</v>
      </c>
      <c r="E557" s="100">
        <v>10</v>
      </c>
      <c r="F557" s="338" t="s">
        <v>129</v>
      </c>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ht="15" customHeight="1">
      <c r="A558" s="134" t="s">
        <v>7637</v>
      </c>
      <c r="B558" s="133" t="s">
        <v>105</v>
      </c>
      <c r="C558" s="133" t="s">
        <v>10070</v>
      </c>
      <c r="D558" s="100">
        <v>20</v>
      </c>
      <c r="E558" s="100">
        <v>10</v>
      </c>
      <c r="F558" s="338" t="s">
        <v>129</v>
      </c>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ht="15" customHeight="1">
      <c r="A559" s="134" t="s">
        <v>7637</v>
      </c>
      <c r="B559" s="133" t="s">
        <v>105</v>
      </c>
      <c r="C559" s="133" t="s">
        <v>10071</v>
      </c>
      <c r="D559" s="100">
        <v>20</v>
      </c>
      <c r="E559" s="100">
        <v>10</v>
      </c>
      <c r="F559" s="338" t="s">
        <v>129</v>
      </c>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ht="15" customHeight="1">
      <c r="A560" s="134" t="s">
        <v>7637</v>
      </c>
      <c r="B560" s="133" t="s">
        <v>105</v>
      </c>
      <c r="C560" s="133" t="s">
        <v>10072</v>
      </c>
      <c r="D560" s="100">
        <v>20</v>
      </c>
      <c r="E560" s="100">
        <v>10</v>
      </c>
      <c r="F560" s="338" t="s">
        <v>129</v>
      </c>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ht="15" customHeight="1">
      <c r="A561" s="134" t="s">
        <v>7637</v>
      </c>
      <c r="B561" s="133" t="s">
        <v>105</v>
      </c>
      <c r="C561" s="133" t="s">
        <v>10073</v>
      </c>
      <c r="D561" s="100">
        <v>20</v>
      </c>
      <c r="E561" s="100">
        <v>10</v>
      </c>
      <c r="F561" s="338" t="s">
        <v>129</v>
      </c>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ht="15" customHeight="1">
      <c r="A562" s="134" t="s">
        <v>7637</v>
      </c>
      <c r="B562" s="133" t="s">
        <v>105</v>
      </c>
      <c r="C562" s="133" t="s">
        <v>10074</v>
      </c>
      <c r="D562" s="100">
        <v>20</v>
      </c>
      <c r="E562" s="100">
        <v>10</v>
      </c>
      <c r="F562" s="338" t="s">
        <v>129</v>
      </c>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ht="15" customHeight="1">
      <c r="A563" s="134" t="s">
        <v>7637</v>
      </c>
      <c r="B563" s="133" t="s">
        <v>105</v>
      </c>
      <c r="C563" s="133" t="s">
        <v>10075</v>
      </c>
      <c r="D563" s="100">
        <v>20</v>
      </c>
      <c r="E563" s="100">
        <v>10</v>
      </c>
      <c r="F563" s="338" t="s">
        <v>129</v>
      </c>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ht="15" customHeight="1">
      <c r="A564" s="134" t="s">
        <v>7637</v>
      </c>
      <c r="B564" s="133" t="s">
        <v>105</v>
      </c>
      <c r="C564" s="133" t="s">
        <v>10076</v>
      </c>
      <c r="D564" s="100">
        <v>20</v>
      </c>
      <c r="E564" s="100">
        <v>10</v>
      </c>
      <c r="F564" s="338" t="s">
        <v>129</v>
      </c>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ht="15" customHeight="1">
      <c r="A565" s="134" t="s">
        <v>7637</v>
      </c>
      <c r="B565" s="133" t="s">
        <v>105</v>
      </c>
      <c r="C565" s="133" t="s">
        <v>10077</v>
      </c>
      <c r="D565" s="100">
        <v>20</v>
      </c>
      <c r="E565" s="100">
        <v>10</v>
      </c>
      <c r="F565" s="338" t="s">
        <v>129</v>
      </c>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ht="15" customHeight="1">
      <c r="A566" s="134" t="s">
        <v>110</v>
      </c>
      <c r="B566" s="99" t="s">
        <v>105</v>
      </c>
      <c r="C566" s="133" t="s">
        <v>9636</v>
      </c>
      <c r="D566" s="116">
        <v>30</v>
      </c>
      <c r="E566" s="528">
        <f>D566</f>
        <v>30</v>
      </c>
      <c r="F566" s="338" t="s">
        <v>110</v>
      </c>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ht="15" customHeight="1">
      <c r="A567" s="134" t="s">
        <v>111</v>
      </c>
      <c r="B567" s="133" t="s">
        <v>105</v>
      </c>
      <c r="C567" s="133" t="s">
        <v>10078</v>
      </c>
      <c r="D567" s="116">
        <v>20</v>
      </c>
      <c r="E567" s="528">
        <v>10</v>
      </c>
      <c r="F567" s="338" t="s">
        <v>111</v>
      </c>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ht="15" customHeight="1">
      <c r="A568" s="134" t="s">
        <v>111</v>
      </c>
      <c r="B568" s="133" t="s">
        <v>105</v>
      </c>
      <c r="C568" s="133" t="s">
        <v>10079</v>
      </c>
      <c r="D568" s="116">
        <v>20</v>
      </c>
      <c r="E568" s="528">
        <v>20</v>
      </c>
      <c r="F568" s="338" t="s">
        <v>111</v>
      </c>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ht="15" customHeight="1">
      <c r="A569" s="134" t="s">
        <v>111</v>
      </c>
      <c r="B569" s="133" t="s">
        <v>105</v>
      </c>
      <c r="C569" s="469" t="s">
        <v>10080</v>
      </c>
      <c r="D569" s="259">
        <v>30</v>
      </c>
      <c r="E569" s="1120">
        <v>30</v>
      </c>
      <c r="F569" s="338" t="s">
        <v>111</v>
      </c>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ht="15" customHeight="1">
      <c r="A570" s="134" t="s">
        <v>111</v>
      </c>
      <c r="B570" s="133" t="s">
        <v>105</v>
      </c>
      <c r="C570" s="469" t="s">
        <v>10081</v>
      </c>
      <c r="D570" s="259">
        <v>30</v>
      </c>
      <c r="E570" s="1120">
        <v>30</v>
      </c>
      <c r="F570" s="338" t="s">
        <v>111</v>
      </c>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ht="15" customHeight="1">
      <c r="A571" s="134" t="s">
        <v>111</v>
      </c>
      <c r="B571" s="133" t="s">
        <v>105</v>
      </c>
      <c r="C571" s="469" t="s">
        <v>10082</v>
      </c>
      <c r="D571" s="259">
        <v>30</v>
      </c>
      <c r="E571" s="1120">
        <v>30</v>
      </c>
      <c r="F571" s="338" t="s">
        <v>111</v>
      </c>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ht="15" customHeight="1">
      <c r="A572" s="134" t="s">
        <v>111</v>
      </c>
      <c r="B572" s="133" t="s">
        <v>105</v>
      </c>
      <c r="C572" s="469" t="s">
        <v>10083</v>
      </c>
      <c r="D572" s="259">
        <v>30</v>
      </c>
      <c r="E572" s="1120">
        <v>30</v>
      </c>
      <c r="F572" s="338" t="s">
        <v>111</v>
      </c>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ht="15" customHeight="1">
      <c r="A573" s="134" t="s">
        <v>111</v>
      </c>
      <c r="B573" s="133" t="s">
        <v>105</v>
      </c>
      <c r="C573" s="469" t="s">
        <v>10084</v>
      </c>
      <c r="D573" s="259">
        <v>30</v>
      </c>
      <c r="E573" s="1120">
        <v>30</v>
      </c>
      <c r="F573" s="338" t="s">
        <v>111</v>
      </c>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ht="15" customHeight="1">
      <c r="A574" s="134" t="s">
        <v>111</v>
      </c>
      <c r="B574" s="133" t="s">
        <v>105</v>
      </c>
      <c r="C574" s="469" t="s">
        <v>10085</v>
      </c>
      <c r="D574" s="259">
        <v>30</v>
      </c>
      <c r="E574" s="1120">
        <v>30</v>
      </c>
      <c r="F574" s="338" t="s">
        <v>111</v>
      </c>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ht="15" customHeight="1">
      <c r="A575" s="134" t="s">
        <v>111</v>
      </c>
      <c r="B575" s="133" t="s">
        <v>105</v>
      </c>
      <c r="C575" s="469" t="s">
        <v>10086</v>
      </c>
      <c r="D575" s="259">
        <v>30</v>
      </c>
      <c r="E575" s="1120">
        <v>30</v>
      </c>
      <c r="F575" s="338" t="s">
        <v>111</v>
      </c>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ht="15" customHeight="1">
      <c r="A576" s="134" t="s">
        <v>111</v>
      </c>
      <c r="B576" s="133" t="s">
        <v>105</v>
      </c>
      <c r="C576" s="469" t="s">
        <v>10087</v>
      </c>
      <c r="D576" s="259">
        <v>30</v>
      </c>
      <c r="E576" s="1120">
        <v>30</v>
      </c>
      <c r="F576" s="338" t="s">
        <v>111</v>
      </c>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ht="15" customHeight="1">
      <c r="A577" s="134" t="s">
        <v>111</v>
      </c>
      <c r="B577" s="133" t="s">
        <v>105</v>
      </c>
      <c r="C577" s="469" t="s">
        <v>10088</v>
      </c>
      <c r="D577" s="259">
        <v>30</v>
      </c>
      <c r="E577" s="1120">
        <v>30</v>
      </c>
      <c r="F577" s="338" t="s">
        <v>111</v>
      </c>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ht="15" customHeight="1">
      <c r="A578" s="134" t="s">
        <v>111</v>
      </c>
      <c r="B578" s="133" t="s">
        <v>105</v>
      </c>
      <c r="C578" s="133" t="s">
        <v>10089</v>
      </c>
      <c r="D578" s="259">
        <v>30</v>
      </c>
      <c r="E578" s="1120">
        <v>30</v>
      </c>
      <c r="F578" s="338" t="s">
        <v>111</v>
      </c>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ht="15" customHeight="1">
      <c r="A579" s="134" t="s">
        <v>111</v>
      </c>
      <c r="B579" s="133" t="s">
        <v>105</v>
      </c>
      <c r="C579" s="133" t="s">
        <v>10090</v>
      </c>
      <c r="D579" s="259">
        <v>30</v>
      </c>
      <c r="E579" s="1120">
        <v>30</v>
      </c>
      <c r="F579" s="338" t="s">
        <v>111</v>
      </c>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ht="15" customHeight="1">
      <c r="A580" s="134" t="s">
        <v>111</v>
      </c>
      <c r="B580" s="133" t="s">
        <v>105</v>
      </c>
      <c r="C580" s="133" t="s">
        <v>10091</v>
      </c>
      <c r="D580" s="259">
        <v>30</v>
      </c>
      <c r="E580" s="1120">
        <v>30</v>
      </c>
      <c r="F580" s="338" t="s">
        <v>111</v>
      </c>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ht="15" customHeight="1">
      <c r="A581" s="447" t="s">
        <v>7640</v>
      </c>
      <c r="B581" s="162" t="s">
        <v>105</v>
      </c>
      <c r="C581" s="459" t="s">
        <v>10092</v>
      </c>
      <c r="D581" s="737">
        <v>30</v>
      </c>
      <c r="E581" s="1164">
        <f t="shared" ref="E581:E583" si="25">D581</f>
        <v>30</v>
      </c>
      <c r="F581" s="338" t="s">
        <v>112</v>
      </c>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ht="15" customHeight="1">
      <c r="A582" s="447" t="s">
        <v>7640</v>
      </c>
      <c r="B582" s="162" t="s">
        <v>968</v>
      </c>
      <c r="C582" s="459" t="s">
        <v>10093</v>
      </c>
      <c r="D582" s="737">
        <v>30</v>
      </c>
      <c r="E582" s="1164">
        <f t="shared" si="25"/>
        <v>30</v>
      </c>
      <c r="F582" s="338" t="s">
        <v>112</v>
      </c>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ht="15" customHeight="1">
      <c r="A583" s="447" t="s">
        <v>7640</v>
      </c>
      <c r="B583" s="162" t="s">
        <v>2438</v>
      </c>
      <c r="C583" s="459" t="s">
        <v>10094</v>
      </c>
      <c r="D583" s="737">
        <v>20</v>
      </c>
      <c r="E583" s="1164">
        <f t="shared" si="25"/>
        <v>20</v>
      </c>
      <c r="F583" s="338" t="s">
        <v>112</v>
      </c>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ht="15" customHeight="1">
      <c r="A584" s="134" t="s">
        <v>120</v>
      </c>
      <c r="B584" s="133" t="s">
        <v>105</v>
      </c>
      <c r="C584" s="133" t="s">
        <v>10095</v>
      </c>
      <c r="D584" s="100">
        <v>20</v>
      </c>
      <c r="E584" s="528">
        <v>20</v>
      </c>
      <c r="F584" s="338" t="s">
        <v>120</v>
      </c>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ht="15" customHeight="1">
      <c r="A585" s="134" t="s">
        <v>120</v>
      </c>
      <c r="B585" s="133" t="s">
        <v>105</v>
      </c>
      <c r="C585" s="133" t="s">
        <v>10096</v>
      </c>
      <c r="D585" s="116">
        <v>20</v>
      </c>
      <c r="E585" s="528">
        <v>20</v>
      </c>
      <c r="F585" s="338" t="s">
        <v>120</v>
      </c>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ht="15" customHeight="1">
      <c r="A586" s="134" t="s">
        <v>120</v>
      </c>
      <c r="B586" s="133" t="s">
        <v>105</v>
      </c>
      <c r="C586" s="133" t="s">
        <v>10097</v>
      </c>
      <c r="D586" s="100">
        <v>20</v>
      </c>
      <c r="E586" s="528">
        <v>20</v>
      </c>
      <c r="F586" s="338" t="s">
        <v>120</v>
      </c>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ht="15" customHeight="1">
      <c r="A587" s="134" t="s">
        <v>120</v>
      </c>
      <c r="B587" s="133" t="s">
        <v>105</v>
      </c>
      <c r="C587" s="133" t="s">
        <v>10098</v>
      </c>
      <c r="D587" s="116">
        <v>20</v>
      </c>
      <c r="E587" s="528">
        <v>20</v>
      </c>
      <c r="F587" s="338" t="s">
        <v>120</v>
      </c>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ht="15" customHeight="1">
      <c r="A588" s="134" t="s">
        <v>120</v>
      </c>
      <c r="B588" s="133" t="s">
        <v>105</v>
      </c>
      <c r="C588" s="133" t="s">
        <v>10099</v>
      </c>
      <c r="D588" s="116">
        <v>20</v>
      </c>
      <c r="E588" s="528">
        <v>20</v>
      </c>
      <c r="F588" s="338" t="s">
        <v>120</v>
      </c>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ht="15" customHeight="1">
      <c r="A589" s="134" t="s">
        <v>120</v>
      </c>
      <c r="B589" s="133" t="s">
        <v>105</v>
      </c>
      <c r="C589" s="133" t="s">
        <v>10100</v>
      </c>
      <c r="D589" s="116">
        <v>20</v>
      </c>
      <c r="E589" s="528">
        <v>20</v>
      </c>
      <c r="F589" s="338" t="s">
        <v>120</v>
      </c>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ht="15" customHeight="1">
      <c r="A590" s="134" t="s">
        <v>120</v>
      </c>
      <c r="B590" s="133" t="s">
        <v>105</v>
      </c>
      <c r="C590" s="133" t="s">
        <v>10101</v>
      </c>
      <c r="D590" s="116">
        <v>20</v>
      </c>
      <c r="E590" s="528">
        <v>20</v>
      </c>
      <c r="F590" s="338" t="s">
        <v>120</v>
      </c>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ht="15" customHeight="1">
      <c r="A591" s="134" t="s">
        <v>120</v>
      </c>
      <c r="B591" s="133" t="s">
        <v>105</v>
      </c>
      <c r="C591" s="133" t="s">
        <v>10102</v>
      </c>
      <c r="D591" s="116">
        <v>20</v>
      </c>
      <c r="E591" s="528">
        <v>20</v>
      </c>
      <c r="F591" s="338" t="s">
        <v>120</v>
      </c>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ht="15" customHeight="1">
      <c r="A592" s="134" t="s">
        <v>120</v>
      </c>
      <c r="B592" s="133" t="s">
        <v>105</v>
      </c>
      <c r="C592" s="133" t="s">
        <v>10103</v>
      </c>
      <c r="D592" s="116">
        <v>20</v>
      </c>
      <c r="E592" s="528">
        <v>20</v>
      </c>
      <c r="F592" s="338" t="s">
        <v>120</v>
      </c>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ht="15" customHeight="1">
      <c r="A593" s="134" t="s">
        <v>120</v>
      </c>
      <c r="B593" s="133" t="s">
        <v>105</v>
      </c>
      <c r="C593" s="133" t="s">
        <v>10104</v>
      </c>
      <c r="D593" s="116">
        <v>20</v>
      </c>
      <c r="E593" s="528">
        <v>20</v>
      </c>
      <c r="F593" s="338" t="s">
        <v>120</v>
      </c>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ht="15" customHeight="1">
      <c r="A594" s="134" t="s">
        <v>120</v>
      </c>
      <c r="B594" s="133" t="s">
        <v>105</v>
      </c>
      <c r="C594" s="133" t="s">
        <v>10105</v>
      </c>
      <c r="D594" s="116">
        <v>20</v>
      </c>
      <c r="E594" s="528">
        <v>20</v>
      </c>
      <c r="F594" s="338" t="s">
        <v>120</v>
      </c>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ht="15" customHeight="1">
      <c r="A595" s="134" t="s">
        <v>120</v>
      </c>
      <c r="B595" s="133" t="s">
        <v>105</v>
      </c>
      <c r="C595" s="133" t="s">
        <v>10106</v>
      </c>
      <c r="D595" s="116">
        <v>20</v>
      </c>
      <c r="E595" s="528">
        <v>20</v>
      </c>
      <c r="F595" s="338" t="s">
        <v>120</v>
      </c>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ht="15" customHeight="1">
      <c r="A596" s="134" t="s">
        <v>120</v>
      </c>
      <c r="B596" s="133" t="s">
        <v>105</v>
      </c>
      <c r="C596" s="133" t="s">
        <v>10107</v>
      </c>
      <c r="D596" s="116">
        <v>20</v>
      </c>
      <c r="E596" s="528">
        <v>20</v>
      </c>
      <c r="F596" s="338" t="s">
        <v>120</v>
      </c>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ht="15" customHeight="1">
      <c r="A597" s="134" t="s">
        <v>6907</v>
      </c>
      <c r="B597" s="133" t="s">
        <v>105</v>
      </c>
      <c r="C597" s="134" t="s">
        <v>10108</v>
      </c>
      <c r="D597" s="100">
        <v>30</v>
      </c>
      <c r="E597" s="528">
        <f t="shared" ref="E597:E609" si="26">D597</f>
        <v>30</v>
      </c>
      <c r="F597" s="338" t="s">
        <v>113</v>
      </c>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ht="15" customHeight="1">
      <c r="A598" s="134" t="s">
        <v>6907</v>
      </c>
      <c r="B598" s="133" t="s">
        <v>105</v>
      </c>
      <c r="C598" s="134" t="s">
        <v>10109</v>
      </c>
      <c r="D598" s="100">
        <v>30</v>
      </c>
      <c r="E598" s="528">
        <f t="shared" si="26"/>
        <v>30</v>
      </c>
      <c r="F598" s="338" t="s">
        <v>113</v>
      </c>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ht="15" customHeight="1">
      <c r="A599" s="134" t="s">
        <v>6907</v>
      </c>
      <c r="B599" s="133" t="s">
        <v>105</v>
      </c>
      <c r="C599" s="134" t="s">
        <v>10110</v>
      </c>
      <c r="D599" s="100">
        <v>30</v>
      </c>
      <c r="E599" s="528">
        <f t="shared" si="26"/>
        <v>30</v>
      </c>
      <c r="F599" s="338" t="s">
        <v>113</v>
      </c>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ht="15" customHeight="1">
      <c r="A600" s="134" t="s">
        <v>6907</v>
      </c>
      <c r="B600" s="133" t="s">
        <v>105</v>
      </c>
      <c r="C600" s="134" t="s">
        <v>10111</v>
      </c>
      <c r="D600" s="100">
        <v>30</v>
      </c>
      <c r="E600" s="528">
        <f t="shared" si="26"/>
        <v>30</v>
      </c>
      <c r="F600" s="338" t="s">
        <v>113</v>
      </c>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ht="15" customHeight="1">
      <c r="A601" s="134" t="s">
        <v>6907</v>
      </c>
      <c r="B601" s="133" t="s">
        <v>105</v>
      </c>
      <c r="C601" s="134" t="s">
        <v>10112</v>
      </c>
      <c r="D601" s="100">
        <v>30</v>
      </c>
      <c r="E601" s="528">
        <f t="shared" si="26"/>
        <v>30</v>
      </c>
      <c r="F601" s="338" t="s">
        <v>113</v>
      </c>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ht="15" customHeight="1">
      <c r="A602" s="134" t="s">
        <v>6907</v>
      </c>
      <c r="B602" s="133" t="s">
        <v>105</v>
      </c>
      <c r="C602" s="134" t="s">
        <v>10113</v>
      </c>
      <c r="D602" s="100">
        <v>30</v>
      </c>
      <c r="E602" s="528">
        <f t="shared" si="26"/>
        <v>30</v>
      </c>
      <c r="F602" s="338" t="s">
        <v>113</v>
      </c>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ht="15" customHeight="1">
      <c r="A603" s="134" t="s">
        <v>6907</v>
      </c>
      <c r="B603" s="133" t="s">
        <v>105</v>
      </c>
      <c r="C603" s="134" t="s">
        <v>10114</v>
      </c>
      <c r="D603" s="100">
        <v>20</v>
      </c>
      <c r="E603" s="528">
        <f t="shared" si="26"/>
        <v>20</v>
      </c>
      <c r="F603" s="338" t="s">
        <v>113</v>
      </c>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ht="15" customHeight="1">
      <c r="A604" s="134" t="s">
        <v>6907</v>
      </c>
      <c r="B604" s="133" t="s">
        <v>105</v>
      </c>
      <c r="C604" s="134" t="s">
        <v>10115</v>
      </c>
      <c r="D604" s="100">
        <v>20</v>
      </c>
      <c r="E604" s="528">
        <f t="shared" si="26"/>
        <v>20</v>
      </c>
      <c r="F604" s="338" t="s">
        <v>113</v>
      </c>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ht="15" customHeight="1">
      <c r="A605" s="134" t="s">
        <v>6907</v>
      </c>
      <c r="B605" s="133" t="s">
        <v>105</v>
      </c>
      <c r="C605" s="134" t="s">
        <v>10116</v>
      </c>
      <c r="D605" s="100">
        <v>20</v>
      </c>
      <c r="E605" s="528">
        <f t="shared" si="26"/>
        <v>20</v>
      </c>
      <c r="F605" s="338" t="s">
        <v>113</v>
      </c>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ht="15" customHeight="1">
      <c r="A606" s="134" t="s">
        <v>6907</v>
      </c>
      <c r="B606" s="133" t="s">
        <v>105</v>
      </c>
      <c r="C606" s="134" t="s">
        <v>10117</v>
      </c>
      <c r="D606" s="100">
        <v>20</v>
      </c>
      <c r="E606" s="528">
        <f t="shared" si="26"/>
        <v>20</v>
      </c>
      <c r="F606" s="338" t="s">
        <v>113</v>
      </c>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ht="15" customHeight="1">
      <c r="A607" s="134" t="s">
        <v>6907</v>
      </c>
      <c r="B607" s="133" t="s">
        <v>105</v>
      </c>
      <c r="C607" s="134" t="s">
        <v>10118</v>
      </c>
      <c r="D607" s="100">
        <v>20</v>
      </c>
      <c r="E607" s="528">
        <f t="shared" si="26"/>
        <v>20</v>
      </c>
      <c r="F607" s="338" t="s">
        <v>113</v>
      </c>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ht="15" customHeight="1">
      <c r="A608" s="134" t="s">
        <v>6907</v>
      </c>
      <c r="B608" s="133" t="s">
        <v>105</v>
      </c>
      <c r="C608" s="134" t="s">
        <v>10119</v>
      </c>
      <c r="D608" s="100">
        <v>20</v>
      </c>
      <c r="E608" s="528">
        <f t="shared" si="26"/>
        <v>20</v>
      </c>
      <c r="F608" s="338" t="s">
        <v>113</v>
      </c>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ht="15" customHeight="1">
      <c r="A609" s="134" t="s">
        <v>6907</v>
      </c>
      <c r="B609" s="133" t="s">
        <v>105</v>
      </c>
      <c r="C609" s="133" t="s">
        <v>10120</v>
      </c>
      <c r="D609" s="100">
        <v>20</v>
      </c>
      <c r="E609" s="528">
        <f t="shared" si="26"/>
        <v>20</v>
      </c>
      <c r="F609" s="338" t="s">
        <v>113</v>
      </c>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ht="15" customHeight="1">
      <c r="A610" s="302" t="s">
        <v>133</v>
      </c>
      <c r="B610" s="290" t="s">
        <v>105</v>
      </c>
      <c r="C610" s="301" t="s">
        <v>10121</v>
      </c>
      <c r="D610" s="296">
        <v>20</v>
      </c>
      <c r="E610" s="513">
        <v>10</v>
      </c>
      <c r="F610" s="338" t="s">
        <v>133</v>
      </c>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ht="15" customHeight="1">
      <c r="A611" s="302" t="s">
        <v>133</v>
      </c>
      <c r="B611" s="290" t="s">
        <v>105</v>
      </c>
      <c r="C611" s="301" t="s">
        <v>10122</v>
      </c>
      <c r="D611" s="296">
        <v>20</v>
      </c>
      <c r="E611" s="513">
        <v>6.66</v>
      </c>
      <c r="F611" s="338" t="s">
        <v>133</v>
      </c>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ht="15" customHeight="1">
      <c r="A612" s="302" t="s">
        <v>133</v>
      </c>
      <c r="B612" s="290" t="s">
        <v>105</v>
      </c>
      <c r="C612" s="301" t="s">
        <v>10123</v>
      </c>
      <c r="D612" s="296">
        <v>20</v>
      </c>
      <c r="E612" s="513">
        <v>10</v>
      </c>
      <c r="F612" s="338" t="s">
        <v>133</v>
      </c>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ht="15" customHeight="1">
      <c r="A613" s="302" t="s">
        <v>133</v>
      </c>
      <c r="B613" s="290" t="s">
        <v>105</v>
      </c>
      <c r="C613" s="301" t="s">
        <v>10124</v>
      </c>
      <c r="D613" s="304">
        <v>20</v>
      </c>
      <c r="E613" s="513">
        <v>20</v>
      </c>
      <c r="F613" s="338" t="s">
        <v>133</v>
      </c>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ht="15" customHeight="1">
      <c r="A614" s="134" t="s">
        <v>1281</v>
      </c>
      <c r="B614" s="133" t="s">
        <v>105</v>
      </c>
      <c r="C614" s="133" t="s">
        <v>10125</v>
      </c>
      <c r="D614" s="100">
        <v>20</v>
      </c>
      <c r="E614" s="528">
        <f t="shared" ref="E614:E615" si="27">D614/2</f>
        <v>10</v>
      </c>
      <c r="F614" s="338" t="s">
        <v>134</v>
      </c>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ht="15" customHeight="1">
      <c r="A615" s="134" t="s">
        <v>1281</v>
      </c>
      <c r="B615" s="133" t="s">
        <v>105</v>
      </c>
      <c r="C615" s="133" t="s">
        <v>10126</v>
      </c>
      <c r="D615" s="116">
        <v>20</v>
      </c>
      <c r="E615" s="528">
        <f t="shared" si="27"/>
        <v>10</v>
      </c>
      <c r="F615" s="338" t="s">
        <v>134</v>
      </c>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ht="15.75" customHeight="1"/>
    <row r="617" spans="1:26" ht="15" customHeight="1">
      <c r="A617" s="332" t="s">
        <v>169</v>
      </c>
      <c r="E617" s="1116">
        <f>SUM(E9:E615)</f>
        <v>13054.993333333332</v>
      </c>
    </row>
    <row r="618" spans="1:26" ht="15.75" customHeight="1"/>
    <row r="619" spans="1:26" ht="15" customHeight="1">
      <c r="A619" s="1231" t="s">
        <v>1156</v>
      </c>
      <c r="B619" s="1232"/>
      <c r="C619" s="1232"/>
      <c r="D619" s="1232"/>
      <c r="E619" s="1232"/>
      <c r="F619" s="1232"/>
      <c r="G619" s="1232"/>
      <c r="H619" s="1233"/>
    </row>
    <row r="620" spans="1:26" ht="15.75" customHeight="1"/>
    <row r="621" spans="1:26" ht="15.75" customHeight="1"/>
    <row r="622" spans="1:26" ht="15.75" customHeight="1"/>
    <row r="623" spans="1:26" ht="15.75" customHeight="1"/>
    <row r="624" spans="1:26"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D455:D456"/>
    <mergeCell ref="E455:E456"/>
    <mergeCell ref="A619:H619"/>
    <mergeCell ref="A2:E2"/>
    <mergeCell ref="A4:E4"/>
    <mergeCell ref="A5:E5"/>
    <mergeCell ref="A6:E6"/>
    <mergeCell ref="A455:A456"/>
    <mergeCell ref="B455:B456"/>
    <mergeCell ref="C455:C456"/>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Z1000"/>
  <sheetViews>
    <sheetView workbookViewId="0"/>
  </sheetViews>
  <sheetFormatPr defaultColWidth="14.3984375" defaultRowHeight="15" customHeight="1"/>
  <cols>
    <col min="1" max="1" width="14.265625" customWidth="1"/>
    <col min="2" max="2" width="14.86328125" customWidth="1"/>
    <col min="3" max="3" width="15.1328125" customWidth="1"/>
    <col min="4" max="4" width="22.59765625" customWidth="1"/>
    <col min="5" max="5" width="14.59765625" customWidth="1"/>
    <col min="6" max="6" width="9.3984375" customWidth="1"/>
    <col min="7" max="7" width="8" customWidth="1"/>
    <col min="8" max="8" width="12" customWidth="1"/>
    <col min="9" max="11" width="8.73046875" customWidth="1"/>
    <col min="12" max="12" width="8.3984375" customWidth="1"/>
    <col min="13" max="13" width="18.1328125" customWidth="1"/>
    <col min="14" max="16" width="9.1328125" customWidth="1"/>
    <col min="17" max="22" width="8" customWidth="1"/>
  </cols>
  <sheetData>
    <row r="1" spans="1:22" ht="14.25">
      <c r="A1" s="64"/>
      <c r="B1" s="65"/>
      <c r="C1" s="65"/>
      <c r="D1" s="65"/>
      <c r="E1" s="1"/>
      <c r="F1" s="1"/>
      <c r="G1" s="1"/>
      <c r="H1" s="1"/>
      <c r="I1" s="1"/>
      <c r="J1" s="1"/>
      <c r="K1" s="1"/>
      <c r="L1" s="1"/>
      <c r="M1" s="1"/>
      <c r="N1" s="1"/>
      <c r="O1" s="1"/>
      <c r="P1" s="1"/>
    </row>
    <row r="2" spans="1:22" ht="15.75" customHeight="1">
      <c r="A2" s="1234" t="s">
        <v>1157</v>
      </c>
      <c r="B2" s="1227"/>
      <c r="C2" s="1227"/>
      <c r="D2" s="1227"/>
      <c r="E2" s="1227"/>
      <c r="F2" s="1227"/>
      <c r="G2" s="1227"/>
      <c r="H2" s="1227"/>
      <c r="I2" s="1227"/>
      <c r="J2" s="1227"/>
      <c r="K2" s="1227"/>
      <c r="L2" s="1228"/>
      <c r="M2" s="68"/>
      <c r="N2" s="68"/>
      <c r="O2" s="68"/>
      <c r="P2" s="68"/>
      <c r="Q2" s="69"/>
      <c r="R2" s="69"/>
      <c r="S2" s="69"/>
      <c r="T2" s="69"/>
      <c r="U2" s="69"/>
      <c r="V2" s="69"/>
    </row>
    <row r="3" spans="1:22" ht="14.25">
      <c r="A3" s="69"/>
      <c r="B3" s="69"/>
      <c r="C3" s="69"/>
      <c r="D3" s="69"/>
      <c r="E3" s="69"/>
      <c r="F3" s="69"/>
      <c r="G3" s="69"/>
      <c r="H3" s="69"/>
      <c r="I3" s="69"/>
      <c r="J3" s="69"/>
      <c r="K3" s="69"/>
      <c r="L3" s="69"/>
      <c r="M3" s="68"/>
      <c r="N3" s="68"/>
      <c r="O3" s="68"/>
      <c r="P3" s="68"/>
      <c r="Q3" s="69"/>
      <c r="R3" s="69"/>
      <c r="S3" s="69"/>
      <c r="T3" s="69"/>
      <c r="U3" s="69"/>
      <c r="V3" s="69"/>
    </row>
    <row r="4" spans="1:22" ht="40.5" customHeight="1">
      <c r="A4" s="1226" t="s">
        <v>1158</v>
      </c>
      <c r="B4" s="1227"/>
      <c r="C4" s="1227"/>
      <c r="D4" s="1227"/>
      <c r="E4" s="1227"/>
      <c r="F4" s="1227"/>
      <c r="G4" s="1227"/>
      <c r="H4" s="1227"/>
      <c r="I4" s="1227"/>
      <c r="J4" s="1227"/>
      <c r="K4" s="1227"/>
      <c r="L4" s="1228"/>
      <c r="M4" s="68"/>
      <c r="N4" s="68"/>
      <c r="O4" s="68"/>
      <c r="P4" s="68"/>
      <c r="Q4" s="69"/>
      <c r="R4" s="69"/>
      <c r="S4" s="69"/>
      <c r="T4" s="69"/>
      <c r="U4" s="69"/>
      <c r="V4" s="69"/>
    </row>
    <row r="5" spans="1:22" ht="36.75" customHeight="1">
      <c r="A5" s="1226" t="s">
        <v>1159</v>
      </c>
      <c r="B5" s="1227"/>
      <c r="C5" s="1227"/>
      <c r="D5" s="1227"/>
      <c r="E5" s="1227"/>
      <c r="F5" s="1227"/>
      <c r="G5" s="1227"/>
      <c r="H5" s="1227"/>
      <c r="I5" s="1227"/>
      <c r="J5" s="1227"/>
      <c r="K5" s="1227"/>
      <c r="L5" s="1228"/>
      <c r="M5" s="68"/>
      <c r="N5" s="68"/>
      <c r="O5" s="68"/>
      <c r="P5" s="68"/>
      <c r="Q5" s="69"/>
      <c r="R5" s="69"/>
      <c r="S5" s="69"/>
      <c r="T5" s="69"/>
      <c r="U5" s="69"/>
      <c r="V5" s="69"/>
    </row>
    <row r="6" spans="1:22" ht="27.75" customHeight="1">
      <c r="A6" s="1226" t="s">
        <v>1160</v>
      </c>
      <c r="B6" s="1227"/>
      <c r="C6" s="1227"/>
      <c r="D6" s="1227"/>
      <c r="E6" s="1227"/>
      <c r="F6" s="1227"/>
      <c r="G6" s="1227"/>
      <c r="H6" s="1227"/>
      <c r="I6" s="1227"/>
      <c r="J6" s="1227"/>
      <c r="K6" s="1227"/>
      <c r="L6" s="1228"/>
      <c r="M6" s="68"/>
      <c r="N6" s="68"/>
      <c r="O6" s="68"/>
      <c r="P6" s="68"/>
      <c r="Q6" s="69"/>
      <c r="R6" s="69"/>
      <c r="S6" s="69"/>
      <c r="T6" s="69"/>
      <c r="U6" s="69"/>
      <c r="V6" s="69"/>
    </row>
    <row r="7" spans="1:22" ht="28.5" customHeight="1">
      <c r="A7" s="1226" t="s">
        <v>1161</v>
      </c>
      <c r="B7" s="1227"/>
      <c r="C7" s="1227"/>
      <c r="D7" s="1227"/>
      <c r="E7" s="1227"/>
      <c r="F7" s="1227"/>
      <c r="G7" s="1227"/>
      <c r="H7" s="1227"/>
      <c r="I7" s="1227"/>
      <c r="J7" s="1227"/>
      <c r="K7" s="1227"/>
      <c r="L7" s="1228"/>
      <c r="M7" s="68"/>
      <c r="N7" s="68"/>
      <c r="O7" s="68"/>
      <c r="P7" s="68"/>
      <c r="Q7" s="69"/>
      <c r="R7" s="69"/>
      <c r="S7" s="69"/>
      <c r="T7" s="69"/>
      <c r="U7" s="69"/>
      <c r="V7" s="69"/>
    </row>
    <row r="8" spans="1:22" ht="14.25">
      <c r="A8" s="1226" t="s">
        <v>1162</v>
      </c>
      <c r="B8" s="1227"/>
      <c r="C8" s="1227"/>
      <c r="D8" s="1227"/>
      <c r="E8" s="1227"/>
      <c r="F8" s="1227"/>
      <c r="G8" s="1227"/>
      <c r="H8" s="1227"/>
      <c r="I8" s="1227"/>
      <c r="J8" s="1227"/>
      <c r="K8" s="1227"/>
      <c r="L8" s="1228"/>
      <c r="M8" s="68"/>
      <c r="N8" s="68"/>
      <c r="O8" s="68"/>
      <c r="P8" s="68"/>
      <c r="Q8" s="69"/>
      <c r="R8" s="69"/>
      <c r="S8" s="69"/>
      <c r="T8" s="69"/>
      <c r="U8" s="69"/>
      <c r="V8" s="69"/>
    </row>
    <row r="9" spans="1:22" ht="101.25" customHeight="1">
      <c r="A9" s="1229" t="s">
        <v>1163</v>
      </c>
      <c r="B9" s="1227"/>
      <c r="C9" s="1227"/>
      <c r="D9" s="1227"/>
      <c r="E9" s="1227"/>
      <c r="F9" s="1227"/>
      <c r="G9" s="1227"/>
      <c r="H9" s="1227"/>
      <c r="I9" s="1227"/>
      <c r="J9" s="1227"/>
      <c r="K9" s="1227"/>
      <c r="L9" s="1228"/>
      <c r="M9" s="68"/>
      <c r="N9" s="68"/>
      <c r="O9" s="68"/>
      <c r="P9" s="68"/>
      <c r="Q9" s="69"/>
      <c r="R9" s="69"/>
      <c r="S9" s="69"/>
      <c r="T9" s="69"/>
      <c r="U9" s="69"/>
      <c r="V9" s="69"/>
    </row>
    <row r="10" spans="1:22" ht="14.25">
      <c r="A10" s="77"/>
      <c r="B10" s="78"/>
      <c r="C10" s="78"/>
      <c r="D10" s="78"/>
      <c r="E10" s="77"/>
      <c r="F10" s="77"/>
      <c r="G10" s="77"/>
      <c r="H10" s="77"/>
      <c r="I10" s="77"/>
      <c r="J10" s="77"/>
      <c r="K10" s="77"/>
      <c r="L10" s="77"/>
      <c r="M10" s="68"/>
      <c r="N10" s="68"/>
      <c r="O10" s="68"/>
      <c r="P10" s="68"/>
      <c r="Q10" s="69"/>
      <c r="R10" s="69"/>
      <c r="S10" s="69"/>
      <c r="T10" s="69"/>
      <c r="U10" s="69"/>
      <c r="V10" s="69"/>
    </row>
    <row r="11" spans="1:22" ht="82.5" customHeight="1">
      <c r="A11" s="81" t="s">
        <v>190</v>
      </c>
      <c r="B11" s="81" t="s">
        <v>191</v>
      </c>
      <c r="C11" s="82" t="s">
        <v>1164</v>
      </c>
      <c r="D11" s="82" t="s">
        <v>1165</v>
      </c>
      <c r="E11" s="81" t="s">
        <v>1166</v>
      </c>
      <c r="F11" s="82" t="s">
        <v>1167</v>
      </c>
      <c r="G11" s="82" t="s">
        <v>201</v>
      </c>
      <c r="H11" s="82" t="s">
        <v>1168</v>
      </c>
      <c r="I11" s="82" t="s">
        <v>204</v>
      </c>
      <c r="J11" s="82" t="s">
        <v>205</v>
      </c>
      <c r="K11" s="81" t="s">
        <v>206</v>
      </c>
      <c r="L11" s="81" t="s">
        <v>210</v>
      </c>
      <c r="M11" s="336" t="s">
        <v>211</v>
      </c>
      <c r="N11" s="214"/>
      <c r="O11" s="214"/>
      <c r="P11" s="214"/>
      <c r="Q11" s="215"/>
      <c r="R11" s="215"/>
      <c r="S11" s="215"/>
      <c r="T11" s="215"/>
      <c r="U11" s="215"/>
      <c r="V11" s="215"/>
    </row>
    <row r="12" spans="1:22" ht="29.25" customHeight="1">
      <c r="A12" s="90" t="s">
        <v>1169</v>
      </c>
      <c r="B12" s="31" t="s">
        <v>51</v>
      </c>
      <c r="C12" s="90" t="s">
        <v>1170</v>
      </c>
      <c r="D12" s="90" t="s">
        <v>1171</v>
      </c>
      <c r="E12" s="31" t="s">
        <v>1172</v>
      </c>
      <c r="F12" s="123" t="s">
        <v>1173</v>
      </c>
      <c r="G12" s="121">
        <v>2022</v>
      </c>
      <c r="H12" s="121">
        <v>3</v>
      </c>
      <c r="I12" s="337">
        <v>1</v>
      </c>
      <c r="J12" s="337">
        <v>3</v>
      </c>
      <c r="K12" s="337" t="s">
        <v>1174</v>
      </c>
      <c r="L12" s="124">
        <v>286.66000000000003</v>
      </c>
      <c r="M12" s="338" t="s">
        <v>249</v>
      </c>
    </row>
    <row r="13" spans="1:22" ht="28.5" customHeight="1">
      <c r="A13" s="90" t="s">
        <v>1175</v>
      </c>
      <c r="B13" s="31" t="s">
        <v>51</v>
      </c>
      <c r="C13" s="90" t="s">
        <v>1176</v>
      </c>
      <c r="D13" s="90" t="s">
        <v>1177</v>
      </c>
      <c r="E13" s="31" t="s">
        <v>1172</v>
      </c>
      <c r="F13" s="126" t="s">
        <v>340</v>
      </c>
      <c r="G13" s="121">
        <v>2022</v>
      </c>
      <c r="H13" s="121">
        <v>3</v>
      </c>
      <c r="I13" s="339">
        <v>1</v>
      </c>
      <c r="J13" s="339">
        <v>3</v>
      </c>
      <c r="K13" s="339" t="s">
        <v>1178</v>
      </c>
      <c r="L13" s="124">
        <v>50</v>
      </c>
      <c r="M13" s="338" t="s">
        <v>249</v>
      </c>
    </row>
    <row r="14" spans="1:22" ht="22.5" customHeight="1">
      <c r="A14" s="121" t="s">
        <v>1179</v>
      </c>
      <c r="B14" s="31" t="s">
        <v>51</v>
      </c>
      <c r="C14" s="121" t="s">
        <v>1180</v>
      </c>
      <c r="D14" s="90" t="s">
        <v>1177</v>
      </c>
      <c r="E14" s="31" t="s">
        <v>1172</v>
      </c>
      <c r="F14" s="123" t="s">
        <v>1181</v>
      </c>
      <c r="G14" s="121">
        <v>2022</v>
      </c>
      <c r="H14" s="121">
        <v>3</v>
      </c>
      <c r="I14" s="337">
        <v>1</v>
      </c>
      <c r="J14" s="337">
        <v>3</v>
      </c>
      <c r="K14" s="337" t="s">
        <v>1182</v>
      </c>
      <c r="L14" s="124">
        <v>50</v>
      </c>
      <c r="M14" s="338" t="s">
        <v>249</v>
      </c>
    </row>
    <row r="15" spans="1:22" ht="18.75" customHeight="1">
      <c r="A15" s="121" t="s">
        <v>1183</v>
      </c>
      <c r="B15" s="31" t="s">
        <v>51</v>
      </c>
      <c r="C15" s="121" t="s">
        <v>1184</v>
      </c>
      <c r="D15" s="121" t="s">
        <v>1185</v>
      </c>
      <c r="E15" s="121" t="s">
        <v>1186</v>
      </c>
      <c r="F15" s="123" t="s">
        <v>1187</v>
      </c>
      <c r="G15" s="121">
        <v>2022</v>
      </c>
      <c r="H15" s="121">
        <v>1</v>
      </c>
      <c r="I15" s="339">
        <v>1</v>
      </c>
      <c r="J15" s="339">
        <v>1</v>
      </c>
      <c r="K15" s="339" t="s">
        <v>1188</v>
      </c>
      <c r="L15" s="124">
        <v>630</v>
      </c>
      <c r="M15" s="338" t="s">
        <v>249</v>
      </c>
    </row>
    <row r="16" spans="1:22" ht="27.75" customHeight="1">
      <c r="A16" s="91" t="s">
        <v>1189</v>
      </c>
      <c r="B16" s="91" t="s">
        <v>1190</v>
      </c>
      <c r="C16" s="92" t="s">
        <v>401</v>
      </c>
      <c r="D16" s="91" t="s">
        <v>1191</v>
      </c>
      <c r="E16" s="92" t="s">
        <v>1192</v>
      </c>
      <c r="F16" s="340" t="s">
        <v>1193</v>
      </c>
      <c r="G16" s="99">
        <v>2022</v>
      </c>
      <c r="H16" s="99">
        <v>3</v>
      </c>
      <c r="I16" s="100">
        <v>1</v>
      </c>
      <c r="J16" s="100">
        <v>5</v>
      </c>
      <c r="K16" s="100" t="s">
        <v>1194</v>
      </c>
      <c r="L16" s="114">
        <v>470</v>
      </c>
      <c r="M16" s="338" t="s">
        <v>409</v>
      </c>
    </row>
    <row r="17" spans="1:26" ht="82.5" customHeight="1">
      <c r="A17" s="91" t="s">
        <v>1195</v>
      </c>
      <c r="B17" s="91" t="s">
        <v>141</v>
      </c>
      <c r="C17" s="92" t="s">
        <v>1196</v>
      </c>
      <c r="D17" s="91" t="s">
        <v>1197</v>
      </c>
      <c r="E17" s="92" t="s">
        <v>1198</v>
      </c>
      <c r="F17" s="340" t="s">
        <v>1199</v>
      </c>
      <c r="G17" s="99">
        <v>2022</v>
      </c>
      <c r="H17" s="99">
        <v>2</v>
      </c>
      <c r="I17" s="99">
        <v>2</v>
      </c>
      <c r="J17" s="99">
        <v>2</v>
      </c>
      <c r="K17" s="99">
        <v>230</v>
      </c>
      <c r="L17" s="99">
        <v>115</v>
      </c>
      <c r="M17" s="336" t="s">
        <v>1200</v>
      </c>
      <c r="N17" s="214"/>
      <c r="O17" s="214"/>
      <c r="P17" s="214"/>
      <c r="Q17" s="215"/>
      <c r="R17" s="215"/>
      <c r="S17" s="215"/>
      <c r="T17" s="215"/>
      <c r="U17" s="215"/>
      <c r="V17" s="215"/>
      <c r="W17" s="216"/>
      <c r="X17" s="216"/>
      <c r="Y17" s="216"/>
      <c r="Z17" s="216"/>
    </row>
    <row r="18" spans="1:26" ht="82.5" customHeight="1">
      <c r="A18" s="91" t="s">
        <v>1201</v>
      </c>
      <c r="B18" s="91" t="s">
        <v>141</v>
      </c>
      <c r="C18" s="341" t="s">
        <v>1202</v>
      </c>
      <c r="D18" s="341" t="s">
        <v>1203</v>
      </c>
      <c r="E18" s="342" t="s">
        <v>1198</v>
      </c>
      <c r="F18" s="343" t="s">
        <v>1199</v>
      </c>
      <c r="G18" s="99">
        <v>2022</v>
      </c>
      <c r="H18" s="99">
        <v>2</v>
      </c>
      <c r="I18" s="100">
        <v>2</v>
      </c>
      <c r="J18" s="100">
        <v>2</v>
      </c>
      <c r="K18" s="100">
        <v>230</v>
      </c>
      <c r="L18" s="114">
        <v>115</v>
      </c>
      <c r="M18" s="344" t="s">
        <v>1204</v>
      </c>
      <c r="N18" s="214"/>
      <c r="O18" s="214"/>
      <c r="P18" s="214"/>
      <c r="Q18" s="215"/>
      <c r="R18" s="215"/>
      <c r="S18" s="215"/>
      <c r="T18" s="215"/>
      <c r="U18" s="215"/>
      <c r="V18" s="215"/>
      <c r="W18" s="216"/>
      <c r="X18" s="216"/>
      <c r="Y18" s="216"/>
      <c r="Z18" s="216"/>
    </row>
    <row r="20" spans="1:26" ht="15" customHeight="1">
      <c r="A20" s="332" t="s">
        <v>169</v>
      </c>
      <c r="L20" s="345">
        <f>SUM(L12:L18)</f>
        <v>1716.66</v>
      </c>
    </row>
    <row r="21" spans="1:26" ht="15.75" customHeight="1"/>
    <row r="22" spans="1:26" ht="15" customHeight="1">
      <c r="A22" s="1231" t="s">
        <v>1156</v>
      </c>
      <c r="B22" s="1232"/>
      <c r="C22" s="1232"/>
      <c r="D22" s="1232"/>
      <c r="E22" s="1232"/>
      <c r="F22" s="1232"/>
      <c r="G22" s="1232"/>
      <c r="H22" s="1233"/>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L8"/>
    <mergeCell ref="A9:L9"/>
    <mergeCell ref="A22:H22"/>
    <mergeCell ref="A2:L2"/>
    <mergeCell ref="A4:L4"/>
    <mergeCell ref="A5:L5"/>
    <mergeCell ref="A6:L6"/>
    <mergeCell ref="A7:L7"/>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64"/>
      <c r="B1" s="64"/>
      <c r="C1" s="65"/>
      <c r="D1" s="65"/>
      <c r="E1" s="65"/>
      <c r="F1" s="1"/>
      <c r="G1" s="1"/>
      <c r="H1" s="1"/>
    </row>
    <row r="2" spans="1:25" ht="15.75" customHeight="1">
      <c r="A2" s="1269" t="s">
        <v>10127</v>
      </c>
      <c r="B2" s="1227"/>
      <c r="C2" s="1227"/>
      <c r="D2" s="1227"/>
      <c r="E2" s="1228"/>
      <c r="F2" s="1114"/>
      <c r="G2" s="1114"/>
      <c r="H2" s="1114"/>
      <c r="I2" s="69"/>
      <c r="J2" s="69"/>
      <c r="K2" s="69"/>
      <c r="L2" s="69"/>
      <c r="M2" s="69"/>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16.5" customHeight="1">
      <c r="A4" s="1244" t="s">
        <v>10128</v>
      </c>
      <c r="B4" s="1227"/>
      <c r="C4" s="1227"/>
      <c r="D4" s="1227"/>
      <c r="E4" s="1228"/>
      <c r="F4" s="1114"/>
      <c r="G4" s="1114"/>
      <c r="H4" s="1114"/>
      <c r="I4" s="69"/>
      <c r="J4" s="69"/>
      <c r="K4" s="69"/>
      <c r="L4" s="69"/>
      <c r="M4" s="69"/>
      <c r="N4" s="69"/>
      <c r="O4" s="69"/>
      <c r="P4" s="69"/>
      <c r="Q4" s="69"/>
      <c r="R4" s="69"/>
      <c r="S4" s="69"/>
      <c r="T4" s="69"/>
      <c r="U4" s="69"/>
      <c r="V4" s="69"/>
      <c r="W4" s="69"/>
      <c r="X4" s="69"/>
      <c r="Y4" s="69"/>
    </row>
    <row r="5" spans="1:25" ht="132.75" customHeight="1">
      <c r="A5" s="1258" t="s">
        <v>10129</v>
      </c>
      <c r="B5" s="1227"/>
      <c r="C5" s="1227"/>
      <c r="D5" s="1227"/>
      <c r="E5" s="1228"/>
      <c r="F5" s="1114"/>
      <c r="G5" s="1114"/>
      <c r="H5" s="1114"/>
      <c r="I5" s="69"/>
      <c r="J5" s="69"/>
      <c r="K5" s="69"/>
      <c r="L5" s="69"/>
      <c r="M5" s="69"/>
      <c r="N5" s="69"/>
      <c r="O5" s="69"/>
      <c r="P5" s="69"/>
      <c r="Q5" s="69"/>
      <c r="R5" s="69"/>
      <c r="S5" s="69"/>
      <c r="T5" s="69"/>
      <c r="U5" s="69"/>
      <c r="V5" s="69"/>
      <c r="W5" s="69"/>
      <c r="X5" s="69"/>
      <c r="Y5" s="69"/>
    </row>
    <row r="6" spans="1:25" ht="14.25">
      <c r="A6" s="77"/>
      <c r="B6" s="77"/>
      <c r="C6" s="78"/>
      <c r="D6" s="78"/>
      <c r="E6" s="78"/>
      <c r="F6" s="77"/>
      <c r="G6" s="77"/>
      <c r="H6" s="77"/>
      <c r="I6" s="69"/>
      <c r="J6" s="69"/>
      <c r="K6" s="69"/>
      <c r="L6" s="69"/>
      <c r="M6" s="69"/>
      <c r="N6" s="69"/>
      <c r="O6" s="69"/>
      <c r="P6" s="69"/>
      <c r="Q6" s="69"/>
      <c r="R6" s="69"/>
      <c r="S6" s="69"/>
      <c r="T6" s="69"/>
      <c r="U6" s="69"/>
      <c r="V6" s="69"/>
      <c r="W6" s="69"/>
      <c r="X6" s="69"/>
      <c r="Y6" s="69"/>
    </row>
    <row r="7" spans="1:25" ht="61.5" customHeight="1">
      <c r="A7" s="377" t="s">
        <v>4419</v>
      </c>
      <c r="B7" s="83" t="s">
        <v>7</v>
      </c>
      <c r="C7" s="83" t="s">
        <v>10130</v>
      </c>
      <c r="D7" s="350" t="s">
        <v>206</v>
      </c>
      <c r="E7" s="350" t="s">
        <v>210</v>
      </c>
      <c r="F7" s="336" t="s">
        <v>211</v>
      </c>
      <c r="I7" s="69"/>
      <c r="J7" s="69"/>
      <c r="K7" s="69"/>
      <c r="L7" s="69"/>
      <c r="M7" s="69"/>
      <c r="N7" s="69"/>
      <c r="O7" s="69"/>
      <c r="P7" s="69"/>
      <c r="Q7" s="69"/>
      <c r="R7" s="69"/>
      <c r="S7" s="69"/>
      <c r="T7" s="69"/>
      <c r="U7" s="69"/>
      <c r="V7" s="69"/>
      <c r="W7" s="69"/>
      <c r="X7" s="69"/>
      <c r="Y7" s="69"/>
    </row>
    <row r="8" spans="1:25" ht="15" customHeight="1">
      <c r="A8" s="134" t="s">
        <v>7371</v>
      </c>
      <c r="B8" s="133" t="s">
        <v>51</v>
      </c>
      <c r="C8" s="133" t="s">
        <v>10131</v>
      </c>
      <c r="D8" s="100">
        <v>60</v>
      </c>
      <c r="E8" s="528">
        <v>60</v>
      </c>
      <c r="F8" s="338" t="s">
        <v>7371</v>
      </c>
    </row>
    <row r="9" spans="1:25" ht="15" customHeight="1">
      <c r="A9" s="134" t="s">
        <v>1331</v>
      </c>
      <c r="B9" s="133" t="s">
        <v>51</v>
      </c>
      <c r="C9" s="133" t="s">
        <v>10132</v>
      </c>
      <c r="D9" s="100">
        <v>60</v>
      </c>
      <c r="E9" s="528">
        <v>60</v>
      </c>
      <c r="F9" s="338" t="s">
        <v>1331</v>
      </c>
    </row>
    <row r="10" spans="1:25" ht="15" customHeight="1">
      <c r="A10" s="134" t="s">
        <v>1331</v>
      </c>
      <c r="B10" s="133" t="s">
        <v>51</v>
      </c>
      <c r="C10" s="133" t="s">
        <v>10133</v>
      </c>
      <c r="D10" s="116">
        <v>80</v>
      </c>
      <c r="E10" s="528">
        <v>80</v>
      </c>
      <c r="F10" s="338" t="s">
        <v>1331</v>
      </c>
    </row>
    <row r="11" spans="1:25" ht="15" customHeight="1">
      <c r="A11" s="134" t="s">
        <v>7379</v>
      </c>
      <c r="B11" s="134" t="s">
        <v>51</v>
      </c>
      <c r="C11" s="133" t="s">
        <v>10134</v>
      </c>
      <c r="D11" s="100">
        <v>30</v>
      </c>
      <c r="E11" s="528">
        <f>D11</f>
        <v>30</v>
      </c>
      <c r="F11" s="338" t="s">
        <v>384</v>
      </c>
    </row>
    <row r="12" spans="1:25" ht="15" customHeight="1">
      <c r="A12" s="134" t="s">
        <v>7379</v>
      </c>
      <c r="B12" s="134" t="s">
        <v>51</v>
      </c>
      <c r="C12" s="133" t="s">
        <v>10135</v>
      </c>
      <c r="D12" s="116">
        <v>60</v>
      </c>
      <c r="E12" s="528">
        <v>60</v>
      </c>
      <c r="F12" s="338" t="s">
        <v>384</v>
      </c>
    </row>
    <row r="13" spans="1:25" ht="15" customHeight="1">
      <c r="A13" s="134" t="s">
        <v>7379</v>
      </c>
      <c r="B13" s="134" t="s">
        <v>51</v>
      </c>
      <c r="C13" s="133" t="s">
        <v>10136</v>
      </c>
      <c r="D13" s="100">
        <v>20</v>
      </c>
      <c r="E13" s="528">
        <v>20</v>
      </c>
      <c r="F13" s="338" t="s">
        <v>384</v>
      </c>
    </row>
    <row r="14" spans="1:25" ht="15" customHeight="1">
      <c r="A14" s="134" t="s">
        <v>7379</v>
      </c>
      <c r="B14" s="134" t="s">
        <v>51</v>
      </c>
      <c r="C14" s="133" t="s">
        <v>10137</v>
      </c>
      <c r="D14" s="116">
        <v>20</v>
      </c>
      <c r="E14" s="528">
        <v>20</v>
      </c>
      <c r="F14" s="338" t="s">
        <v>384</v>
      </c>
    </row>
    <row r="15" spans="1:25" ht="15" customHeight="1">
      <c r="A15" s="134" t="s">
        <v>7379</v>
      </c>
      <c r="B15" s="134" t="s">
        <v>51</v>
      </c>
      <c r="C15" s="133" t="s">
        <v>10138</v>
      </c>
      <c r="D15" s="116">
        <v>20</v>
      </c>
      <c r="E15" s="528">
        <f t="shared" ref="E15:E16" si="0">D15</f>
        <v>20</v>
      </c>
      <c r="F15" s="338" t="s">
        <v>384</v>
      </c>
    </row>
    <row r="16" spans="1:25" ht="15" customHeight="1">
      <c r="A16" s="134" t="s">
        <v>7379</v>
      </c>
      <c r="B16" s="134" t="s">
        <v>51</v>
      </c>
      <c r="C16" s="133" t="s">
        <v>10139</v>
      </c>
      <c r="D16" s="116">
        <v>20</v>
      </c>
      <c r="E16" s="528">
        <f t="shared" si="0"/>
        <v>20</v>
      </c>
      <c r="F16" s="338" t="s">
        <v>384</v>
      </c>
    </row>
    <row r="17" spans="1:6" ht="15" customHeight="1">
      <c r="A17" s="134" t="s">
        <v>7379</v>
      </c>
      <c r="B17" s="134" t="s">
        <v>51</v>
      </c>
      <c r="C17" s="133" t="s">
        <v>10140</v>
      </c>
      <c r="D17" s="116">
        <v>20</v>
      </c>
      <c r="E17" s="528">
        <v>20</v>
      </c>
      <c r="F17" s="338" t="s">
        <v>384</v>
      </c>
    </row>
    <row r="18" spans="1:6" ht="15" customHeight="1">
      <c r="A18" s="134" t="s">
        <v>7379</v>
      </c>
      <c r="B18" s="134" t="s">
        <v>51</v>
      </c>
      <c r="C18" s="133" t="s">
        <v>10141</v>
      </c>
      <c r="D18" s="116">
        <v>20</v>
      </c>
      <c r="E18" s="528">
        <v>20</v>
      </c>
      <c r="F18" s="338" t="s">
        <v>384</v>
      </c>
    </row>
    <row r="19" spans="1:6" ht="15" customHeight="1">
      <c r="A19" s="134" t="s">
        <v>7379</v>
      </c>
      <c r="B19" s="134" t="s">
        <v>51</v>
      </c>
      <c r="C19" s="133" t="s">
        <v>10142</v>
      </c>
      <c r="D19" s="116">
        <v>20</v>
      </c>
      <c r="E19" s="528">
        <v>20</v>
      </c>
      <c r="F19" s="338" t="s">
        <v>384</v>
      </c>
    </row>
    <row r="20" spans="1:6" ht="15" customHeight="1">
      <c r="A20" s="134" t="s">
        <v>7379</v>
      </c>
      <c r="B20" s="134" t="s">
        <v>51</v>
      </c>
      <c r="C20" s="133" t="s">
        <v>10143</v>
      </c>
      <c r="D20" s="116">
        <v>20</v>
      </c>
      <c r="E20" s="528">
        <v>20</v>
      </c>
      <c r="F20" s="338" t="s">
        <v>384</v>
      </c>
    </row>
    <row r="21" spans="1:6" ht="15" customHeight="1">
      <c r="A21" s="134" t="s">
        <v>7379</v>
      </c>
      <c r="B21" s="134" t="s">
        <v>51</v>
      </c>
      <c r="C21" s="133" t="s">
        <v>10144</v>
      </c>
      <c r="D21" s="116">
        <v>30</v>
      </c>
      <c r="E21" s="528">
        <f>D21</f>
        <v>30</v>
      </c>
      <c r="F21" s="338" t="s">
        <v>384</v>
      </c>
    </row>
    <row r="22" spans="1:6" ht="15" customHeight="1">
      <c r="A22" s="381" t="s">
        <v>1822</v>
      </c>
      <c r="B22" s="133" t="s">
        <v>51</v>
      </c>
      <c r="C22" s="133" t="s">
        <v>10145</v>
      </c>
      <c r="D22" s="116">
        <v>20</v>
      </c>
      <c r="E22" s="528">
        <v>20</v>
      </c>
      <c r="F22" s="338" t="s">
        <v>1822</v>
      </c>
    </row>
    <row r="23" spans="1:6" ht="15" customHeight="1">
      <c r="A23" s="381" t="s">
        <v>1822</v>
      </c>
      <c r="B23" s="133" t="s">
        <v>51</v>
      </c>
      <c r="C23" s="133" t="s">
        <v>10146</v>
      </c>
      <c r="D23" s="116">
        <v>20</v>
      </c>
      <c r="E23" s="528">
        <v>20</v>
      </c>
      <c r="F23" s="338" t="s">
        <v>1822</v>
      </c>
    </row>
    <row r="24" spans="1:6" ht="15" customHeight="1">
      <c r="A24" s="134" t="s">
        <v>409</v>
      </c>
      <c r="B24" s="133" t="s">
        <v>401</v>
      </c>
      <c r="C24" s="133" t="s">
        <v>10147</v>
      </c>
      <c r="D24" s="100">
        <v>20</v>
      </c>
      <c r="E24" s="528">
        <v>20</v>
      </c>
      <c r="F24" s="338" t="s">
        <v>409</v>
      </c>
    </row>
    <row r="25" spans="1:6" ht="15" customHeight="1">
      <c r="A25" s="134" t="s">
        <v>409</v>
      </c>
      <c r="B25" s="133" t="s">
        <v>401</v>
      </c>
      <c r="C25" s="133" t="s">
        <v>10148</v>
      </c>
      <c r="D25" s="116">
        <v>20</v>
      </c>
      <c r="E25" s="528">
        <v>20</v>
      </c>
      <c r="F25" s="338" t="s">
        <v>409</v>
      </c>
    </row>
    <row r="26" spans="1:6" ht="15" customHeight="1">
      <c r="A26" s="134" t="s">
        <v>409</v>
      </c>
      <c r="B26" s="133" t="s">
        <v>401</v>
      </c>
      <c r="C26" s="133" t="s">
        <v>10149</v>
      </c>
      <c r="D26" s="116">
        <v>20</v>
      </c>
      <c r="E26" s="528">
        <v>20</v>
      </c>
      <c r="F26" s="338" t="s">
        <v>409</v>
      </c>
    </row>
    <row r="27" spans="1:6" ht="15" customHeight="1">
      <c r="A27" s="134" t="s">
        <v>466</v>
      </c>
      <c r="B27" s="133" t="s">
        <v>401</v>
      </c>
      <c r="C27" s="133" t="s">
        <v>10150</v>
      </c>
      <c r="D27" s="100">
        <v>60</v>
      </c>
      <c r="E27" s="528">
        <v>60</v>
      </c>
      <c r="F27" s="338" t="s">
        <v>466</v>
      </c>
    </row>
    <row r="28" spans="1:6" ht="15" customHeight="1">
      <c r="A28" s="134" t="s">
        <v>466</v>
      </c>
      <c r="B28" s="133" t="s">
        <v>401</v>
      </c>
      <c r="C28" s="133" t="s">
        <v>10151</v>
      </c>
      <c r="D28" s="116">
        <v>60</v>
      </c>
      <c r="E28" s="528">
        <v>60</v>
      </c>
      <c r="F28" s="338" t="s">
        <v>466</v>
      </c>
    </row>
    <row r="29" spans="1:6" ht="15" customHeight="1">
      <c r="A29" s="134" t="s">
        <v>466</v>
      </c>
      <c r="B29" s="133" t="s">
        <v>401</v>
      </c>
      <c r="C29" s="133" t="s">
        <v>10152</v>
      </c>
      <c r="D29" s="100">
        <v>30</v>
      </c>
      <c r="E29" s="528">
        <v>30</v>
      </c>
      <c r="F29" s="338" t="s">
        <v>466</v>
      </c>
    </row>
    <row r="30" spans="1:6" ht="15" customHeight="1">
      <c r="A30" s="134" t="s">
        <v>4848</v>
      </c>
      <c r="B30" s="133" t="s">
        <v>51</v>
      </c>
      <c r="C30" s="133" t="s">
        <v>10153</v>
      </c>
      <c r="D30" s="100">
        <v>20</v>
      </c>
      <c r="E30" s="528">
        <v>20</v>
      </c>
      <c r="F30" s="338" t="s">
        <v>2207</v>
      </c>
    </row>
    <row r="31" spans="1:6" ht="15" customHeight="1">
      <c r="A31" s="134" t="s">
        <v>4848</v>
      </c>
      <c r="B31" s="133" t="s">
        <v>51</v>
      </c>
      <c r="C31" s="133" t="s">
        <v>10154</v>
      </c>
      <c r="D31" s="100">
        <v>20</v>
      </c>
      <c r="E31" s="528">
        <v>20</v>
      </c>
      <c r="F31" s="338" t="s">
        <v>2207</v>
      </c>
    </row>
    <row r="32" spans="1:6" ht="15" customHeight="1">
      <c r="A32" s="134" t="s">
        <v>473</v>
      </c>
      <c r="B32" s="133" t="s">
        <v>51</v>
      </c>
      <c r="C32" s="133" t="s">
        <v>10155</v>
      </c>
      <c r="D32" s="100">
        <v>20</v>
      </c>
      <c r="E32" s="528">
        <f t="shared" ref="E32:E40" si="1">D32</f>
        <v>20</v>
      </c>
      <c r="F32" s="338" t="s">
        <v>473</v>
      </c>
    </row>
    <row r="33" spans="1:6" ht="15" customHeight="1">
      <c r="A33" s="134" t="s">
        <v>473</v>
      </c>
      <c r="B33" s="133" t="s">
        <v>51</v>
      </c>
      <c r="C33" s="133" t="s">
        <v>10156</v>
      </c>
      <c r="D33" s="100">
        <v>20</v>
      </c>
      <c r="E33" s="528">
        <f t="shared" si="1"/>
        <v>20</v>
      </c>
      <c r="F33" s="338" t="s">
        <v>473</v>
      </c>
    </row>
    <row r="34" spans="1:6" ht="15" customHeight="1">
      <c r="A34" s="134" t="s">
        <v>2260</v>
      </c>
      <c r="B34" s="99" t="s">
        <v>51</v>
      </c>
      <c r="C34" s="133" t="s">
        <v>10150</v>
      </c>
      <c r="D34" s="116">
        <v>60</v>
      </c>
      <c r="E34" s="528">
        <f t="shared" si="1"/>
        <v>60</v>
      </c>
      <c r="F34" s="338" t="s">
        <v>2260</v>
      </c>
    </row>
    <row r="35" spans="1:6" ht="15" customHeight="1">
      <c r="A35" s="134" t="s">
        <v>2260</v>
      </c>
      <c r="B35" s="99" t="s">
        <v>51</v>
      </c>
      <c r="C35" s="133" t="s">
        <v>10151</v>
      </c>
      <c r="D35" s="116">
        <v>60</v>
      </c>
      <c r="E35" s="528">
        <f t="shared" si="1"/>
        <v>60</v>
      </c>
      <c r="F35" s="338" t="s">
        <v>2260</v>
      </c>
    </row>
    <row r="36" spans="1:6" ht="15" customHeight="1">
      <c r="A36" s="134" t="s">
        <v>2260</v>
      </c>
      <c r="B36" s="99" t="s">
        <v>51</v>
      </c>
      <c r="C36" s="133" t="s">
        <v>10157</v>
      </c>
      <c r="D36" s="116">
        <v>30</v>
      </c>
      <c r="E36" s="528">
        <f t="shared" si="1"/>
        <v>30</v>
      </c>
      <c r="F36" s="338" t="s">
        <v>2260</v>
      </c>
    </row>
    <row r="37" spans="1:6" ht="15" customHeight="1">
      <c r="A37" s="134" t="s">
        <v>2260</v>
      </c>
      <c r="B37" s="99" t="s">
        <v>51</v>
      </c>
      <c r="C37" s="133" t="s">
        <v>10158</v>
      </c>
      <c r="D37" s="116">
        <v>30</v>
      </c>
      <c r="E37" s="528">
        <f t="shared" si="1"/>
        <v>30</v>
      </c>
      <c r="F37" s="338" t="s">
        <v>2260</v>
      </c>
    </row>
    <row r="38" spans="1:6" ht="15" customHeight="1">
      <c r="A38" s="134" t="s">
        <v>2260</v>
      </c>
      <c r="B38" s="99" t="s">
        <v>51</v>
      </c>
      <c r="C38" s="133" t="s">
        <v>10159</v>
      </c>
      <c r="D38" s="116">
        <v>30</v>
      </c>
      <c r="E38" s="528">
        <f t="shared" si="1"/>
        <v>30</v>
      </c>
      <c r="F38" s="338" t="s">
        <v>2260</v>
      </c>
    </row>
    <row r="39" spans="1:6" ht="15" customHeight="1">
      <c r="A39" s="134" t="s">
        <v>2260</v>
      </c>
      <c r="B39" s="99" t="s">
        <v>51</v>
      </c>
      <c r="C39" s="133" t="s">
        <v>10160</v>
      </c>
      <c r="D39" s="116">
        <v>30</v>
      </c>
      <c r="E39" s="528">
        <f t="shared" si="1"/>
        <v>30</v>
      </c>
      <c r="F39" s="338" t="s">
        <v>2260</v>
      </c>
    </row>
    <row r="40" spans="1:6" ht="15" customHeight="1">
      <c r="A40" s="134" t="s">
        <v>2260</v>
      </c>
      <c r="B40" s="99" t="s">
        <v>51</v>
      </c>
      <c r="C40" s="133" t="s">
        <v>10161</v>
      </c>
      <c r="D40" s="116">
        <v>30</v>
      </c>
      <c r="E40" s="528">
        <f t="shared" si="1"/>
        <v>30</v>
      </c>
      <c r="F40" s="338" t="s">
        <v>2260</v>
      </c>
    </row>
    <row r="41" spans="1:6" ht="15" customHeight="1">
      <c r="A41" s="134" t="s">
        <v>6415</v>
      </c>
      <c r="B41" s="133" t="s">
        <v>51</v>
      </c>
      <c r="C41" s="133" t="s">
        <v>10162</v>
      </c>
      <c r="D41" s="100">
        <v>60</v>
      </c>
      <c r="E41" s="528">
        <v>60</v>
      </c>
      <c r="F41" s="338" t="s">
        <v>482</v>
      </c>
    </row>
    <row r="42" spans="1:6" ht="15" customHeight="1">
      <c r="A42" s="134" t="s">
        <v>6415</v>
      </c>
      <c r="B42" s="133" t="s">
        <v>51</v>
      </c>
      <c r="C42" s="133" t="s">
        <v>10133</v>
      </c>
      <c r="D42" s="100">
        <v>80</v>
      </c>
      <c r="E42" s="528">
        <v>80</v>
      </c>
      <c r="F42" s="338" t="s">
        <v>482</v>
      </c>
    </row>
    <row r="43" spans="1:6" ht="15" customHeight="1">
      <c r="A43" s="134" t="s">
        <v>6435</v>
      </c>
      <c r="B43" s="133" t="s">
        <v>51</v>
      </c>
      <c r="C43" s="133" t="s">
        <v>10163</v>
      </c>
      <c r="D43" s="100">
        <v>60</v>
      </c>
      <c r="E43" s="528">
        <v>60</v>
      </c>
      <c r="F43" s="338" t="s">
        <v>2358</v>
      </c>
    </row>
    <row r="44" spans="1:6" ht="15" customHeight="1">
      <c r="A44" s="134" t="s">
        <v>6435</v>
      </c>
      <c r="B44" s="133" t="s">
        <v>51</v>
      </c>
      <c r="C44" s="133" t="s">
        <v>10164</v>
      </c>
      <c r="D44" s="116">
        <v>60</v>
      </c>
      <c r="E44" s="528">
        <v>60</v>
      </c>
      <c r="F44" s="338" t="s">
        <v>2358</v>
      </c>
    </row>
    <row r="45" spans="1:6" ht="15" customHeight="1">
      <c r="A45" s="162" t="s">
        <v>2372</v>
      </c>
      <c r="B45" s="162" t="s">
        <v>51</v>
      </c>
      <c r="C45" s="162" t="s">
        <v>10165</v>
      </c>
      <c r="D45" s="163">
        <v>40</v>
      </c>
      <c r="E45" s="483">
        <v>40</v>
      </c>
      <c r="F45" s="338" t="s">
        <v>2372</v>
      </c>
    </row>
    <row r="46" spans="1:6" ht="15" customHeight="1">
      <c r="A46" s="162" t="s">
        <v>2372</v>
      </c>
      <c r="B46" s="162" t="s">
        <v>51</v>
      </c>
      <c r="C46" s="162" t="s">
        <v>10166</v>
      </c>
      <c r="D46" s="163">
        <v>60</v>
      </c>
      <c r="E46" s="483">
        <v>60</v>
      </c>
      <c r="F46" s="338" t="s">
        <v>2372</v>
      </c>
    </row>
    <row r="47" spans="1:6" ht="15" customHeight="1">
      <c r="A47" s="162" t="s">
        <v>2372</v>
      </c>
      <c r="B47" s="162" t="s">
        <v>51</v>
      </c>
      <c r="C47" s="162" t="s">
        <v>10167</v>
      </c>
      <c r="D47" s="163">
        <v>60</v>
      </c>
      <c r="E47" s="483">
        <v>60</v>
      </c>
      <c r="F47" s="338" t="s">
        <v>2372</v>
      </c>
    </row>
    <row r="48" spans="1:6" ht="15" customHeight="1">
      <c r="A48" s="99" t="s">
        <v>2372</v>
      </c>
      <c r="B48" s="99" t="s">
        <v>51</v>
      </c>
      <c r="C48" s="99" t="s">
        <v>10168</v>
      </c>
      <c r="D48" s="116">
        <v>20</v>
      </c>
      <c r="E48" s="528">
        <v>20</v>
      </c>
      <c r="F48" s="338" t="s">
        <v>2372</v>
      </c>
    </row>
    <row r="49" spans="1:6" ht="15" customHeight="1">
      <c r="A49" s="162" t="s">
        <v>2372</v>
      </c>
      <c r="B49" s="162" t="s">
        <v>51</v>
      </c>
      <c r="C49" s="162" t="s">
        <v>10169</v>
      </c>
      <c r="D49" s="737">
        <v>20</v>
      </c>
      <c r="E49" s="483">
        <v>20</v>
      </c>
      <c r="F49" s="338" t="s">
        <v>2372</v>
      </c>
    </row>
    <row r="50" spans="1:6" ht="15" customHeight="1">
      <c r="A50" s="162" t="s">
        <v>2372</v>
      </c>
      <c r="B50" s="162" t="s">
        <v>51</v>
      </c>
      <c r="C50" s="162" t="s">
        <v>10170</v>
      </c>
      <c r="D50" s="737" t="s">
        <v>10171</v>
      </c>
      <c r="E50" s="483">
        <v>40</v>
      </c>
      <c r="F50" s="338" t="s">
        <v>2372</v>
      </c>
    </row>
    <row r="51" spans="1:6" ht="15" customHeight="1">
      <c r="A51" s="162" t="s">
        <v>2372</v>
      </c>
      <c r="B51" s="162" t="s">
        <v>51</v>
      </c>
      <c r="C51" s="162" t="s">
        <v>10172</v>
      </c>
      <c r="D51" s="737">
        <v>20</v>
      </c>
      <c r="E51" s="483">
        <v>20</v>
      </c>
      <c r="F51" s="338" t="s">
        <v>2372</v>
      </c>
    </row>
    <row r="52" spans="1:6" ht="15" customHeight="1">
      <c r="A52" s="162" t="s">
        <v>2372</v>
      </c>
      <c r="B52" s="162" t="s">
        <v>51</v>
      </c>
      <c r="C52" s="162" t="s">
        <v>10173</v>
      </c>
      <c r="D52" s="737" t="s">
        <v>10174</v>
      </c>
      <c r="E52" s="483">
        <v>40</v>
      </c>
      <c r="F52" s="338" t="s">
        <v>2372</v>
      </c>
    </row>
    <row r="53" spans="1:6" ht="15" customHeight="1">
      <c r="A53" s="134" t="s">
        <v>7097</v>
      </c>
      <c r="B53" s="133" t="s">
        <v>51</v>
      </c>
      <c r="C53" s="133" t="s">
        <v>10175</v>
      </c>
      <c r="D53" s="100">
        <v>40</v>
      </c>
      <c r="E53" s="528">
        <f t="shared" ref="E53:E54" si="2">D53</f>
        <v>40</v>
      </c>
      <c r="F53" s="338" t="s">
        <v>2392</v>
      </c>
    </row>
    <row r="54" spans="1:6" ht="15" customHeight="1">
      <c r="A54" s="134" t="s">
        <v>7097</v>
      </c>
      <c r="B54" s="133" t="s">
        <v>51</v>
      </c>
      <c r="C54" s="133" t="s">
        <v>10176</v>
      </c>
      <c r="D54" s="100">
        <v>20</v>
      </c>
      <c r="E54" s="528">
        <f t="shared" si="2"/>
        <v>20</v>
      </c>
      <c r="F54" s="338" t="s">
        <v>2392</v>
      </c>
    </row>
    <row r="55" spans="1:6" ht="15" customHeight="1">
      <c r="A55" s="134" t="s">
        <v>488</v>
      </c>
      <c r="B55" s="133" t="s">
        <v>51</v>
      </c>
      <c r="C55" s="133" t="s">
        <v>10177</v>
      </c>
      <c r="D55" s="116">
        <v>30</v>
      </c>
      <c r="E55" s="528">
        <v>30</v>
      </c>
      <c r="F55" s="338" t="s">
        <v>488</v>
      </c>
    </row>
    <row r="56" spans="1:6" ht="15" customHeight="1">
      <c r="A56" s="134" t="s">
        <v>2513</v>
      </c>
      <c r="B56" s="133" t="s">
        <v>51</v>
      </c>
      <c r="C56" s="133" t="s">
        <v>10178</v>
      </c>
      <c r="D56" s="116">
        <v>60</v>
      </c>
      <c r="E56" s="528">
        <f t="shared" ref="E56:E69" si="3">D56</f>
        <v>60</v>
      </c>
      <c r="F56" s="338" t="s">
        <v>2513</v>
      </c>
    </row>
    <row r="57" spans="1:6" ht="15" customHeight="1">
      <c r="A57" s="134" t="s">
        <v>2513</v>
      </c>
      <c r="B57" s="133" t="s">
        <v>51</v>
      </c>
      <c r="C57" s="133" t="s">
        <v>10179</v>
      </c>
      <c r="D57" s="116">
        <v>30</v>
      </c>
      <c r="E57" s="528">
        <f t="shared" si="3"/>
        <v>30</v>
      </c>
      <c r="F57" s="338" t="s">
        <v>2513</v>
      </c>
    </row>
    <row r="58" spans="1:6" ht="15" customHeight="1">
      <c r="A58" s="134" t="s">
        <v>2513</v>
      </c>
      <c r="B58" s="133" t="s">
        <v>51</v>
      </c>
      <c r="C58" s="133" t="s">
        <v>10180</v>
      </c>
      <c r="D58" s="116">
        <v>20</v>
      </c>
      <c r="E58" s="528">
        <f t="shared" si="3"/>
        <v>20</v>
      </c>
      <c r="F58" s="338" t="s">
        <v>2513</v>
      </c>
    </row>
    <row r="59" spans="1:6" ht="15" customHeight="1">
      <c r="A59" s="134" t="s">
        <v>2513</v>
      </c>
      <c r="B59" s="133" t="s">
        <v>51</v>
      </c>
      <c r="C59" s="133" t="s">
        <v>10181</v>
      </c>
      <c r="D59" s="116">
        <v>30</v>
      </c>
      <c r="E59" s="528">
        <f t="shared" si="3"/>
        <v>30</v>
      </c>
      <c r="F59" s="338" t="s">
        <v>2513</v>
      </c>
    </row>
    <row r="60" spans="1:6" ht="15" customHeight="1">
      <c r="A60" s="134" t="s">
        <v>2513</v>
      </c>
      <c r="B60" s="133" t="s">
        <v>51</v>
      </c>
      <c r="C60" s="133" t="s">
        <v>10182</v>
      </c>
      <c r="D60" s="116">
        <v>30</v>
      </c>
      <c r="E60" s="528">
        <f t="shared" si="3"/>
        <v>30</v>
      </c>
      <c r="F60" s="338" t="s">
        <v>2513</v>
      </c>
    </row>
    <row r="61" spans="1:6" ht="15" customHeight="1">
      <c r="A61" s="134" t="s">
        <v>2513</v>
      </c>
      <c r="B61" s="133" t="s">
        <v>51</v>
      </c>
      <c r="C61" s="133" t="s">
        <v>10183</v>
      </c>
      <c r="D61" s="116">
        <v>30</v>
      </c>
      <c r="E61" s="528">
        <f t="shared" si="3"/>
        <v>30</v>
      </c>
      <c r="F61" s="338" t="s">
        <v>2513</v>
      </c>
    </row>
    <row r="62" spans="1:6" ht="15" customHeight="1">
      <c r="A62" s="134" t="s">
        <v>2513</v>
      </c>
      <c r="B62" s="133" t="s">
        <v>51</v>
      </c>
      <c r="C62" s="133" t="s">
        <v>10184</v>
      </c>
      <c r="D62" s="116">
        <v>30</v>
      </c>
      <c r="E62" s="528">
        <f t="shared" si="3"/>
        <v>30</v>
      </c>
      <c r="F62" s="338" t="s">
        <v>2513</v>
      </c>
    </row>
    <row r="63" spans="1:6" ht="15" customHeight="1">
      <c r="A63" s="134" t="s">
        <v>2513</v>
      </c>
      <c r="B63" s="133" t="s">
        <v>51</v>
      </c>
      <c r="C63" s="133" t="s">
        <v>10185</v>
      </c>
      <c r="D63" s="116">
        <v>40</v>
      </c>
      <c r="E63" s="528">
        <f t="shared" si="3"/>
        <v>40</v>
      </c>
      <c r="F63" s="338" t="s">
        <v>2513</v>
      </c>
    </row>
    <row r="64" spans="1:6" ht="15" customHeight="1">
      <c r="A64" s="134" t="s">
        <v>2513</v>
      </c>
      <c r="B64" s="133" t="s">
        <v>51</v>
      </c>
      <c r="C64" s="133" t="s">
        <v>10186</v>
      </c>
      <c r="D64" s="116">
        <v>40</v>
      </c>
      <c r="E64" s="528">
        <f t="shared" si="3"/>
        <v>40</v>
      </c>
      <c r="F64" s="338" t="s">
        <v>2513</v>
      </c>
    </row>
    <row r="65" spans="1:26" ht="15" customHeight="1">
      <c r="A65" s="134" t="s">
        <v>2513</v>
      </c>
      <c r="B65" s="133" t="s">
        <v>51</v>
      </c>
      <c r="C65" s="133" t="s">
        <v>10154</v>
      </c>
      <c r="D65" s="116">
        <v>30</v>
      </c>
      <c r="E65" s="528">
        <f t="shared" si="3"/>
        <v>30</v>
      </c>
      <c r="F65" s="338" t="s">
        <v>2513</v>
      </c>
    </row>
    <row r="66" spans="1:26" ht="15" customHeight="1">
      <c r="A66" s="134" t="s">
        <v>2513</v>
      </c>
      <c r="B66" s="133" t="s">
        <v>51</v>
      </c>
      <c r="C66" s="133" t="s">
        <v>10187</v>
      </c>
      <c r="D66" s="116">
        <v>30</v>
      </c>
      <c r="E66" s="528">
        <f t="shared" si="3"/>
        <v>30</v>
      </c>
      <c r="F66" s="338" t="s">
        <v>2513</v>
      </c>
    </row>
    <row r="67" spans="1:26" ht="15" customHeight="1">
      <c r="A67" s="256" t="s">
        <v>2513</v>
      </c>
      <c r="B67" s="469" t="s">
        <v>51</v>
      </c>
      <c r="C67" s="469" t="s">
        <v>10188</v>
      </c>
      <c r="D67" s="259">
        <v>20</v>
      </c>
      <c r="E67" s="1120">
        <f t="shared" si="3"/>
        <v>20</v>
      </c>
      <c r="F67" s="338" t="s">
        <v>2513</v>
      </c>
    </row>
    <row r="68" spans="1:26" ht="15" customHeight="1">
      <c r="A68" s="134" t="s">
        <v>2520</v>
      </c>
      <c r="B68" s="133" t="s">
        <v>51</v>
      </c>
      <c r="C68" s="133" t="s">
        <v>10189</v>
      </c>
      <c r="D68" s="100">
        <v>80</v>
      </c>
      <c r="E68" s="528">
        <f t="shared" si="3"/>
        <v>80</v>
      </c>
      <c r="F68" s="338" t="s">
        <v>2520</v>
      </c>
    </row>
    <row r="69" spans="1:26" ht="15" customHeight="1">
      <c r="A69" s="134" t="s">
        <v>10190</v>
      </c>
      <c r="B69" s="133" t="s">
        <v>10191</v>
      </c>
      <c r="C69" s="1196" t="s">
        <v>10154</v>
      </c>
      <c r="D69" s="1197">
        <v>30</v>
      </c>
      <c r="E69" s="1146">
        <f t="shared" si="3"/>
        <v>30</v>
      </c>
      <c r="F69" s="338" t="s">
        <v>7600</v>
      </c>
    </row>
    <row r="70" spans="1:26" ht="15" customHeight="1">
      <c r="A70" s="134" t="s">
        <v>563</v>
      </c>
      <c r="B70" s="133" t="s">
        <v>51</v>
      </c>
      <c r="C70" s="133" t="s">
        <v>10192</v>
      </c>
      <c r="D70" s="100">
        <v>30</v>
      </c>
      <c r="E70" s="528">
        <v>30</v>
      </c>
      <c r="F70" s="338" t="s">
        <v>563</v>
      </c>
    </row>
    <row r="71" spans="1:26" ht="15" customHeight="1">
      <c r="A71" s="134" t="s">
        <v>563</v>
      </c>
      <c r="B71" s="133" t="s">
        <v>51</v>
      </c>
      <c r="C71" s="133" t="s">
        <v>10193</v>
      </c>
      <c r="D71" s="100">
        <v>30</v>
      </c>
      <c r="E71" s="528">
        <v>30</v>
      </c>
      <c r="F71" s="338" t="s">
        <v>563</v>
      </c>
    </row>
    <row r="72" spans="1:26" ht="15" customHeight="1">
      <c r="A72" s="134" t="s">
        <v>563</v>
      </c>
      <c r="B72" s="133" t="s">
        <v>51</v>
      </c>
      <c r="C72" s="133" t="s">
        <v>10194</v>
      </c>
      <c r="D72" s="100">
        <v>40</v>
      </c>
      <c r="E72" s="528">
        <v>40</v>
      </c>
      <c r="F72" s="338" t="s">
        <v>563</v>
      </c>
    </row>
    <row r="73" spans="1:26" ht="15" customHeight="1">
      <c r="A73" s="134" t="s">
        <v>563</v>
      </c>
      <c r="B73" s="133" t="s">
        <v>51</v>
      </c>
      <c r="C73" s="133" t="s">
        <v>10195</v>
      </c>
      <c r="D73" s="116">
        <v>60</v>
      </c>
      <c r="E73" s="528">
        <v>60</v>
      </c>
      <c r="F73" s="338" t="s">
        <v>563</v>
      </c>
    </row>
    <row r="74" spans="1:26" ht="15" customHeight="1">
      <c r="A74" s="134" t="s">
        <v>563</v>
      </c>
      <c r="B74" s="133" t="s">
        <v>51</v>
      </c>
      <c r="C74" s="133" t="s">
        <v>10196</v>
      </c>
      <c r="D74" s="116">
        <v>60</v>
      </c>
      <c r="E74" s="528">
        <v>60</v>
      </c>
      <c r="F74" s="338" t="s">
        <v>563</v>
      </c>
    </row>
    <row r="75" spans="1:26" ht="15" customHeight="1">
      <c r="A75" s="134" t="s">
        <v>580</v>
      </c>
      <c r="B75" s="133" t="s">
        <v>51</v>
      </c>
      <c r="C75" s="133" t="s">
        <v>10197</v>
      </c>
      <c r="D75" s="100">
        <v>20</v>
      </c>
      <c r="E75" s="528">
        <v>20</v>
      </c>
      <c r="F75" s="338" t="s">
        <v>580</v>
      </c>
    </row>
    <row r="76" spans="1:26" ht="15" customHeight="1">
      <c r="A76" s="134" t="s">
        <v>592</v>
      </c>
      <c r="B76" s="133" t="s">
        <v>51</v>
      </c>
      <c r="C76" s="133" t="s">
        <v>10198</v>
      </c>
      <c r="D76" s="100">
        <v>20</v>
      </c>
      <c r="E76" s="528">
        <v>20</v>
      </c>
      <c r="F76" s="338" t="s">
        <v>592</v>
      </c>
    </row>
    <row r="77" spans="1:26" ht="15" customHeight="1">
      <c r="A77" s="134" t="s">
        <v>7148</v>
      </c>
      <c r="B77" s="133" t="s">
        <v>51</v>
      </c>
      <c r="C77" s="133" t="s">
        <v>10199</v>
      </c>
      <c r="D77" s="116">
        <v>40</v>
      </c>
      <c r="E77" s="528">
        <v>40</v>
      </c>
      <c r="F77" s="338" t="s">
        <v>2783</v>
      </c>
    </row>
    <row r="78" spans="1:26" ht="15.75" customHeight="1">
      <c r="A78" s="134" t="s">
        <v>7401</v>
      </c>
      <c r="B78" s="133" t="s">
        <v>141</v>
      </c>
      <c r="C78" s="133" t="s">
        <v>10200</v>
      </c>
      <c r="D78" s="116">
        <v>20</v>
      </c>
      <c r="E78" s="528">
        <v>20</v>
      </c>
      <c r="F78" s="216" t="s">
        <v>7401</v>
      </c>
      <c r="G78" s="216"/>
      <c r="H78" s="216"/>
      <c r="I78" s="216"/>
      <c r="J78" s="216"/>
      <c r="K78" s="216"/>
      <c r="L78" s="216"/>
      <c r="M78" s="216"/>
      <c r="N78" s="216"/>
      <c r="O78" s="216"/>
      <c r="P78" s="216"/>
      <c r="Q78" s="216"/>
      <c r="R78" s="216"/>
      <c r="S78" s="216"/>
      <c r="T78" s="216"/>
      <c r="U78" s="216"/>
      <c r="V78" s="216"/>
      <c r="W78" s="216"/>
      <c r="X78" s="216"/>
      <c r="Y78" s="216"/>
      <c r="Z78" s="216"/>
    </row>
    <row r="79" spans="1:26" ht="15.75" customHeight="1">
      <c r="A79" s="134" t="s">
        <v>7401</v>
      </c>
      <c r="B79" s="133" t="s">
        <v>141</v>
      </c>
      <c r="C79" s="133" t="s">
        <v>10201</v>
      </c>
      <c r="D79" s="116">
        <v>20</v>
      </c>
      <c r="E79" s="528">
        <v>20</v>
      </c>
      <c r="F79" s="216" t="s">
        <v>7401</v>
      </c>
      <c r="G79" s="216"/>
      <c r="H79" s="216"/>
      <c r="I79" s="216"/>
      <c r="J79" s="216"/>
      <c r="K79" s="216"/>
      <c r="L79" s="216"/>
      <c r="M79" s="216"/>
      <c r="N79" s="216"/>
      <c r="O79" s="216"/>
      <c r="P79" s="216"/>
      <c r="Q79" s="216"/>
      <c r="R79" s="216"/>
      <c r="S79" s="216"/>
      <c r="T79" s="216"/>
      <c r="U79" s="216"/>
      <c r="V79" s="216"/>
      <c r="W79" s="216"/>
      <c r="X79" s="216"/>
      <c r="Y79" s="216"/>
      <c r="Z79" s="216"/>
    </row>
    <row r="80" spans="1:26" ht="15.75" customHeight="1">
      <c r="A80" s="134" t="s">
        <v>7401</v>
      </c>
      <c r="B80" s="133" t="s">
        <v>141</v>
      </c>
      <c r="C80" s="133" t="s">
        <v>10154</v>
      </c>
      <c r="D80" s="116">
        <v>30</v>
      </c>
      <c r="E80" s="528">
        <v>30</v>
      </c>
      <c r="F80" s="216" t="s">
        <v>7401</v>
      </c>
      <c r="G80" s="216"/>
      <c r="H80" s="216"/>
      <c r="I80" s="216"/>
      <c r="J80" s="216"/>
      <c r="K80" s="216"/>
      <c r="L80" s="216"/>
      <c r="M80" s="216"/>
      <c r="N80" s="216"/>
      <c r="O80" s="216"/>
      <c r="P80" s="216"/>
      <c r="Q80" s="216"/>
      <c r="R80" s="216"/>
      <c r="S80" s="216"/>
      <c r="T80" s="216"/>
      <c r="U80" s="216"/>
      <c r="V80" s="216"/>
      <c r="W80" s="216"/>
      <c r="X80" s="216"/>
      <c r="Y80" s="216"/>
      <c r="Z80" s="216"/>
    </row>
    <row r="81" spans="1:26" ht="15.75" customHeight="1">
      <c r="A81" s="134" t="s">
        <v>730</v>
      </c>
      <c r="B81" s="108" t="s">
        <v>141</v>
      </c>
      <c r="C81" s="133" t="s">
        <v>10202</v>
      </c>
      <c r="D81" s="116">
        <v>60</v>
      </c>
      <c r="E81" s="528">
        <v>60</v>
      </c>
      <c r="F81" s="216" t="str">
        <f t="shared" ref="F81:F123" si="4">A81</f>
        <v>Bogdan Mihai</v>
      </c>
      <c r="G81" s="216"/>
      <c r="H81" s="216"/>
      <c r="I81" s="216"/>
      <c r="J81" s="216"/>
      <c r="K81" s="216"/>
      <c r="L81" s="216"/>
      <c r="M81" s="216"/>
      <c r="N81" s="216"/>
      <c r="O81" s="216"/>
      <c r="P81" s="216"/>
      <c r="Q81" s="216"/>
      <c r="R81" s="216"/>
      <c r="S81" s="216"/>
      <c r="T81" s="216"/>
      <c r="U81" s="216"/>
      <c r="V81" s="216"/>
      <c r="W81" s="216"/>
      <c r="X81" s="216"/>
      <c r="Y81" s="216"/>
      <c r="Z81" s="216"/>
    </row>
    <row r="82" spans="1:26" ht="15.75" customHeight="1">
      <c r="A82" s="134" t="s">
        <v>730</v>
      </c>
      <c r="B82" s="108" t="s">
        <v>141</v>
      </c>
      <c r="C82" s="916" t="s">
        <v>10203</v>
      </c>
      <c r="D82" s="116">
        <v>20</v>
      </c>
      <c r="E82" s="528">
        <v>20</v>
      </c>
      <c r="F82" s="216" t="str">
        <f t="shared" si="4"/>
        <v>Bogdan Mihai</v>
      </c>
      <c r="G82" s="216"/>
      <c r="H82" s="216"/>
      <c r="I82" s="216"/>
      <c r="J82" s="216"/>
      <c r="K82" s="216"/>
      <c r="L82" s="216"/>
      <c r="M82" s="216"/>
      <c r="N82" s="216"/>
      <c r="O82" s="216"/>
      <c r="P82" s="216"/>
      <c r="Q82" s="216"/>
      <c r="R82" s="216"/>
      <c r="S82" s="216"/>
      <c r="T82" s="216"/>
      <c r="U82" s="216"/>
      <c r="V82" s="216"/>
      <c r="W82" s="216"/>
      <c r="X82" s="216"/>
      <c r="Y82" s="216"/>
      <c r="Z82" s="216"/>
    </row>
    <row r="83" spans="1:26" ht="15.75" customHeight="1">
      <c r="A83" s="134" t="s">
        <v>730</v>
      </c>
      <c r="B83" s="108" t="s">
        <v>141</v>
      </c>
      <c r="C83" s="133" t="s">
        <v>10204</v>
      </c>
      <c r="D83" s="116">
        <v>20</v>
      </c>
      <c r="E83" s="528">
        <v>20</v>
      </c>
      <c r="F83" s="216" t="str">
        <f t="shared" si="4"/>
        <v>Bogdan Mihai</v>
      </c>
      <c r="G83" s="216"/>
      <c r="H83" s="216"/>
      <c r="I83" s="216"/>
      <c r="J83" s="216"/>
      <c r="K83" s="216"/>
      <c r="L83" s="216"/>
      <c r="M83" s="216"/>
      <c r="N83" s="216"/>
      <c r="O83" s="216"/>
      <c r="P83" s="216"/>
      <c r="Q83" s="216"/>
      <c r="R83" s="216"/>
      <c r="S83" s="216"/>
      <c r="T83" s="216"/>
      <c r="U83" s="216"/>
      <c r="V83" s="216"/>
      <c r="W83" s="216"/>
      <c r="X83" s="216"/>
      <c r="Y83" s="216"/>
      <c r="Z83" s="216"/>
    </row>
    <row r="84" spans="1:26" ht="15.75" customHeight="1">
      <c r="A84" s="134" t="s">
        <v>730</v>
      </c>
      <c r="B84" s="108" t="s">
        <v>141</v>
      </c>
      <c r="C84" s="133" t="s">
        <v>10205</v>
      </c>
      <c r="D84" s="116">
        <v>30</v>
      </c>
      <c r="E84" s="528">
        <v>30</v>
      </c>
      <c r="F84" s="216" t="str">
        <f t="shared" si="4"/>
        <v>Bogdan Mihai</v>
      </c>
      <c r="G84" s="216"/>
      <c r="H84" s="216"/>
      <c r="I84" s="216"/>
      <c r="J84" s="216"/>
      <c r="K84" s="216"/>
      <c r="L84" s="216"/>
      <c r="M84" s="216"/>
      <c r="N84" s="216"/>
      <c r="O84" s="216"/>
      <c r="P84" s="216"/>
      <c r="Q84" s="216"/>
      <c r="R84" s="216"/>
      <c r="S84" s="216"/>
      <c r="T84" s="216"/>
      <c r="U84" s="216"/>
      <c r="V84" s="216"/>
      <c r="W84" s="216"/>
      <c r="X84" s="216"/>
      <c r="Y84" s="216"/>
      <c r="Z84" s="216"/>
    </row>
    <row r="85" spans="1:26" ht="15.75" customHeight="1">
      <c r="A85" s="134" t="s">
        <v>730</v>
      </c>
      <c r="B85" s="99" t="s">
        <v>141</v>
      </c>
      <c r="C85" s="916" t="s">
        <v>10154</v>
      </c>
      <c r="D85" s="116">
        <v>30</v>
      </c>
      <c r="E85" s="528">
        <f t="shared" ref="E85:E86" si="5">D85</f>
        <v>30</v>
      </c>
      <c r="F85" s="216" t="str">
        <f t="shared" si="4"/>
        <v>Bogdan Mihai</v>
      </c>
      <c r="G85" s="1"/>
      <c r="H85" s="1"/>
      <c r="I85" s="216"/>
      <c r="J85" s="216"/>
      <c r="K85" s="216"/>
      <c r="L85" s="216"/>
      <c r="M85" s="216"/>
      <c r="N85" s="216"/>
      <c r="O85" s="216"/>
      <c r="P85" s="216"/>
      <c r="Q85" s="216"/>
      <c r="R85" s="216"/>
      <c r="S85" s="216"/>
      <c r="T85" s="216"/>
      <c r="U85" s="216"/>
      <c r="V85" s="216"/>
      <c r="W85" s="216"/>
      <c r="X85" s="216"/>
      <c r="Y85" s="216"/>
      <c r="Z85" s="216"/>
    </row>
    <row r="86" spans="1:26" ht="15" customHeight="1">
      <c r="A86" s="256" t="s">
        <v>7610</v>
      </c>
      <c r="B86" s="469" t="s">
        <v>141</v>
      </c>
      <c r="C86" s="469" t="s">
        <v>10206</v>
      </c>
      <c r="D86" s="116">
        <v>40</v>
      </c>
      <c r="E86" s="528">
        <f t="shared" si="5"/>
        <v>40</v>
      </c>
      <c r="F86" s="216" t="str">
        <f t="shared" si="4"/>
        <v xml:space="preserve">Brad Remus </v>
      </c>
      <c r="G86" s="216"/>
      <c r="H86" s="216"/>
      <c r="I86" s="64"/>
      <c r="J86" s="64"/>
      <c r="K86" s="64"/>
      <c r="L86" s="64"/>
      <c r="M86" s="64"/>
      <c r="N86" s="64"/>
      <c r="O86" s="64"/>
      <c r="P86" s="64"/>
      <c r="Q86" s="64"/>
      <c r="R86" s="64"/>
      <c r="S86" s="64"/>
      <c r="T86" s="64"/>
      <c r="U86" s="64"/>
      <c r="V86" s="64"/>
      <c r="W86" s="64"/>
      <c r="X86" s="64"/>
      <c r="Y86" s="64"/>
      <c r="Z86" s="216"/>
    </row>
    <row r="87" spans="1:26" ht="15.75" customHeight="1">
      <c r="A87" s="256" t="s">
        <v>7610</v>
      </c>
      <c r="B87" s="469" t="s">
        <v>141</v>
      </c>
      <c r="C87" s="134" t="s">
        <v>10207</v>
      </c>
      <c r="D87" s="1158">
        <v>20</v>
      </c>
      <c r="E87" s="528">
        <v>20</v>
      </c>
      <c r="F87" s="216" t="str">
        <f t="shared" si="4"/>
        <v xml:space="preserve">Brad Remus </v>
      </c>
      <c r="G87" s="1"/>
      <c r="H87" s="1"/>
      <c r="I87" s="216"/>
      <c r="J87" s="216"/>
      <c r="K87" s="216"/>
      <c r="L87" s="216"/>
      <c r="M87" s="216"/>
      <c r="N87" s="216"/>
      <c r="O87" s="216"/>
      <c r="P87" s="216"/>
      <c r="Q87" s="216"/>
      <c r="R87" s="216"/>
      <c r="S87" s="216"/>
      <c r="T87" s="216"/>
      <c r="U87" s="216"/>
      <c r="V87" s="216"/>
      <c r="W87" s="216"/>
      <c r="X87" s="216"/>
      <c r="Y87" s="216"/>
      <c r="Z87" s="216"/>
    </row>
    <row r="88" spans="1:26" ht="15.75" customHeight="1">
      <c r="A88" s="256" t="s">
        <v>7610</v>
      </c>
      <c r="B88" s="469" t="s">
        <v>141</v>
      </c>
      <c r="C88" s="134" t="s">
        <v>10208</v>
      </c>
      <c r="D88" s="1158">
        <v>20</v>
      </c>
      <c r="E88" s="528">
        <v>20</v>
      </c>
      <c r="F88" s="216" t="str">
        <f t="shared" si="4"/>
        <v xml:space="preserve">Brad Remus </v>
      </c>
      <c r="G88" s="1"/>
      <c r="H88" s="1"/>
      <c r="I88" s="216"/>
      <c r="J88" s="216"/>
      <c r="K88" s="216"/>
      <c r="L88" s="216"/>
      <c r="M88" s="216"/>
      <c r="N88" s="216"/>
      <c r="O88" s="216"/>
      <c r="P88" s="216"/>
      <c r="Q88" s="216"/>
      <c r="R88" s="216"/>
      <c r="S88" s="216"/>
      <c r="T88" s="216"/>
      <c r="U88" s="216"/>
      <c r="V88" s="216"/>
      <c r="W88" s="216"/>
      <c r="X88" s="216"/>
      <c r="Y88" s="216"/>
      <c r="Z88" s="216"/>
    </row>
    <row r="89" spans="1:26" ht="15.75" customHeight="1">
      <c r="A89" s="256" t="s">
        <v>7610</v>
      </c>
      <c r="B89" s="469" t="s">
        <v>141</v>
      </c>
      <c r="C89" s="134" t="s">
        <v>10209</v>
      </c>
      <c r="D89" s="1158">
        <v>20</v>
      </c>
      <c r="E89" s="528">
        <v>20</v>
      </c>
      <c r="F89" s="216" t="str">
        <f t="shared" si="4"/>
        <v xml:space="preserve">Brad Remus </v>
      </c>
      <c r="G89" s="1"/>
      <c r="H89" s="1"/>
      <c r="I89" s="216"/>
      <c r="J89" s="216"/>
      <c r="K89" s="216"/>
      <c r="L89" s="216"/>
      <c r="M89" s="216"/>
      <c r="N89" s="216"/>
      <c r="O89" s="216"/>
      <c r="P89" s="216"/>
      <c r="Q89" s="216"/>
      <c r="R89" s="216"/>
      <c r="S89" s="216"/>
      <c r="T89" s="216"/>
      <c r="U89" s="216"/>
      <c r="V89" s="216"/>
      <c r="W89" s="216"/>
      <c r="X89" s="216"/>
      <c r="Y89" s="216"/>
      <c r="Z89" s="216"/>
    </row>
    <row r="90" spans="1:26" ht="15.75" customHeight="1">
      <c r="A90" s="256" t="s">
        <v>7610</v>
      </c>
      <c r="B90" s="469" t="s">
        <v>141</v>
      </c>
      <c r="C90" s="134" t="s">
        <v>10210</v>
      </c>
      <c r="D90" s="1158">
        <v>20</v>
      </c>
      <c r="E90" s="528">
        <v>20</v>
      </c>
      <c r="F90" s="216" t="str">
        <f t="shared" si="4"/>
        <v xml:space="preserve">Brad Remus </v>
      </c>
      <c r="G90" s="1"/>
      <c r="H90" s="1"/>
      <c r="I90" s="216"/>
      <c r="J90" s="216"/>
      <c r="K90" s="216"/>
      <c r="L90" s="216"/>
      <c r="M90" s="216"/>
      <c r="N90" s="216"/>
      <c r="O90" s="216"/>
      <c r="P90" s="216"/>
      <c r="Q90" s="216"/>
      <c r="R90" s="216"/>
      <c r="S90" s="216"/>
      <c r="T90" s="216"/>
      <c r="U90" s="216"/>
      <c r="V90" s="216"/>
      <c r="W90" s="216"/>
      <c r="X90" s="216"/>
      <c r="Y90" s="216"/>
      <c r="Z90" s="216"/>
    </row>
    <row r="91" spans="1:26" ht="15.75" customHeight="1">
      <c r="A91" s="134" t="s">
        <v>2962</v>
      </c>
      <c r="B91" s="133" t="s">
        <v>141</v>
      </c>
      <c r="C91" s="133" t="s">
        <v>10150</v>
      </c>
      <c r="D91" s="116">
        <v>60</v>
      </c>
      <c r="E91" s="528">
        <v>60</v>
      </c>
      <c r="F91" s="216" t="str">
        <f t="shared" si="4"/>
        <v>Breazu Macarie</v>
      </c>
      <c r="G91" s="1"/>
      <c r="H91" s="1"/>
      <c r="I91" s="216"/>
      <c r="J91" s="216"/>
      <c r="K91" s="216"/>
      <c r="L91" s="216"/>
      <c r="M91" s="216"/>
      <c r="N91" s="216"/>
      <c r="O91" s="216"/>
      <c r="P91" s="216"/>
      <c r="Q91" s="216"/>
      <c r="R91" s="216"/>
      <c r="S91" s="216"/>
      <c r="T91" s="216"/>
      <c r="U91" s="216"/>
      <c r="V91" s="216"/>
      <c r="W91" s="216"/>
      <c r="X91" s="216"/>
      <c r="Y91" s="216"/>
      <c r="Z91" s="216"/>
    </row>
    <row r="92" spans="1:26" ht="15.75" customHeight="1">
      <c r="A92" s="134" t="s">
        <v>2962</v>
      </c>
      <c r="B92" s="133" t="s">
        <v>141</v>
      </c>
      <c r="C92" s="133" t="s">
        <v>10151</v>
      </c>
      <c r="D92" s="116">
        <v>60</v>
      </c>
      <c r="E92" s="528">
        <v>60</v>
      </c>
      <c r="F92" s="216" t="str">
        <f t="shared" si="4"/>
        <v>Breazu Macarie</v>
      </c>
      <c r="G92" s="1"/>
      <c r="H92" s="1"/>
      <c r="I92" s="216"/>
      <c r="J92" s="216"/>
      <c r="K92" s="216"/>
      <c r="L92" s="216"/>
      <c r="M92" s="216"/>
      <c r="N92" s="216"/>
      <c r="O92" s="216"/>
      <c r="P92" s="216"/>
      <c r="Q92" s="216"/>
      <c r="R92" s="216"/>
      <c r="S92" s="216"/>
      <c r="T92" s="216"/>
      <c r="U92" s="216"/>
      <c r="V92" s="216"/>
      <c r="W92" s="216"/>
      <c r="X92" s="216"/>
      <c r="Y92" s="216"/>
      <c r="Z92" s="216"/>
    </row>
    <row r="93" spans="1:26" ht="15.75" customHeight="1">
      <c r="A93" s="134" t="s">
        <v>2962</v>
      </c>
      <c r="B93" s="133" t="s">
        <v>141</v>
      </c>
      <c r="C93" s="133" t="s">
        <v>10211</v>
      </c>
      <c r="D93" s="116">
        <v>20</v>
      </c>
      <c r="E93" s="528">
        <v>20</v>
      </c>
      <c r="F93" s="216" t="str">
        <f t="shared" si="4"/>
        <v>Breazu Macarie</v>
      </c>
      <c r="G93" s="1"/>
      <c r="H93" s="1"/>
      <c r="I93" s="216"/>
      <c r="J93" s="216"/>
      <c r="K93" s="216"/>
      <c r="L93" s="216"/>
      <c r="M93" s="216"/>
      <c r="N93" s="216"/>
      <c r="O93" s="216"/>
      <c r="P93" s="216"/>
      <c r="Q93" s="216"/>
      <c r="R93" s="216"/>
      <c r="S93" s="216"/>
      <c r="T93" s="216"/>
      <c r="U93" s="216"/>
      <c r="V93" s="216"/>
      <c r="W93" s="216"/>
      <c r="X93" s="216"/>
      <c r="Y93" s="216"/>
      <c r="Z93" s="216"/>
    </row>
    <row r="94" spans="1:26" ht="15.75" customHeight="1">
      <c r="A94" s="134" t="s">
        <v>2962</v>
      </c>
      <c r="B94" s="133" t="s">
        <v>141</v>
      </c>
      <c r="C94" s="133" t="s">
        <v>10200</v>
      </c>
      <c r="D94" s="116">
        <v>20</v>
      </c>
      <c r="E94" s="528">
        <v>20</v>
      </c>
      <c r="F94" s="216" t="str">
        <f t="shared" si="4"/>
        <v>Breazu Macarie</v>
      </c>
      <c r="G94" s="1"/>
      <c r="H94" s="1"/>
      <c r="I94" s="216"/>
      <c r="J94" s="216"/>
      <c r="K94" s="216"/>
      <c r="L94" s="216"/>
      <c r="M94" s="216"/>
      <c r="N94" s="216"/>
      <c r="O94" s="216"/>
      <c r="P94" s="216"/>
      <c r="Q94" s="216"/>
      <c r="R94" s="216"/>
      <c r="S94" s="216"/>
      <c r="T94" s="216"/>
      <c r="U94" s="216"/>
      <c r="V94" s="216"/>
      <c r="W94" s="216"/>
      <c r="X94" s="216"/>
      <c r="Y94" s="216"/>
      <c r="Z94" s="216"/>
    </row>
    <row r="95" spans="1:26" ht="15.75" customHeight="1">
      <c r="A95" s="134" t="s">
        <v>2962</v>
      </c>
      <c r="B95" s="133" t="s">
        <v>141</v>
      </c>
      <c r="C95" s="133" t="s">
        <v>10212</v>
      </c>
      <c r="D95" s="116">
        <v>20</v>
      </c>
      <c r="E95" s="528">
        <v>20</v>
      </c>
      <c r="F95" s="216" t="str">
        <f t="shared" si="4"/>
        <v>Breazu Macarie</v>
      </c>
      <c r="G95" s="1"/>
      <c r="H95" s="1"/>
      <c r="I95" s="216"/>
      <c r="J95" s="216"/>
      <c r="K95" s="216"/>
      <c r="L95" s="216"/>
      <c r="M95" s="216"/>
      <c r="N95" s="216"/>
      <c r="O95" s="216"/>
      <c r="P95" s="216"/>
      <c r="Q95" s="216"/>
      <c r="R95" s="216"/>
      <c r="S95" s="216"/>
      <c r="T95" s="216"/>
      <c r="U95" s="216"/>
      <c r="V95" s="216"/>
      <c r="W95" s="216"/>
      <c r="X95" s="216"/>
      <c r="Y95" s="216"/>
      <c r="Z95" s="216"/>
    </row>
    <row r="96" spans="1:26" ht="15.75" customHeight="1">
      <c r="A96" s="134" t="s">
        <v>2962</v>
      </c>
      <c r="B96" s="133" t="s">
        <v>141</v>
      </c>
      <c r="C96" s="133" t="s">
        <v>10213</v>
      </c>
      <c r="D96" s="116">
        <v>30</v>
      </c>
      <c r="E96" s="528">
        <v>30</v>
      </c>
      <c r="F96" s="216" t="str">
        <f t="shared" si="4"/>
        <v>Breazu Macarie</v>
      </c>
      <c r="G96" s="1"/>
      <c r="H96" s="1"/>
      <c r="I96" s="216"/>
      <c r="J96" s="216"/>
      <c r="K96" s="216"/>
      <c r="L96" s="216"/>
      <c r="M96" s="216"/>
      <c r="N96" s="216"/>
      <c r="O96" s="216"/>
      <c r="P96" s="216"/>
      <c r="Q96" s="216"/>
      <c r="R96" s="216"/>
      <c r="S96" s="216"/>
      <c r="T96" s="216"/>
      <c r="U96" s="216"/>
      <c r="V96" s="216"/>
      <c r="W96" s="216"/>
      <c r="X96" s="216"/>
      <c r="Y96" s="216"/>
      <c r="Z96" s="216"/>
    </row>
    <row r="97" spans="1:26" ht="15.75" customHeight="1">
      <c r="A97" s="134" t="s">
        <v>2962</v>
      </c>
      <c r="B97" s="133" t="s">
        <v>141</v>
      </c>
      <c r="C97" s="133" t="s">
        <v>10214</v>
      </c>
      <c r="D97" s="116">
        <v>30</v>
      </c>
      <c r="E97" s="528">
        <v>30</v>
      </c>
      <c r="F97" s="216" t="str">
        <f t="shared" si="4"/>
        <v>Breazu Macarie</v>
      </c>
      <c r="G97" s="1"/>
      <c r="H97" s="1"/>
      <c r="I97" s="216"/>
      <c r="J97" s="216"/>
      <c r="K97" s="216"/>
      <c r="L97" s="216"/>
      <c r="M97" s="216"/>
      <c r="N97" s="216"/>
      <c r="O97" s="216"/>
      <c r="P97" s="216"/>
      <c r="Q97" s="216"/>
      <c r="R97" s="216"/>
      <c r="S97" s="216"/>
      <c r="T97" s="216"/>
      <c r="U97" s="216"/>
      <c r="V97" s="216"/>
      <c r="W97" s="216"/>
      <c r="X97" s="216"/>
      <c r="Y97" s="216"/>
      <c r="Z97" s="216"/>
    </row>
    <row r="98" spans="1:26" ht="15.75" customHeight="1">
      <c r="A98" s="134" t="s">
        <v>2962</v>
      </c>
      <c r="B98" s="133" t="s">
        <v>141</v>
      </c>
      <c r="C98" s="133" t="s">
        <v>10154</v>
      </c>
      <c r="D98" s="116">
        <v>30</v>
      </c>
      <c r="E98" s="528">
        <v>30</v>
      </c>
      <c r="F98" s="216" t="str">
        <f t="shared" si="4"/>
        <v>Breazu Macarie</v>
      </c>
      <c r="G98" s="1"/>
      <c r="H98" s="1"/>
      <c r="I98" s="216"/>
      <c r="J98" s="216"/>
      <c r="K98" s="216"/>
      <c r="L98" s="216"/>
      <c r="M98" s="216"/>
      <c r="N98" s="216"/>
      <c r="O98" s="216"/>
      <c r="P98" s="216"/>
      <c r="Q98" s="216"/>
      <c r="R98" s="216"/>
      <c r="S98" s="216"/>
      <c r="T98" s="216"/>
      <c r="U98" s="216"/>
      <c r="V98" s="216"/>
      <c r="W98" s="216"/>
      <c r="X98" s="216"/>
      <c r="Y98" s="216"/>
      <c r="Z98" s="216"/>
    </row>
    <row r="99" spans="1:26" ht="15.75" customHeight="1">
      <c r="A99" s="438" t="s">
        <v>7169</v>
      </c>
      <c r="B99" s="138" t="s">
        <v>141</v>
      </c>
      <c r="C99" s="138" t="s">
        <v>10154</v>
      </c>
      <c r="D99" s="229">
        <v>30</v>
      </c>
      <c r="E99" s="1117">
        <v>30</v>
      </c>
      <c r="F99" s="216" t="str">
        <f t="shared" si="4"/>
        <v>Ciurea Stelian</v>
      </c>
      <c r="G99" s="1"/>
      <c r="H99" s="1"/>
      <c r="I99" s="216"/>
      <c r="J99" s="216"/>
      <c r="K99" s="216"/>
      <c r="L99" s="216"/>
      <c r="M99" s="216"/>
      <c r="N99" s="216"/>
      <c r="O99" s="216"/>
      <c r="P99" s="216"/>
      <c r="Q99" s="216"/>
      <c r="R99" s="216"/>
      <c r="S99" s="216"/>
      <c r="T99" s="216"/>
      <c r="U99" s="216"/>
      <c r="V99" s="216"/>
      <c r="W99" s="216"/>
      <c r="X99" s="216"/>
      <c r="Y99" s="216"/>
      <c r="Z99" s="216"/>
    </row>
    <row r="100" spans="1:26" ht="15.75" customHeight="1">
      <c r="A100" s="134" t="s">
        <v>759</v>
      </c>
      <c r="B100" s="133" t="s">
        <v>141</v>
      </c>
      <c r="C100" s="1198" t="s">
        <v>10215</v>
      </c>
      <c r="D100" s="116">
        <v>20</v>
      </c>
      <c r="E100" s="528">
        <f t="shared" ref="E100:E103" si="6">D100</f>
        <v>20</v>
      </c>
      <c r="F100" s="216" t="str">
        <f t="shared" si="4"/>
        <v>Cofaru Ileana Ioana</v>
      </c>
      <c r="G100" s="1"/>
      <c r="H100" s="1"/>
      <c r="I100" s="216"/>
      <c r="J100" s="216"/>
      <c r="K100" s="216"/>
      <c r="L100" s="216"/>
      <c r="M100" s="216"/>
      <c r="N100" s="216"/>
      <c r="O100" s="216"/>
      <c r="P100" s="216"/>
      <c r="Q100" s="216"/>
      <c r="R100" s="216"/>
      <c r="S100" s="216"/>
      <c r="T100" s="216"/>
      <c r="U100" s="216"/>
      <c r="V100" s="216"/>
      <c r="W100" s="216"/>
      <c r="X100" s="216"/>
      <c r="Y100" s="216"/>
      <c r="Z100" s="216"/>
    </row>
    <row r="101" spans="1:26" ht="15.75" customHeight="1">
      <c r="A101" s="134" t="s">
        <v>759</v>
      </c>
      <c r="B101" s="133" t="s">
        <v>141</v>
      </c>
      <c r="C101" s="133" t="s">
        <v>10216</v>
      </c>
      <c r="D101" s="116">
        <v>20</v>
      </c>
      <c r="E101" s="528">
        <f t="shared" si="6"/>
        <v>20</v>
      </c>
      <c r="F101" s="216" t="str">
        <f t="shared" si="4"/>
        <v>Cofaru Ileana Ioana</v>
      </c>
      <c r="G101" s="1"/>
      <c r="H101" s="1"/>
      <c r="I101" s="216"/>
      <c r="J101" s="216"/>
      <c r="K101" s="216"/>
      <c r="L101" s="216"/>
      <c r="M101" s="216"/>
      <c r="N101" s="216"/>
      <c r="O101" s="216"/>
      <c r="P101" s="216"/>
      <c r="Q101" s="216"/>
      <c r="R101" s="216"/>
      <c r="S101" s="216"/>
      <c r="T101" s="216"/>
      <c r="U101" s="216"/>
      <c r="V101" s="216"/>
      <c r="W101" s="216"/>
      <c r="X101" s="216"/>
      <c r="Y101" s="216"/>
      <c r="Z101" s="216"/>
    </row>
    <row r="102" spans="1:26" ht="15.75" customHeight="1">
      <c r="A102" s="134" t="s">
        <v>759</v>
      </c>
      <c r="B102" s="133" t="s">
        <v>141</v>
      </c>
      <c r="C102" s="133" t="s">
        <v>10217</v>
      </c>
      <c r="D102" s="116">
        <v>20</v>
      </c>
      <c r="E102" s="528">
        <f t="shared" si="6"/>
        <v>20</v>
      </c>
      <c r="F102" s="216" t="str">
        <f t="shared" si="4"/>
        <v>Cofaru Ileana Ioana</v>
      </c>
      <c r="G102" s="1"/>
      <c r="H102" s="1"/>
      <c r="I102" s="216"/>
      <c r="J102" s="216"/>
      <c r="K102" s="216"/>
      <c r="L102" s="216"/>
      <c r="M102" s="216"/>
      <c r="N102" s="216"/>
      <c r="O102" s="216"/>
      <c r="P102" s="216"/>
      <c r="Q102" s="216"/>
      <c r="R102" s="216"/>
      <c r="S102" s="216"/>
      <c r="T102" s="216"/>
      <c r="U102" s="216"/>
      <c r="V102" s="216"/>
      <c r="W102" s="216"/>
      <c r="X102" s="216"/>
      <c r="Y102" s="216"/>
      <c r="Z102" s="216"/>
    </row>
    <row r="103" spans="1:26" ht="15.75" customHeight="1">
      <c r="A103" s="134" t="s">
        <v>759</v>
      </c>
      <c r="B103" s="133" t="s">
        <v>141</v>
      </c>
      <c r="C103" s="133" t="s">
        <v>10218</v>
      </c>
      <c r="D103" s="116">
        <v>20</v>
      </c>
      <c r="E103" s="528">
        <f t="shared" si="6"/>
        <v>20</v>
      </c>
      <c r="F103" s="216" t="str">
        <f t="shared" si="4"/>
        <v>Cofaru Ileana Ioana</v>
      </c>
      <c r="G103" s="1"/>
      <c r="H103" s="1"/>
      <c r="I103" s="216"/>
      <c r="J103" s="216"/>
      <c r="K103" s="216"/>
      <c r="L103" s="216"/>
      <c r="M103" s="216"/>
      <c r="N103" s="216"/>
      <c r="O103" s="216"/>
      <c r="P103" s="216"/>
      <c r="Q103" s="216"/>
      <c r="R103" s="216"/>
      <c r="S103" s="216"/>
      <c r="T103" s="216"/>
      <c r="U103" s="216"/>
      <c r="V103" s="216"/>
      <c r="W103" s="216"/>
      <c r="X103" s="216"/>
      <c r="Y103" s="216"/>
      <c r="Z103" s="216"/>
    </row>
    <row r="104" spans="1:26" ht="15.75" customHeight="1">
      <c r="A104" s="134" t="s">
        <v>761</v>
      </c>
      <c r="B104" s="133" t="s">
        <v>141</v>
      </c>
      <c r="C104" s="133" t="s">
        <v>10219</v>
      </c>
      <c r="D104" s="100">
        <v>30</v>
      </c>
      <c r="E104" s="528">
        <v>30</v>
      </c>
      <c r="F104" s="216" t="str">
        <f t="shared" si="4"/>
        <v>Craciunas Gabriela</v>
      </c>
      <c r="G104" s="1"/>
      <c r="H104" s="1"/>
      <c r="I104" s="216"/>
      <c r="J104" s="216"/>
      <c r="K104" s="216"/>
      <c r="L104" s="216"/>
      <c r="M104" s="216"/>
      <c r="N104" s="216"/>
      <c r="O104" s="216"/>
      <c r="P104" s="216"/>
      <c r="Q104" s="216"/>
      <c r="R104" s="216"/>
      <c r="S104" s="216"/>
      <c r="T104" s="216"/>
      <c r="U104" s="216"/>
      <c r="V104" s="216"/>
      <c r="W104" s="216"/>
      <c r="X104" s="216"/>
      <c r="Y104" s="216"/>
      <c r="Z104" s="216"/>
    </row>
    <row r="105" spans="1:26" ht="15.75" customHeight="1">
      <c r="A105" s="134" t="s">
        <v>7612</v>
      </c>
      <c r="B105" s="133" t="s">
        <v>141</v>
      </c>
      <c r="C105" s="133" t="s">
        <v>10220</v>
      </c>
      <c r="D105" s="100">
        <v>30</v>
      </c>
      <c r="E105" s="528">
        <v>30</v>
      </c>
      <c r="F105" s="216" t="str">
        <f t="shared" si="4"/>
        <v>Craciunean Daniel-Cristian</v>
      </c>
      <c r="G105" s="1"/>
      <c r="H105" s="1"/>
      <c r="I105" s="216"/>
      <c r="J105" s="216"/>
      <c r="K105" s="216"/>
      <c r="L105" s="216"/>
      <c r="M105" s="216"/>
      <c r="N105" s="216"/>
      <c r="O105" s="216"/>
      <c r="P105" s="216"/>
      <c r="Q105" s="216"/>
      <c r="R105" s="216"/>
      <c r="S105" s="216"/>
      <c r="T105" s="216"/>
      <c r="U105" s="216"/>
      <c r="V105" s="216"/>
      <c r="W105" s="216"/>
      <c r="X105" s="216"/>
      <c r="Y105" s="216"/>
      <c r="Z105" s="216"/>
    </row>
    <row r="106" spans="1:26" ht="15.75" customHeight="1">
      <c r="A106" s="134" t="s">
        <v>7404</v>
      </c>
      <c r="B106" s="133" t="s">
        <v>141</v>
      </c>
      <c r="C106" s="133" t="s">
        <v>10150</v>
      </c>
      <c r="D106" s="116">
        <v>60</v>
      </c>
      <c r="E106" s="528">
        <v>60</v>
      </c>
      <c r="F106" s="216" t="str">
        <f t="shared" si="4"/>
        <v>Crețulescu Radu</v>
      </c>
      <c r="G106" s="1"/>
      <c r="H106" s="1"/>
      <c r="I106" s="216"/>
      <c r="J106" s="216"/>
      <c r="K106" s="216"/>
      <c r="L106" s="216"/>
      <c r="M106" s="216"/>
      <c r="N106" s="216"/>
      <c r="O106" s="216"/>
      <c r="P106" s="216"/>
      <c r="Q106" s="216"/>
      <c r="R106" s="216"/>
      <c r="S106" s="216"/>
      <c r="T106" s="216"/>
      <c r="U106" s="216"/>
      <c r="V106" s="216"/>
      <c r="W106" s="216"/>
      <c r="X106" s="216"/>
      <c r="Y106" s="216"/>
      <c r="Z106" s="216"/>
    </row>
    <row r="107" spans="1:26" ht="15.75" customHeight="1">
      <c r="A107" s="134" t="s">
        <v>7404</v>
      </c>
      <c r="B107" s="133" t="s">
        <v>141</v>
      </c>
      <c r="C107" s="133" t="s">
        <v>10151</v>
      </c>
      <c r="D107" s="116">
        <v>60</v>
      </c>
      <c r="E107" s="528">
        <v>60</v>
      </c>
      <c r="F107" s="216" t="str">
        <f t="shared" si="4"/>
        <v>Crețulescu Radu</v>
      </c>
      <c r="G107" s="1"/>
      <c r="H107" s="1"/>
      <c r="I107" s="216"/>
      <c r="J107" s="216"/>
      <c r="K107" s="216"/>
      <c r="L107" s="216"/>
      <c r="M107" s="216"/>
      <c r="N107" s="216"/>
      <c r="O107" s="216"/>
      <c r="P107" s="216"/>
      <c r="Q107" s="216"/>
      <c r="R107" s="216"/>
      <c r="S107" s="216"/>
      <c r="T107" s="216"/>
      <c r="U107" s="216"/>
      <c r="V107" s="216"/>
      <c r="W107" s="216"/>
      <c r="X107" s="216"/>
      <c r="Y107" s="216"/>
      <c r="Z107" s="216"/>
    </row>
    <row r="108" spans="1:26" ht="15.75" customHeight="1">
      <c r="A108" s="134" t="s">
        <v>7404</v>
      </c>
      <c r="B108" s="133" t="s">
        <v>141</v>
      </c>
      <c r="C108" s="133" t="s">
        <v>10211</v>
      </c>
      <c r="D108" s="116">
        <v>20</v>
      </c>
      <c r="E108" s="528">
        <v>20</v>
      </c>
      <c r="F108" s="216" t="str">
        <f t="shared" si="4"/>
        <v>Crețulescu Radu</v>
      </c>
      <c r="G108" s="1"/>
      <c r="H108" s="1"/>
      <c r="I108" s="216"/>
      <c r="J108" s="216"/>
      <c r="K108" s="216"/>
      <c r="L108" s="216"/>
      <c r="M108" s="216"/>
      <c r="N108" s="216"/>
      <c r="O108" s="216"/>
      <c r="P108" s="216"/>
      <c r="Q108" s="216"/>
      <c r="R108" s="216"/>
      <c r="S108" s="216"/>
      <c r="T108" s="216"/>
      <c r="U108" s="216"/>
      <c r="V108" s="216"/>
      <c r="W108" s="216"/>
      <c r="X108" s="216"/>
      <c r="Y108" s="216"/>
      <c r="Z108" s="216"/>
    </row>
    <row r="109" spans="1:26" ht="15.75" customHeight="1">
      <c r="A109" s="134" t="s">
        <v>7404</v>
      </c>
      <c r="B109" s="133" t="s">
        <v>10221</v>
      </c>
      <c r="C109" s="133" t="s">
        <v>10222</v>
      </c>
      <c r="D109" s="116">
        <v>20</v>
      </c>
      <c r="E109" s="528">
        <v>20</v>
      </c>
      <c r="F109" s="216" t="str">
        <f t="shared" si="4"/>
        <v>Crețulescu Radu</v>
      </c>
      <c r="G109" s="1"/>
      <c r="H109" s="1"/>
      <c r="I109" s="216"/>
      <c r="J109" s="216"/>
      <c r="K109" s="216"/>
      <c r="L109" s="216"/>
      <c r="M109" s="216"/>
      <c r="N109" s="216"/>
      <c r="O109" s="216"/>
      <c r="P109" s="216"/>
      <c r="Q109" s="216"/>
      <c r="R109" s="216"/>
      <c r="S109" s="216"/>
      <c r="T109" s="216"/>
      <c r="U109" s="216"/>
      <c r="V109" s="216"/>
      <c r="W109" s="216"/>
      <c r="X109" s="216"/>
      <c r="Y109" s="216"/>
      <c r="Z109" s="216"/>
    </row>
    <row r="110" spans="1:26" ht="15.75" customHeight="1">
      <c r="A110" s="134" t="s">
        <v>7404</v>
      </c>
      <c r="B110" s="133" t="s">
        <v>141</v>
      </c>
      <c r="C110" s="133" t="s">
        <v>10200</v>
      </c>
      <c r="D110" s="116">
        <v>20</v>
      </c>
      <c r="E110" s="528">
        <v>20</v>
      </c>
      <c r="F110" s="216" t="str">
        <f t="shared" si="4"/>
        <v>Crețulescu Radu</v>
      </c>
      <c r="G110" s="1"/>
      <c r="H110" s="1"/>
      <c r="I110" s="216"/>
      <c r="J110" s="216"/>
      <c r="K110" s="216"/>
      <c r="L110" s="216"/>
      <c r="M110" s="216"/>
      <c r="N110" s="216"/>
      <c r="O110" s="216"/>
      <c r="P110" s="216"/>
      <c r="Q110" s="216"/>
      <c r="R110" s="216"/>
      <c r="S110" s="216"/>
      <c r="T110" s="216"/>
      <c r="U110" s="216"/>
      <c r="V110" s="216"/>
      <c r="W110" s="216"/>
      <c r="X110" s="216"/>
      <c r="Y110" s="216"/>
      <c r="Z110" s="216"/>
    </row>
    <row r="111" spans="1:26" ht="15.75" customHeight="1">
      <c r="A111" s="134" t="s">
        <v>7404</v>
      </c>
      <c r="B111" s="133" t="s">
        <v>141</v>
      </c>
      <c r="C111" s="133" t="s">
        <v>10223</v>
      </c>
      <c r="D111" s="116">
        <v>20</v>
      </c>
      <c r="E111" s="528">
        <v>20</v>
      </c>
      <c r="F111" s="216" t="str">
        <f t="shared" si="4"/>
        <v>Crețulescu Radu</v>
      </c>
      <c r="G111" s="1"/>
      <c r="H111" s="1"/>
      <c r="I111" s="216"/>
      <c r="J111" s="216"/>
      <c r="K111" s="216"/>
      <c r="L111" s="216"/>
      <c r="M111" s="216"/>
      <c r="N111" s="216"/>
      <c r="O111" s="216"/>
      <c r="P111" s="216"/>
      <c r="Q111" s="216"/>
      <c r="R111" s="216"/>
      <c r="S111" s="216"/>
      <c r="T111" s="216"/>
      <c r="U111" s="216"/>
      <c r="V111" s="216"/>
      <c r="W111" s="216"/>
      <c r="X111" s="216"/>
      <c r="Y111" s="216"/>
      <c r="Z111" s="216"/>
    </row>
    <row r="112" spans="1:26" ht="15.75" customHeight="1">
      <c r="A112" s="134" t="s">
        <v>7404</v>
      </c>
      <c r="B112" s="133" t="s">
        <v>141</v>
      </c>
      <c r="C112" s="133" t="s">
        <v>10224</v>
      </c>
      <c r="D112" s="116">
        <v>30</v>
      </c>
      <c r="E112" s="528">
        <v>30</v>
      </c>
      <c r="F112" s="216" t="str">
        <f t="shared" si="4"/>
        <v>Crețulescu Radu</v>
      </c>
      <c r="G112" s="1"/>
      <c r="H112" s="1"/>
      <c r="I112" s="216"/>
      <c r="J112" s="216"/>
      <c r="K112" s="216"/>
      <c r="L112" s="216"/>
      <c r="M112" s="216"/>
      <c r="N112" s="216"/>
      <c r="O112" s="216"/>
      <c r="P112" s="216"/>
      <c r="Q112" s="216"/>
      <c r="R112" s="216"/>
      <c r="S112" s="216"/>
      <c r="T112" s="216"/>
      <c r="U112" s="216"/>
      <c r="V112" s="216"/>
      <c r="W112" s="216"/>
      <c r="X112" s="216"/>
      <c r="Y112" s="216"/>
      <c r="Z112" s="216"/>
    </row>
    <row r="113" spans="1:26" ht="15.75" customHeight="1">
      <c r="A113" s="134" t="s">
        <v>7404</v>
      </c>
      <c r="B113" s="133" t="s">
        <v>141</v>
      </c>
      <c r="C113" s="133" t="s">
        <v>10225</v>
      </c>
      <c r="D113" s="116">
        <v>30</v>
      </c>
      <c r="E113" s="528">
        <v>30</v>
      </c>
      <c r="F113" s="216" t="str">
        <f t="shared" si="4"/>
        <v>Crețulescu Radu</v>
      </c>
      <c r="G113" s="1"/>
      <c r="H113" s="1"/>
      <c r="I113" s="216"/>
      <c r="J113" s="216"/>
      <c r="K113" s="216"/>
      <c r="L113" s="216"/>
      <c r="M113" s="216"/>
      <c r="N113" s="216"/>
      <c r="O113" s="216"/>
      <c r="P113" s="216"/>
      <c r="Q113" s="216"/>
      <c r="R113" s="216"/>
      <c r="S113" s="216"/>
      <c r="T113" s="216"/>
      <c r="U113" s="216"/>
      <c r="V113" s="216"/>
      <c r="W113" s="216"/>
      <c r="X113" s="216"/>
      <c r="Y113" s="216"/>
      <c r="Z113" s="216"/>
    </row>
    <row r="114" spans="1:26" ht="15.75" customHeight="1">
      <c r="A114" s="134" t="s">
        <v>7404</v>
      </c>
      <c r="B114" s="133" t="s">
        <v>141</v>
      </c>
      <c r="C114" s="133" t="s">
        <v>10154</v>
      </c>
      <c r="D114" s="116">
        <v>30</v>
      </c>
      <c r="E114" s="528">
        <v>30</v>
      </c>
      <c r="F114" s="216" t="str">
        <f t="shared" si="4"/>
        <v>Crețulescu Radu</v>
      </c>
      <c r="G114" s="1"/>
      <c r="H114" s="1"/>
      <c r="I114" s="216"/>
      <c r="J114" s="216"/>
      <c r="K114" s="216"/>
      <c r="L114" s="216"/>
      <c r="M114" s="216"/>
      <c r="N114" s="216"/>
      <c r="O114" s="216"/>
      <c r="P114" s="216"/>
      <c r="Q114" s="216"/>
      <c r="R114" s="216"/>
      <c r="S114" s="216"/>
      <c r="T114" s="216"/>
      <c r="U114" s="216"/>
      <c r="V114" s="216"/>
      <c r="W114" s="216"/>
      <c r="X114" s="216"/>
      <c r="Y114" s="216"/>
      <c r="Z114" s="216"/>
    </row>
    <row r="115" spans="1:26" ht="15.75" customHeight="1">
      <c r="A115" s="134" t="s">
        <v>7613</v>
      </c>
      <c r="B115" s="133" t="s">
        <v>141</v>
      </c>
      <c r="C115" s="133" t="s">
        <v>10154</v>
      </c>
      <c r="D115" s="100">
        <v>30</v>
      </c>
      <c r="E115" s="528">
        <v>30</v>
      </c>
      <c r="F115" s="216" t="str">
        <f t="shared" si="4"/>
        <v>DOROBANȚIU Alexandru</v>
      </c>
      <c r="G115" s="1"/>
      <c r="H115" s="1"/>
      <c r="I115" s="216"/>
      <c r="J115" s="216"/>
      <c r="K115" s="216"/>
      <c r="L115" s="216"/>
      <c r="M115" s="216"/>
      <c r="N115" s="216"/>
      <c r="O115" s="216"/>
      <c r="P115" s="216"/>
      <c r="Q115" s="216"/>
      <c r="R115" s="216"/>
      <c r="S115" s="216"/>
      <c r="T115" s="216"/>
      <c r="U115" s="216"/>
      <c r="V115" s="216"/>
      <c r="W115" s="216"/>
      <c r="X115" s="216"/>
      <c r="Y115" s="216"/>
      <c r="Z115" s="216"/>
    </row>
    <row r="116" spans="1:26" ht="15.75" customHeight="1">
      <c r="A116" s="134" t="s">
        <v>7351</v>
      </c>
      <c r="B116" s="133" t="s">
        <v>141</v>
      </c>
      <c r="C116" s="133" t="s">
        <v>10226</v>
      </c>
      <c r="D116" s="100">
        <v>20</v>
      </c>
      <c r="E116" s="100">
        <v>20</v>
      </c>
      <c r="F116" s="1" t="str">
        <f t="shared" si="4"/>
        <v>Prof.dr.ing. Florea Adrian</v>
      </c>
      <c r="G116" s="1"/>
      <c r="H116" s="1"/>
      <c r="I116" s="216"/>
      <c r="J116" s="216"/>
      <c r="K116" s="216"/>
      <c r="L116" s="216"/>
      <c r="M116" s="216"/>
      <c r="N116" s="216"/>
      <c r="O116" s="216"/>
      <c r="P116" s="216"/>
      <c r="Q116" s="216"/>
      <c r="R116" s="216"/>
      <c r="S116" s="216"/>
      <c r="T116" s="216"/>
      <c r="U116" s="216"/>
      <c r="V116" s="216"/>
      <c r="W116" s="216"/>
      <c r="X116" s="216"/>
      <c r="Y116" s="216"/>
      <c r="Z116" s="216"/>
    </row>
    <row r="117" spans="1:26" ht="15.75" customHeight="1">
      <c r="A117" s="134" t="s">
        <v>7351</v>
      </c>
      <c r="B117" s="133" t="s">
        <v>141</v>
      </c>
      <c r="C117" s="133" t="s">
        <v>10182</v>
      </c>
      <c r="D117" s="116">
        <v>20</v>
      </c>
      <c r="E117" s="116">
        <v>20</v>
      </c>
      <c r="F117" s="1" t="str">
        <f t="shared" si="4"/>
        <v>Prof.dr.ing. Florea Adrian</v>
      </c>
      <c r="G117" s="1"/>
      <c r="H117" s="1"/>
      <c r="I117" s="216"/>
      <c r="J117" s="216"/>
      <c r="K117" s="216"/>
      <c r="L117" s="216"/>
      <c r="M117" s="216"/>
      <c r="N117" s="216"/>
      <c r="O117" s="216"/>
      <c r="P117" s="216"/>
      <c r="Q117" s="216"/>
      <c r="R117" s="216"/>
      <c r="S117" s="216"/>
      <c r="T117" s="216"/>
      <c r="U117" s="216"/>
      <c r="V117" s="216"/>
      <c r="W117" s="216"/>
      <c r="X117" s="216"/>
      <c r="Y117" s="216"/>
      <c r="Z117" s="216"/>
    </row>
    <row r="118" spans="1:26" ht="15.75" customHeight="1">
      <c r="A118" s="134" t="s">
        <v>7351</v>
      </c>
      <c r="B118" s="133" t="s">
        <v>141</v>
      </c>
      <c r="C118" s="133" t="s">
        <v>10183</v>
      </c>
      <c r="D118" s="100">
        <v>20</v>
      </c>
      <c r="E118" s="100">
        <v>20</v>
      </c>
      <c r="F118" s="1" t="str">
        <f t="shared" si="4"/>
        <v>Prof.dr.ing. Florea Adrian</v>
      </c>
      <c r="G118" s="1"/>
      <c r="H118" s="1"/>
      <c r="I118" s="216"/>
      <c r="J118" s="216"/>
      <c r="K118" s="216"/>
      <c r="L118" s="216"/>
      <c r="M118" s="216"/>
      <c r="N118" s="216"/>
      <c r="O118" s="216"/>
      <c r="P118" s="216"/>
      <c r="Q118" s="216"/>
      <c r="R118" s="216"/>
      <c r="S118" s="216"/>
      <c r="T118" s="216"/>
      <c r="U118" s="216"/>
      <c r="V118" s="216"/>
      <c r="W118" s="216"/>
      <c r="X118" s="216"/>
      <c r="Y118" s="216"/>
      <c r="Z118" s="216"/>
    </row>
    <row r="119" spans="1:26" ht="15.75" customHeight="1">
      <c r="A119" s="134" t="s">
        <v>7351</v>
      </c>
      <c r="B119" s="133" t="s">
        <v>141</v>
      </c>
      <c r="C119" s="133" t="s">
        <v>10227</v>
      </c>
      <c r="D119" s="116">
        <v>20</v>
      </c>
      <c r="E119" s="116">
        <v>20</v>
      </c>
      <c r="F119" s="1" t="str">
        <f t="shared" si="4"/>
        <v>Prof.dr.ing. Florea Adrian</v>
      </c>
      <c r="G119" s="1"/>
      <c r="H119" s="1"/>
      <c r="I119" s="216"/>
      <c r="J119" s="216"/>
      <c r="K119" s="216"/>
      <c r="L119" s="216"/>
      <c r="M119" s="216"/>
      <c r="N119" s="216"/>
      <c r="O119" s="216"/>
      <c r="P119" s="216"/>
      <c r="Q119" s="216"/>
      <c r="R119" s="216"/>
      <c r="S119" s="216"/>
      <c r="T119" s="216"/>
      <c r="U119" s="216"/>
      <c r="V119" s="216"/>
      <c r="W119" s="216"/>
      <c r="X119" s="216"/>
      <c r="Y119" s="216"/>
      <c r="Z119" s="216"/>
    </row>
    <row r="120" spans="1:26" ht="15.75" customHeight="1">
      <c r="A120" s="134" t="s">
        <v>7351</v>
      </c>
      <c r="B120" s="133" t="s">
        <v>141</v>
      </c>
      <c r="C120" s="133" t="s">
        <v>10228</v>
      </c>
      <c r="D120" s="116">
        <v>20</v>
      </c>
      <c r="E120" s="116">
        <v>20</v>
      </c>
      <c r="F120" s="1" t="str">
        <f t="shared" si="4"/>
        <v>Prof.dr.ing. Florea Adrian</v>
      </c>
      <c r="G120" s="1"/>
      <c r="H120" s="1"/>
      <c r="I120" s="216"/>
      <c r="J120" s="216"/>
      <c r="K120" s="216"/>
      <c r="L120" s="216"/>
      <c r="M120" s="216"/>
      <c r="N120" s="216"/>
      <c r="O120" s="216"/>
      <c r="P120" s="216"/>
      <c r="Q120" s="216"/>
      <c r="R120" s="216"/>
      <c r="S120" s="216"/>
      <c r="T120" s="216"/>
      <c r="U120" s="216"/>
      <c r="V120" s="216"/>
      <c r="W120" s="216"/>
      <c r="X120" s="216"/>
      <c r="Y120" s="216"/>
      <c r="Z120" s="216"/>
    </row>
    <row r="121" spans="1:26" ht="15.75" customHeight="1">
      <c r="A121" s="134" t="s">
        <v>7351</v>
      </c>
      <c r="B121" s="133" t="s">
        <v>141</v>
      </c>
      <c r="C121" s="133" t="s">
        <v>10229</v>
      </c>
      <c r="D121" s="116">
        <v>20</v>
      </c>
      <c r="E121" s="116">
        <v>20</v>
      </c>
      <c r="F121" s="1" t="str">
        <f t="shared" si="4"/>
        <v>Prof.dr.ing. Florea Adrian</v>
      </c>
      <c r="G121" s="1"/>
      <c r="H121" s="1"/>
      <c r="I121" s="216"/>
      <c r="J121" s="216"/>
      <c r="K121" s="216"/>
      <c r="L121" s="216"/>
      <c r="M121" s="216"/>
      <c r="N121" s="216"/>
      <c r="O121" s="216"/>
      <c r="P121" s="216"/>
      <c r="Q121" s="216"/>
      <c r="R121" s="216"/>
      <c r="S121" s="216"/>
      <c r="T121" s="216"/>
      <c r="U121" s="216"/>
      <c r="V121" s="216"/>
      <c r="W121" s="216"/>
      <c r="X121" s="216"/>
      <c r="Y121" s="216"/>
      <c r="Z121" s="216"/>
    </row>
    <row r="122" spans="1:26" ht="15.75" customHeight="1">
      <c r="A122" s="134" t="s">
        <v>7351</v>
      </c>
      <c r="B122" s="133" t="s">
        <v>141</v>
      </c>
      <c r="C122" s="133" t="s">
        <v>10230</v>
      </c>
      <c r="D122" s="116">
        <v>20</v>
      </c>
      <c r="E122" s="116">
        <v>20</v>
      </c>
      <c r="F122" s="1" t="str">
        <f t="shared" si="4"/>
        <v>Prof.dr.ing. Florea Adrian</v>
      </c>
      <c r="G122" s="1"/>
      <c r="H122" s="1"/>
      <c r="I122" s="216"/>
      <c r="J122" s="216"/>
      <c r="K122" s="216"/>
      <c r="L122" s="216"/>
      <c r="M122" s="216"/>
      <c r="N122" s="216"/>
      <c r="O122" s="216"/>
      <c r="P122" s="216"/>
      <c r="Q122" s="216"/>
      <c r="R122" s="216"/>
      <c r="S122" s="216"/>
      <c r="T122" s="216"/>
      <c r="U122" s="216"/>
      <c r="V122" s="216"/>
      <c r="W122" s="216"/>
      <c r="X122" s="216"/>
      <c r="Y122" s="216"/>
      <c r="Z122" s="216"/>
    </row>
    <row r="123" spans="1:26" ht="15.75" customHeight="1">
      <c r="A123" s="134" t="s">
        <v>7351</v>
      </c>
      <c r="B123" s="133" t="s">
        <v>141</v>
      </c>
      <c r="C123" s="133" t="s">
        <v>10231</v>
      </c>
      <c r="D123" s="116">
        <v>60</v>
      </c>
      <c r="E123" s="116">
        <v>60</v>
      </c>
      <c r="F123" s="1" t="str">
        <f t="shared" si="4"/>
        <v>Prof.dr.ing. Florea Adrian</v>
      </c>
      <c r="G123" s="1"/>
      <c r="H123" s="1"/>
      <c r="I123" s="216"/>
      <c r="J123" s="216"/>
      <c r="K123" s="216"/>
      <c r="L123" s="216"/>
      <c r="M123" s="216"/>
      <c r="N123" s="216"/>
      <c r="O123" s="216"/>
      <c r="P123" s="216"/>
      <c r="Q123" s="216"/>
      <c r="R123" s="216"/>
      <c r="S123" s="216"/>
      <c r="T123" s="216"/>
      <c r="U123" s="216"/>
      <c r="V123" s="216"/>
      <c r="W123" s="216"/>
      <c r="X123" s="216"/>
      <c r="Y123" s="216"/>
      <c r="Z123" s="216"/>
    </row>
    <row r="124" spans="1:26" ht="15.75" customHeight="1">
      <c r="A124" s="134" t="s">
        <v>829</v>
      </c>
      <c r="B124" s="133" t="s">
        <v>141</v>
      </c>
      <c r="C124" s="133" t="s">
        <v>10232</v>
      </c>
      <c r="D124" s="116">
        <v>60</v>
      </c>
      <c r="E124" s="528">
        <v>60</v>
      </c>
      <c r="F124" s="1" t="s">
        <v>829</v>
      </c>
      <c r="G124" s="1"/>
      <c r="H124" s="1"/>
      <c r="I124" s="216"/>
      <c r="J124" s="216"/>
      <c r="K124" s="216"/>
      <c r="L124" s="216"/>
      <c r="M124" s="216"/>
      <c r="N124" s="216"/>
      <c r="O124" s="216"/>
      <c r="P124" s="216"/>
      <c r="Q124" s="216"/>
      <c r="R124" s="216"/>
      <c r="S124" s="216"/>
      <c r="T124" s="216"/>
      <c r="U124" s="216"/>
      <c r="V124" s="216"/>
      <c r="W124" s="216"/>
      <c r="X124" s="216"/>
      <c r="Y124" s="216"/>
      <c r="Z124" s="216"/>
    </row>
    <row r="125" spans="1:26" ht="15.75" customHeight="1">
      <c r="A125" s="134" t="s">
        <v>829</v>
      </c>
      <c r="B125" s="133" t="s">
        <v>141</v>
      </c>
      <c r="C125" s="133" t="s">
        <v>10233</v>
      </c>
      <c r="D125" s="116">
        <v>20</v>
      </c>
      <c r="E125" s="528">
        <v>20</v>
      </c>
      <c r="F125" s="1" t="s">
        <v>829</v>
      </c>
      <c r="G125" s="1"/>
      <c r="H125" s="1"/>
      <c r="I125" s="216"/>
      <c r="J125" s="216"/>
      <c r="K125" s="216"/>
      <c r="L125" s="216"/>
      <c r="M125" s="216"/>
      <c r="N125" s="216"/>
      <c r="O125" s="216"/>
      <c r="P125" s="216"/>
      <c r="Q125" s="216"/>
      <c r="R125" s="216"/>
      <c r="S125" s="216"/>
      <c r="T125" s="216"/>
      <c r="U125" s="216"/>
      <c r="V125" s="216"/>
      <c r="W125" s="216"/>
      <c r="X125" s="216"/>
      <c r="Y125" s="216"/>
      <c r="Z125" s="216"/>
    </row>
    <row r="126" spans="1:26" ht="15.75" customHeight="1">
      <c r="A126" s="134" t="s">
        <v>829</v>
      </c>
      <c r="B126" s="133" t="s">
        <v>141</v>
      </c>
      <c r="C126" s="133" t="s">
        <v>10234</v>
      </c>
      <c r="D126" s="116">
        <v>20</v>
      </c>
      <c r="E126" s="528">
        <v>20</v>
      </c>
      <c r="F126" s="1" t="s">
        <v>829</v>
      </c>
      <c r="G126" s="1"/>
      <c r="H126" s="1"/>
      <c r="I126" s="216"/>
      <c r="J126" s="216"/>
      <c r="K126" s="216"/>
      <c r="L126" s="216"/>
      <c r="M126" s="216"/>
      <c r="N126" s="216"/>
      <c r="O126" s="216"/>
      <c r="P126" s="216"/>
      <c r="Q126" s="216"/>
      <c r="R126" s="216"/>
      <c r="S126" s="216"/>
      <c r="T126" s="216"/>
      <c r="U126" s="216"/>
      <c r="V126" s="216"/>
      <c r="W126" s="216"/>
      <c r="X126" s="216"/>
      <c r="Y126" s="216"/>
      <c r="Z126" s="216"/>
    </row>
    <row r="127" spans="1:26" ht="15.75" customHeight="1">
      <c r="A127" s="134" t="s">
        <v>829</v>
      </c>
      <c r="B127" s="133" t="s">
        <v>141</v>
      </c>
      <c r="C127" s="133" t="s">
        <v>10235</v>
      </c>
      <c r="D127" s="116">
        <v>20</v>
      </c>
      <c r="E127" s="528">
        <v>20</v>
      </c>
      <c r="F127" s="1" t="s">
        <v>829</v>
      </c>
      <c r="G127" s="1"/>
      <c r="H127" s="1"/>
      <c r="I127" s="216"/>
      <c r="J127" s="216"/>
      <c r="K127" s="216"/>
      <c r="L127" s="216"/>
      <c r="M127" s="216"/>
      <c r="N127" s="216"/>
      <c r="O127" s="216"/>
      <c r="P127" s="216"/>
      <c r="Q127" s="216"/>
      <c r="R127" s="216"/>
      <c r="S127" s="216"/>
      <c r="T127" s="216"/>
      <c r="U127" s="216"/>
      <c r="V127" s="216"/>
      <c r="W127" s="216"/>
      <c r="X127" s="216"/>
      <c r="Y127" s="216"/>
      <c r="Z127" s="216"/>
    </row>
    <row r="128" spans="1:26" ht="15.75" customHeight="1">
      <c r="A128" s="134" t="s">
        <v>829</v>
      </c>
      <c r="B128" s="133" t="s">
        <v>141</v>
      </c>
      <c r="C128" s="133" t="s">
        <v>10236</v>
      </c>
      <c r="D128" s="116">
        <v>20</v>
      </c>
      <c r="E128" s="528">
        <v>20</v>
      </c>
      <c r="F128" s="1" t="s">
        <v>829</v>
      </c>
      <c r="G128" s="1"/>
      <c r="H128" s="1"/>
      <c r="I128" s="216"/>
      <c r="J128" s="216"/>
      <c r="K128" s="216"/>
      <c r="L128" s="216"/>
      <c r="M128" s="216"/>
      <c r="N128" s="216"/>
      <c r="O128" s="216"/>
      <c r="P128" s="216"/>
      <c r="Q128" s="216"/>
      <c r="R128" s="216"/>
      <c r="S128" s="216"/>
      <c r="T128" s="216"/>
      <c r="U128" s="216"/>
      <c r="V128" s="216"/>
      <c r="W128" s="216"/>
      <c r="X128" s="216"/>
      <c r="Y128" s="216"/>
      <c r="Z128" s="216"/>
    </row>
    <row r="129" spans="1:26" ht="15.75" customHeight="1">
      <c r="A129" s="134" t="s">
        <v>829</v>
      </c>
      <c r="B129" s="133" t="s">
        <v>141</v>
      </c>
      <c r="C129" s="133" t="s">
        <v>10237</v>
      </c>
      <c r="D129" s="116">
        <v>20</v>
      </c>
      <c r="E129" s="528">
        <v>20</v>
      </c>
      <c r="F129" s="1" t="s">
        <v>829</v>
      </c>
      <c r="G129" s="1"/>
      <c r="H129" s="1"/>
      <c r="I129" s="216"/>
      <c r="J129" s="216"/>
      <c r="K129" s="216"/>
      <c r="L129" s="216"/>
      <c r="M129" s="216"/>
      <c r="N129" s="216"/>
      <c r="O129" s="216"/>
      <c r="P129" s="216"/>
      <c r="Q129" s="216"/>
      <c r="R129" s="216"/>
      <c r="S129" s="216"/>
      <c r="T129" s="216"/>
      <c r="U129" s="216"/>
      <c r="V129" s="216"/>
      <c r="W129" s="216"/>
      <c r="X129" s="216"/>
      <c r="Y129" s="216"/>
      <c r="Z129" s="216"/>
    </row>
    <row r="130" spans="1:26" ht="15.75" customHeight="1">
      <c r="A130" s="134" t="s">
        <v>829</v>
      </c>
      <c r="B130" s="133" t="s">
        <v>141</v>
      </c>
      <c r="C130" s="133" t="s">
        <v>10238</v>
      </c>
      <c r="D130" s="116">
        <v>20</v>
      </c>
      <c r="E130" s="528">
        <v>20</v>
      </c>
      <c r="F130" s="1" t="s">
        <v>829</v>
      </c>
      <c r="G130" s="1"/>
      <c r="H130" s="1"/>
      <c r="I130" s="216"/>
      <c r="J130" s="216"/>
      <c r="K130" s="216"/>
      <c r="L130" s="216"/>
      <c r="M130" s="216"/>
      <c r="N130" s="216"/>
      <c r="O130" s="216"/>
      <c r="P130" s="216"/>
      <c r="Q130" s="216"/>
      <c r="R130" s="216"/>
      <c r="S130" s="216"/>
      <c r="T130" s="216"/>
      <c r="U130" s="216"/>
      <c r="V130" s="216"/>
      <c r="W130" s="216"/>
      <c r="X130" s="216"/>
      <c r="Y130" s="216"/>
      <c r="Z130" s="216"/>
    </row>
    <row r="131" spans="1:26" ht="15.75" customHeight="1">
      <c r="A131" s="134" t="s">
        <v>829</v>
      </c>
      <c r="B131" s="133" t="s">
        <v>141</v>
      </c>
      <c r="C131" s="133" t="s">
        <v>10239</v>
      </c>
      <c r="D131" s="116">
        <v>20</v>
      </c>
      <c r="E131" s="528">
        <v>20</v>
      </c>
      <c r="F131" s="1" t="s">
        <v>829</v>
      </c>
      <c r="G131" s="1"/>
      <c r="H131" s="1"/>
      <c r="I131" s="216"/>
      <c r="J131" s="216"/>
      <c r="K131" s="216"/>
      <c r="L131" s="216"/>
      <c r="M131" s="216"/>
      <c r="N131" s="216"/>
      <c r="O131" s="216"/>
      <c r="P131" s="216"/>
      <c r="Q131" s="216"/>
      <c r="R131" s="216"/>
      <c r="S131" s="216"/>
      <c r="T131" s="216"/>
      <c r="U131" s="216"/>
      <c r="V131" s="216"/>
      <c r="W131" s="216"/>
      <c r="X131" s="216"/>
      <c r="Y131" s="216"/>
      <c r="Z131" s="216"/>
    </row>
    <row r="132" spans="1:26" ht="15.75" customHeight="1">
      <c r="A132" s="134" t="s">
        <v>829</v>
      </c>
      <c r="B132" s="133" t="s">
        <v>141</v>
      </c>
      <c r="C132" s="133" t="s">
        <v>10240</v>
      </c>
      <c r="D132" s="116">
        <v>20</v>
      </c>
      <c r="E132" s="528">
        <v>20</v>
      </c>
      <c r="F132" s="1" t="s">
        <v>829</v>
      </c>
      <c r="G132" s="1"/>
      <c r="H132" s="1"/>
      <c r="I132" s="216"/>
      <c r="J132" s="216"/>
      <c r="K132" s="216"/>
      <c r="L132" s="216"/>
      <c r="M132" s="216"/>
      <c r="N132" s="216"/>
      <c r="O132" s="216"/>
      <c r="P132" s="216"/>
      <c r="Q132" s="216"/>
      <c r="R132" s="216"/>
      <c r="S132" s="216"/>
      <c r="T132" s="216"/>
      <c r="U132" s="216"/>
      <c r="V132" s="216"/>
      <c r="W132" s="216"/>
      <c r="X132" s="216"/>
      <c r="Y132" s="216"/>
      <c r="Z132" s="216"/>
    </row>
    <row r="133" spans="1:26" ht="15.75" customHeight="1">
      <c r="A133" s="134" t="s">
        <v>829</v>
      </c>
      <c r="B133" s="133" t="s">
        <v>141</v>
      </c>
      <c r="C133" s="133" t="s">
        <v>10241</v>
      </c>
      <c r="D133" s="116">
        <v>30</v>
      </c>
      <c r="E133" s="528">
        <v>30</v>
      </c>
      <c r="F133" s="1" t="s">
        <v>829</v>
      </c>
      <c r="G133" s="1"/>
      <c r="H133" s="1"/>
      <c r="I133" s="216"/>
      <c r="J133" s="216"/>
      <c r="K133" s="216"/>
      <c r="L133" s="216"/>
      <c r="M133" s="216"/>
      <c r="N133" s="216"/>
      <c r="O133" s="216"/>
      <c r="P133" s="216"/>
      <c r="Q133" s="216"/>
      <c r="R133" s="216"/>
      <c r="S133" s="216"/>
      <c r="T133" s="216"/>
      <c r="U133" s="216"/>
      <c r="V133" s="216"/>
      <c r="W133" s="216"/>
      <c r="X133" s="216"/>
      <c r="Y133" s="216"/>
      <c r="Z133" s="216"/>
    </row>
    <row r="134" spans="1:26" ht="15.75" customHeight="1">
      <c r="A134" s="134" t="s">
        <v>829</v>
      </c>
      <c r="B134" s="133" t="s">
        <v>141</v>
      </c>
      <c r="C134" s="133" t="s">
        <v>10242</v>
      </c>
      <c r="D134" s="116">
        <v>30</v>
      </c>
      <c r="E134" s="528">
        <v>30</v>
      </c>
      <c r="F134" s="1" t="s">
        <v>829</v>
      </c>
      <c r="G134" s="1"/>
      <c r="H134" s="1"/>
      <c r="I134" s="216"/>
      <c r="J134" s="216"/>
      <c r="K134" s="216"/>
      <c r="L134" s="216"/>
      <c r="M134" s="216"/>
      <c r="N134" s="216"/>
      <c r="O134" s="216"/>
      <c r="P134" s="216"/>
      <c r="Q134" s="216"/>
      <c r="R134" s="216"/>
      <c r="S134" s="216"/>
      <c r="T134" s="216"/>
      <c r="U134" s="216"/>
      <c r="V134" s="216"/>
      <c r="W134" s="216"/>
      <c r="X134" s="216"/>
      <c r="Y134" s="216"/>
      <c r="Z134" s="216"/>
    </row>
    <row r="135" spans="1:26" ht="15.75" customHeight="1">
      <c r="A135" s="134" t="s">
        <v>829</v>
      </c>
      <c r="B135" s="133" t="s">
        <v>141</v>
      </c>
      <c r="C135" s="133" t="s">
        <v>10154</v>
      </c>
      <c r="D135" s="116">
        <v>30</v>
      </c>
      <c r="E135" s="528">
        <v>30</v>
      </c>
      <c r="F135" s="1" t="s">
        <v>829</v>
      </c>
      <c r="G135" s="1"/>
      <c r="H135" s="1"/>
      <c r="I135" s="216"/>
      <c r="J135" s="216"/>
      <c r="K135" s="216"/>
      <c r="L135" s="216"/>
      <c r="M135" s="216"/>
      <c r="N135" s="216"/>
      <c r="O135" s="216"/>
      <c r="P135" s="216"/>
      <c r="Q135" s="216"/>
      <c r="R135" s="216"/>
      <c r="S135" s="216"/>
      <c r="T135" s="216"/>
      <c r="U135" s="216"/>
      <c r="V135" s="216"/>
      <c r="W135" s="216"/>
      <c r="X135" s="216"/>
      <c r="Y135" s="216"/>
      <c r="Z135" s="216"/>
    </row>
    <row r="136" spans="1:26" ht="15.75" customHeight="1">
      <c r="A136" s="134" t="s">
        <v>7615</v>
      </c>
      <c r="B136" s="133" t="s">
        <v>141</v>
      </c>
      <c r="C136" s="133" t="s">
        <v>10243</v>
      </c>
      <c r="D136" s="100">
        <v>20</v>
      </c>
      <c r="E136" s="528">
        <f>D136</f>
        <v>20</v>
      </c>
      <c r="F136" s="1" t="str">
        <f t="shared" ref="F136:F199" si="7">A136</f>
        <v>ILIE Constantin Beriliu</v>
      </c>
      <c r="G136" s="1"/>
      <c r="H136" s="1"/>
      <c r="I136" s="216"/>
      <c r="J136" s="216"/>
      <c r="K136" s="216"/>
      <c r="L136" s="216"/>
      <c r="M136" s="216"/>
      <c r="N136" s="216"/>
      <c r="O136" s="216"/>
      <c r="P136" s="216"/>
      <c r="Q136" s="216"/>
      <c r="R136" s="216"/>
      <c r="S136" s="216"/>
      <c r="T136" s="216"/>
      <c r="U136" s="216"/>
      <c r="V136" s="216"/>
      <c r="W136" s="216"/>
      <c r="X136" s="216"/>
      <c r="Y136" s="216"/>
      <c r="Z136" s="216"/>
    </row>
    <row r="137" spans="1:26" ht="15.75" customHeight="1">
      <c r="A137" s="134" t="s">
        <v>3249</v>
      </c>
      <c r="B137" s="133" t="s">
        <v>141</v>
      </c>
      <c r="C137" s="133" t="s">
        <v>10244</v>
      </c>
      <c r="D137" s="100">
        <v>60</v>
      </c>
      <c r="E137" s="528">
        <v>60</v>
      </c>
      <c r="F137" s="1" t="str">
        <f t="shared" si="7"/>
        <v>Morariu Daniel</v>
      </c>
      <c r="G137" s="1"/>
      <c r="H137" s="1"/>
      <c r="I137" s="216"/>
      <c r="J137" s="216"/>
      <c r="K137" s="216"/>
      <c r="L137" s="216"/>
      <c r="M137" s="216"/>
      <c r="N137" s="216"/>
      <c r="O137" s="216"/>
      <c r="P137" s="216"/>
      <c r="Q137" s="216"/>
      <c r="R137" s="216"/>
      <c r="S137" s="216"/>
      <c r="T137" s="216"/>
      <c r="U137" s="216"/>
      <c r="V137" s="216"/>
      <c r="W137" s="216"/>
      <c r="X137" s="216"/>
      <c r="Y137" s="216"/>
      <c r="Z137" s="216"/>
    </row>
    <row r="138" spans="1:26" ht="15.75" customHeight="1">
      <c r="A138" s="134" t="s">
        <v>3249</v>
      </c>
      <c r="B138" s="133" t="s">
        <v>141</v>
      </c>
      <c r="C138" s="133" t="s">
        <v>10202</v>
      </c>
      <c r="D138" s="116">
        <v>60</v>
      </c>
      <c r="E138" s="528">
        <v>60</v>
      </c>
      <c r="F138" s="1" t="str">
        <f t="shared" si="7"/>
        <v>Morariu Daniel</v>
      </c>
      <c r="G138" s="1"/>
      <c r="H138" s="1"/>
      <c r="I138" s="216"/>
      <c r="J138" s="216"/>
      <c r="K138" s="216"/>
      <c r="L138" s="216"/>
      <c r="M138" s="216"/>
      <c r="N138" s="216"/>
      <c r="O138" s="216"/>
      <c r="P138" s="216"/>
      <c r="Q138" s="216"/>
      <c r="R138" s="216"/>
      <c r="S138" s="216"/>
      <c r="T138" s="216"/>
      <c r="U138" s="216"/>
      <c r="V138" s="216"/>
      <c r="W138" s="216"/>
      <c r="X138" s="216"/>
      <c r="Y138" s="216"/>
      <c r="Z138" s="216"/>
    </row>
    <row r="139" spans="1:26" ht="15.75" customHeight="1">
      <c r="A139" s="134" t="s">
        <v>3249</v>
      </c>
      <c r="B139" s="133" t="s">
        <v>141</v>
      </c>
      <c r="C139" s="133" t="s">
        <v>10245</v>
      </c>
      <c r="D139" s="100">
        <v>80</v>
      </c>
      <c r="E139" s="528">
        <v>80</v>
      </c>
      <c r="F139" s="1" t="str">
        <f t="shared" si="7"/>
        <v>Morariu Daniel</v>
      </c>
      <c r="G139" s="1"/>
      <c r="H139" s="1"/>
      <c r="I139" s="216"/>
      <c r="J139" s="216"/>
      <c r="K139" s="216"/>
      <c r="L139" s="216"/>
      <c r="M139" s="216"/>
      <c r="N139" s="216"/>
      <c r="O139" s="216"/>
      <c r="P139" s="216"/>
      <c r="Q139" s="216"/>
      <c r="R139" s="216"/>
      <c r="S139" s="216"/>
      <c r="T139" s="216"/>
      <c r="U139" s="216"/>
      <c r="V139" s="216"/>
      <c r="W139" s="216"/>
      <c r="X139" s="216"/>
      <c r="Y139" s="216"/>
      <c r="Z139" s="216"/>
    </row>
    <row r="140" spans="1:26" ht="15.75" customHeight="1">
      <c r="A140" s="134" t="s">
        <v>3249</v>
      </c>
      <c r="B140" s="133" t="s">
        <v>141</v>
      </c>
      <c r="C140" s="133" t="s">
        <v>10246</v>
      </c>
      <c r="D140" s="116">
        <v>20</v>
      </c>
      <c r="E140" s="528">
        <v>20</v>
      </c>
      <c r="F140" s="1" t="str">
        <f t="shared" si="7"/>
        <v>Morariu Daniel</v>
      </c>
      <c r="G140" s="1"/>
      <c r="H140" s="1"/>
      <c r="I140" s="216"/>
      <c r="J140" s="216"/>
      <c r="K140" s="216"/>
      <c r="L140" s="216"/>
      <c r="M140" s="216"/>
      <c r="N140" s="216"/>
      <c r="O140" s="216"/>
      <c r="P140" s="216"/>
      <c r="Q140" s="216"/>
      <c r="R140" s="216"/>
      <c r="S140" s="216"/>
      <c r="T140" s="216"/>
      <c r="U140" s="216"/>
      <c r="V140" s="216"/>
      <c r="W140" s="216"/>
      <c r="X140" s="216"/>
      <c r="Y140" s="216"/>
      <c r="Z140" s="216"/>
    </row>
    <row r="141" spans="1:26" ht="15.75" customHeight="1">
      <c r="A141" s="134" t="s">
        <v>3249</v>
      </c>
      <c r="B141" s="133" t="s">
        <v>141</v>
      </c>
      <c r="C141" s="133" t="s">
        <v>10247</v>
      </c>
      <c r="D141" s="116">
        <v>30</v>
      </c>
      <c r="E141" s="528">
        <v>30</v>
      </c>
      <c r="F141" s="1" t="str">
        <f t="shared" si="7"/>
        <v>Morariu Daniel</v>
      </c>
      <c r="G141" s="1"/>
      <c r="H141" s="1"/>
      <c r="I141" s="216"/>
      <c r="J141" s="216"/>
      <c r="K141" s="216"/>
      <c r="L141" s="216"/>
      <c r="M141" s="216"/>
      <c r="N141" s="216"/>
      <c r="O141" s="216"/>
      <c r="P141" s="216"/>
      <c r="Q141" s="216"/>
      <c r="R141" s="216"/>
      <c r="S141" s="216"/>
      <c r="T141" s="216"/>
      <c r="U141" s="216"/>
      <c r="V141" s="216"/>
      <c r="W141" s="216"/>
      <c r="X141" s="216"/>
      <c r="Y141" s="216"/>
      <c r="Z141" s="216"/>
    </row>
    <row r="142" spans="1:26" ht="15.75" customHeight="1">
      <c r="A142" s="134" t="s">
        <v>3249</v>
      </c>
      <c r="B142" s="133" t="s">
        <v>141</v>
      </c>
      <c r="C142" s="133" t="s">
        <v>10248</v>
      </c>
      <c r="D142" s="116">
        <v>30</v>
      </c>
      <c r="E142" s="528">
        <v>30</v>
      </c>
      <c r="F142" s="1" t="str">
        <f t="shared" si="7"/>
        <v>Morariu Daniel</v>
      </c>
      <c r="G142" s="1"/>
      <c r="H142" s="1"/>
      <c r="I142" s="216"/>
      <c r="J142" s="216"/>
      <c r="K142" s="216"/>
      <c r="L142" s="216"/>
      <c r="M142" s="216"/>
      <c r="N142" s="216"/>
      <c r="O142" s="216"/>
      <c r="P142" s="216"/>
      <c r="Q142" s="216"/>
      <c r="R142" s="216"/>
      <c r="S142" s="216"/>
      <c r="T142" s="216"/>
      <c r="U142" s="216"/>
      <c r="V142" s="216"/>
      <c r="W142" s="216"/>
      <c r="X142" s="216"/>
      <c r="Y142" s="216"/>
      <c r="Z142" s="216"/>
    </row>
    <row r="143" spans="1:26" ht="15.75" customHeight="1">
      <c r="A143" s="134" t="s">
        <v>3249</v>
      </c>
      <c r="B143" s="133" t="s">
        <v>141</v>
      </c>
      <c r="C143" s="133" t="s">
        <v>10211</v>
      </c>
      <c r="D143" s="116">
        <v>20</v>
      </c>
      <c r="E143" s="528">
        <v>20</v>
      </c>
      <c r="F143" s="1" t="str">
        <f t="shared" si="7"/>
        <v>Morariu Daniel</v>
      </c>
      <c r="G143" s="1"/>
      <c r="H143" s="1"/>
      <c r="I143" s="216"/>
      <c r="J143" s="216"/>
      <c r="K143" s="216"/>
      <c r="L143" s="216"/>
      <c r="M143" s="216"/>
      <c r="N143" s="216"/>
      <c r="O143" s="216"/>
      <c r="P143" s="216"/>
      <c r="Q143" s="216"/>
      <c r="R143" s="216"/>
      <c r="S143" s="216"/>
      <c r="T143" s="216"/>
      <c r="U143" s="216"/>
      <c r="V143" s="216"/>
      <c r="W143" s="216"/>
      <c r="X143" s="216"/>
      <c r="Y143" s="216"/>
      <c r="Z143" s="216"/>
    </row>
    <row r="144" spans="1:26" ht="15.75" customHeight="1">
      <c r="A144" s="134" t="s">
        <v>3249</v>
      </c>
      <c r="B144" s="133" t="s">
        <v>141</v>
      </c>
      <c r="C144" s="133" t="s">
        <v>10249</v>
      </c>
      <c r="D144" s="116">
        <v>30</v>
      </c>
      <c r="E144" s="528">
        <v>30</v>
      </c>
      <c r="F144" s="1" t="str">
        <f t="shared" si="7"/>
        <v>Morariu Daniel</v>
      </c>
      <c r="G144" s="1"/>
      <c r="H144" s="1"/>
      <c r="I144" s="216"/>
      <c r="J144" s="216"/>
      <c r="K144" s="216"/>
      <c r="L144" s="216"/>
      <c r="M144" s="216"/>
      <c r="N144" s="216"/>
      <c r="O144" s="216"/>
      <c r="P144" s="216"/>
      <c r="Q144" s="216"/>
      <c r="R144" s="216"/>
      <c r="S144" s="216"/>
      <c r="T144" s="216"/>
      <c r="U144" s="216"/>
      <c r="V144" s="216"/>
      <c r="W144" s="216"/>
      <c r="X144" s="216"/>
      <c r="Y144" s="216"/>
      <c r="Z144" s="216"/>
    </row>
    <row r="145" spans="1:26" ht="15.75" customHeight="1">
      <c r="A145" s="134" t="s">
        <v>3249</v>
      </c>
      <c r="B145" s="133" t="s">
        <v>141</v>
      </c>
      <c r="C145" s="133" t="s">
        <v>10250</v>
      </c>
      <c r="D145" s="116">
        <v>30</v>
      </c>
      <c r="E145" s="528">
        <v>30</v>
      </c>
      <c r="F145" s="1" t="str">
        <f t="shared" si="7"/>
        <v>Morariu Daniel</v>
      </c>
      <c r="G145" s="1"/>
      <c r="H145" s="1"/>
      <c r="I145" s="216"/>
      <c r="J145" s="216"/>
      <c r="K145" s="216"/>
      <c r="L145" s="216"/>
      <c r="M145" s="216"/>
      <c r="N145" s="216"/>
      <c r="O145" s="216"/>
      <c r="P145" s="216"/>
      <c r="Q145" s="216"/>
      <c r="R145" s="216"/>
      <c r="S145" s="216"/>
      <c r="T145" s="216"/>
      <c r="U145" s="216"/>
      <c r="V145" s="216"/>
      <c r="W145" s="216"/>
      <c r="X145" s="216"/>
      <c r="Y145" s="216"/>
      <c r="Z145" s="216"/>
    </row>
    <row r="146" spans="1:26" ht="15.75" customHeight="1">
      <c r="A146" s="134" t="s">
        <v>3249</v>
      </c>
      <c r="B146" s="133" t="s">
        <v>141</v>
      </c>
      <c r="C146" s="133" t="s">
        <v>10251</v>
      </c>
      <c r="D146" s="116">
        <v>30</v>
      </c>
      <c r="E146" s="528">
        <v>30</v>
      </c>
      <c r="F146" s="1" t="str">
        <f t="shared" si="7"/>
        <v>Morariu Daniel</v>
      </c>
      <c r="G146" s="1"/>
      <c r="H146" s="1"/>
      <c r="I146" s="216"/>
      <c r="J146" s="216"/>
      <c r="K146" s="216"/>
      <c r="L146" s="216"/>
      <c r="M146" s="216"/>
      <c r="N146" s="216"/>
      <c r="O146" s="216"/>
      <c r="P146" s="216"/>
      <c r="Q146" s="216"/>
      <c r="R146" s="216"/>
      <c r="S146" s="216"/>
      <c r="T146" s="216"/>
      <c r="U146" s="216"/>
      <c r="V146" s="216"/>
      <c r="W146" s="216"/>
      <c r="X146" s="216"/>
      <c r="Y146" s="216"/>
      <c r="Z146" s="216"/>
    </row>
    <row r="147" spans="1:26" ht="15.75" customHeight="1">
      <c r="A147" s="134" t="s">
        <v>1261</v>
      </c>
      <c r="B147" s="133" t="s">
        <v>141</v>
      </c>
      <c r="C147" s="133" t="s">
        <v>10220</v>
      </c>
      <c r="D147" s="100">
        <v>30</v>
      </c>
      <c r="E147" s="528">
        <v>30</v>
      </c>
      <c r="F147" s="1" t="str">
        <f t="shared" si="7"/>
        <v>Neghină Cătălina</v>
      </c>
      <c r="G147" s="1"/>
      <c r="H147" s="1"/>
      <c r="I147" s="216"/>
      <c r="J147" s="216"/>
      <c r="K147" s="216"/>
      <c r="L147" s="216"/>
      <c r="M147" s="216"/>
      <c r="N147" s="216"/>
      <c r="O147" s="216"/>
      <c r="P147" s="216"/>
      <c r="Q147" s="216"/>
      <c r="R147" s="216"/>
      <c r="S147" s="216"/>
      <c r="T147" s="216"/>
      <c r="U147" s="216"/>
      <c r="V147" s="216"/>
      <c r="W147" s="216"/>
      <c r="X147" s="216"/>
      <c r="Y147" s="216"/>
      <c r="Z147" s="216"/>
    </row>
    <row r="148" spans="1:26" ht="15.75" customHeight="1">
      <c r="A148" s="134" t="s">
        <v>1261</v>
      </c>
      <c r="B148" s="133" t="s">
        <v>141</v>
      </c>
      <c r="C148" s="133" t="s">
        <v>10252</v>
      </c>
      <c r="D148" s="116">
        <v>20</v>
      </c>
      <c r="E148" s="528">
        <v>20</v>
      </c>
      <c r="F148" s="1" t="str">
        <f t="shared" si="7"/>
        <v>Neghină Cătălina</v>
      </c>
      <c r="G148" s="1"/>
      <c r="H148" s="1"/>
      <c r="I148" s="216"/>
      <c r="J148" s="216"/>
      <c r="K148" s="216"/>
      <c r="L148" s="216"/>
      <c r="M148" s="216"/>
      <c r="N148" s="216"/>
      <c r="O148" s="216"/>
      <c r="P148" s="216"/>
      <c r="Q148" s="216"/>
      <c r="R148" s="216"/>
      <c r="S148" s="216"/>
      <c r="T148" s="216"/>
      <c r="U148" s="216"/>
      <c r="V148" s="216"/>
      <c r="W148" s="216"/>
      <c r="X148" s="216"/>
      <c r="Y148" s="216"/>
      <c r="Z148" s="216"/>
    </row>
    <row r="149" spans="1:26" ht="15.75" customHeight="1">
      <c r="A149" s="134" t="s">
        <v>1261</v>
      </c>
      <c r="B149" s="133" t="s">
        <v>141</v>
      </c>
      <c r="C149" s="133" t="s">
        <v>10253</v>
      </c>
      <c r="D149" s="100">
        <v>30</v>
      </c>
      <c r="E149" s="528">
        <v>30</v>
      </c>
      <c r="F149" s="1" t="str">
        <f t="shared" si="7"/>
        <v>Neghină Cătălina</v>
      </c>
      <c r="G149" s="1"/>
      <c r="H149" s="1"/>
      <c r="I149" s="216"/>
      <c r="J149" s="216"/>
      <c r="K149" s="216"/>
      <c r="L149" s="216"/>
      <c r="M149" s="216"/>
      <c r="N149" s="216"/>
      <c r="O149" s="216"/>
      <c r="P149" s="216"/>
      <c r="Q149" s="216"/>
      <c r="R149" s="216"/>
      <c r="S149" s="216"/>
      <c r="T149" s="216"/>
      <c r="U149" s="216"/>
      <c r="V149" s="216"/>
      <c r="W149" s="216"/>
      <c r="X149" s="216"/>
      <c r="Y149" s="216"/>
      <c r="Z149" s="216"/>
    </row>
    <row r="150" spans="1:26" ht="15.75" customHeight="1">
      <c r="A150" s="134" t="s">
        <v>1261</v>
      </c>
      <c r="B150" s="133" t="s">
        <v>141</v>
      </c>
      <c r="C150" s="133" t="s">
        <v>10254</v>
      </c>
      <c r="D150" s="116">
        <v>30</v>
      </c>
      <c r="E150" s="528">
        <v>20</v>
      </c>
      <c r="F150" s="1" t="str">
        <f t="shared" si="7"/>
        <v>Neghină Cătălina</v>
      </c>
      <c r="G150" s="1"/>
      <c r="H150" s="1"/>
      <c r="I150" s="216"/>
      <c r="J150" s="216"/>
      <c r="K150" s="216"/>
      <c r="L150" s="216"/>
      <c r="M150" s="216"/>
      <c r="N150" s="216"/>
      <c r="O150" s="216"/>
      <c r="P150" s="216"/>
      <c r="Q150" s="216"/>
      <c r="R150" s="216"/>
      <c r="S150" s="216"/>
      <c r="T150" s="216"/>
      <c r="U150" s="216"/>
      <c r="V150" s="216"/>
      <c r="W150" s="216"/>
      <c r="X150" s="216"/>
      <c r="Y150" s="216"/>
      <c r="Z150" s="216"/>
    </row>
    <row r="151" spans="1:26" ht="15.75" customHeight="1">
      <c r="A151" s="134" t="s">
        <v>1272</v>
      </c>
      <c r="B151" s="133" t="s">
        <v>141</v>
      </c>
      <c r="C151" s="133" t="s">
        <v>10222</v>
      </c>
      <c r="D151" s="116">
        <v>20</v>
      </c>
      <c r="E151" s="528">
        <v>20</v>
      </c>
      <c r="F151" s="1" t="str">
        <f t="shared" si="7"/>
        <v>Zamfirescu Bălă-Constantin</v>
      </c>
      <c r="G151" s="1"/>
      <c r="H151" s="1"/>
      <c r="I151" s="216"/>
      <c r="J151" s="216"/>
      <c r="K151" s="216"/>
      <c r="L151" s="216"/>
      <c r="M151" s="216"/>
      <c r="N151" s="216"/>
      <c r="O151" s="216"/>
      <c r="P151" s="216"/>
      <c r="Q151" s="216"/>
      <c r="R151" s="216"/>
      <c r="S151" s="216"/>
      <c r="T151" s="216"/>
      <c r="U151" s="216"/>
      <c r="V151" s="216"/>
      <c r="W151" s="216"/>
      <c r="X151" s="216"/>
      <c r="Y151" s="216"/>
      <c r="Z151" s="216"/>
    </row>
    <row r="152" spans="1:26" ht="15.75" customHeight="1">
      <c r="A152" s="134" t="s">
        <v>1272</v>
      </c>
      <c r="B152" s="133" t="s">
        <v>141</v>
      </c>
      <c r="C152" s="133" t="s">
        <v>10255</v>
      </c>
      <c r="D152" s="116">
        <v>20</v>
      </c>
      <c r="E152" s="528">
        <v>20</v>
      </c>
      <c r="F152" s="1" t="str">
        <f t="shared" si="7"/>
        <v>Zamfirescu Bălă-Constantin</v>
      </c>
      <c r="G152" s="1"/>
      <c r="H152" s="1"/>
      <c r="I152" s="216"/>
      <c r="J152" s="216"/>
      <c r="K152" s="216"/>
      <c r="L152" s="216"/>
      <c r="M152" s="216"/>
      <c r="N152" s="216"/>
      <c r="O152" s="216"/>
      <c r="P152" s="216"/>
      <c r="Q152" s="216"/>
      <c r="R152" s="216"/>
      <c r="S152" s="216"/>
      <c r="T152" s="216"/>
      <c r="U152" s="216"/>
      <c r="V152" s="216"/>
      <c r="W152" s="216"/>
      <c r="X152" s="216"/>
      <c r="Y152" s="216"/>
      <c r="Z152" s="216"/>
    </row>
    <row r="153" spans="1:26" ht="15.75" customHeight="1">
      <c r="A153" s="134" t="s">
        <v>1272</v>
      </c>
      <c r="B153" s="133" t="s">
        <v>141</v>
      </c>
      <c r="C153" s="133" t="s">
        <v>10154</v>
      </c>
      <c r="D153" s="116">
        <v>30</v>
      </c>
      <c r="E153" s="528">
        <v>30</v>
      </c>
      <c r="F153" s="1" t="str">
        <f t="shared" si="7"/>
        <v>Zamfirescu Bălă-Constantin</v>
      </c>
      <c r="G153" s="1"/>
      <c r="H153" s="1"/>
      <c r="I153" s="216"/>
      <c r="J153" s="216"/>
      <c r="K153" s="216"/>
      <c r="L153" s="216"/>
      <c r="M153" s="216"/>
      <c r="N153" s="216"/>
      <c r="O153" s="216"/>
      <c r="P153" s="216"/>
      <c r="Q153" s="216"/>
      <c r="R153" s="216"/>
      <c r="S153" s="216"/>
      <c r="T153" s="216"/>
      <c r="U153" s="216"/>
      <c r="V153" s="216"/>
      <c r="W153" s="216"/>
      <c r="X153" s="216"/>
      <c r="Y153" s="216"/>
      <c r="Z153" s="216"/>
    </row>
    <row r="154" spans="1:26" ht="15.75" customHeight="1">
      <c r="A154" s="134" t="s">
        <v>1272</v>
      </c>
      <c r="B154" s="133" t="s">
        <v>141</v>
      </c>
      <c r="C154" s="133" t="s">
        <v>10256</v>
      </c>
      <c r="D154" s="116">
        <v>30</v>
      </c>
      <c r="E154" s="528">
        <v>30</v>
      </c>
      <c r="F154" s="1" t="str">
        <f t="shared" si="7"/>
        <v>Zamfirescu Bălă-Constantin</v>
      </c>
      <c r="G154" s="1"/>
      <c r="H154" s="1"/>
      <c r="I154" s="216"/>
      <c r="J154" s="216"/>
      <c r="K154" s="216"/>
      <c r="L154" s="216"/>
      <c r="M154" s="216"/>
      <c r="N154" s="216"/>
      <c r="O154" s="216"/>
      <c r="P154" s="216"/>
      <c r="Q154" s="216"/>
      <c r="R154" s="216"/>
      <c r="S154" s="216"/>
      <c r="T154" s="216"/>
      <c r="U154" s="216"/>
      <c r="V154" s="216"/>
      <c r="W154" s="216"/>
      <c r="X154" s="216"/>
      <c r="Y154" s="216"/>
      <c r="Z154" s="216"/>
    </row>
    <row r="155" spans="1:26" ht="15.75" customHeight="1">
      <c r="A155" s="134" t="s">
        <v>1272</v>
      </c>
      <c r="B155" s="133" t="s">
        <v>141</v>
      </c>
      <c r="C155" s="133" t="s">
        <v>10257</v>
      </c>
      <c r="D155" s="116">
        <v>30</v>
      </c>
      <c r="E155" s="528">
        <v>30</v>
      </c>
      <c r="F155" s="1" t="str">
        <f t="shared" si="7"/>
        <v>Zamfirescu Bălă-Constantin</v>
      </c>
      <c r="G155" s="1"/>
      <c r="H155" s="1"/>
      <c r="I155" s="216"/>
      <c r="J155" s="216"/>
      <c r="K155" s="216"/>
      <c r="L155" s="216"/>
      <c r="M155" s="216"/>
      <c r="N155" s="216"/>
      <c r="O155" s="216"/>
      <c r="P155" s="216"/>
      <c r="Q155" s="216"/>
      <c r="R155" s="216"/>
      <c r="S155" s="216"/>
      <c r="T155" s="216"/>
      <c r="U155" s="216"/>
      <c r="V155" s="216"/>
      <c r="W155" s="216"/>
      <c r="X155" s="216"/>
      <c r="Y155" s="216"/>
      <c r="Z155" s="216"/>
    </row>
    <row r="156" spans="1:26" ht="15.75" customHeight="1">
      <c r="A156" s="134" t="s">
        <v>1273</v>
      </c>
      <c r="B156" s="133" t="s">
        <v>141</v>
      </c>
      <c r="C156" s="133" t="s">
        <v>10258</v>
      </c>
      <c r="D156" s="100">
        <v>30</v>
      </c>
      <c r="E156" s="528">
        <v>30</v>
      </c>
      <c r="F156" s="1" t="str">
        <f t="shared" si="7"/>
        <v>Mihai Neghina</v>
      </c>
      <c r="G156" s="1"/>
      <c r="H156" s="1"/>
      <c r="I156" s="216"/>
      <c r="J156" s="216"/>
      <c r="K156" s="216"/>
      <c r="L156" s="216"/>
      <c r="M156" s="216"/>
      <c r="N156" s="216"/>
      <c r="O156" s="216"/>
      <c r="P156" s="216"/>
      <c r="Q156" s="216"/>
      <c r="R156" s="216"/>
      <c r="S156" s="216"/>
      <c r="T156" s="216"/>
      <c r="U156" s="216"/>
      <c r="V156" s="216"/>
      <c r="W156" s="216"/>
      <c r="X156" s="216"/>
      <c r="Y156" s="216"/>
      <c r="Z156" s="216"/>
    </row>
    <row r="157" spans="1:26" ht="15.75" customHeight="1">
      <c r="A157" s="134" t="s">
        <v>1273</v>
      </c>
      <c r="B157" s="133" t="s">
        <v>141</v>
      </c>
      <c r="C157" s="133" t="s">
        <v>10154</v>
      </c>
      <c r="D157" s="116">
        <v>30</v>
      </c>
      <c r="E157" s="528">
        <v>30</v>
      </c>
      <c r="F157" s="1" t="str">
        <f t="shared" si="7"/>
        <v>Mihai Neghina</v>
      </c>
      <c r="G157" s="1"/>
      <c r="H157" s="1"/>
      <c r="I157" s="216"/>
      <c r="J157" s="216"/>
      <c r="K157" s="216"/>
      <c r="L157" s="216"/>
      <c r="M157" s="216"/>
      <c r="N157" s="216"/>
      <c r="O157" s="216"/>
      <c r="P157" s="216"/>
      <c r="Q157" s="216"/>
      <c r="R157" s="216"/>
      <c r="S157" s="216"/>
      <c r="T157" s="216"/>
      <c r="U157" s="216"/>
      <c r="V157" s="216"/>
      <c r="W157" s="216"/>
      <c r="X157" s="216"/>
      <c r="Y157" s="216"/>
      <c r="Z157" s="216"/>
    </row>
    <row r="158" spans="1:26" ht="15.75" customHeight="1">
      <c r="A158" s="690" t="s">
        <v>3415</v>
      </c>
      <c r="B158" s="1199" t="s">
        <v>141</v>
      </c>
      <c r="C158" s="1199" t="s">
        <v>10154</v>
      </c>
      <c r="D158" s="1200">
        <v>30</v>
      </c>
      <c r="E158" s="1201">
        <v>30</v>
      </c>
      <c r="F158" s="1" t="str">
        <f t="shared" si="7"/>
        <v>Panu Mihai</v>
      </c>
      <c r="G158" s="1"/>
      <c r="H158" s="1"/>
      <c r="I158" s="216"/>
      <c r="J158" s="216"/>
      <c r="K158" s="216"/>
      <c r="L158" s="216"/>
      <c r="M158" s="216"/>
      <c r="N158" s="216"/>
      <c r="O158" s="216"/>
      <c r="P158" s="216"/>
      <c r="Q158" s="216"/>
      <c r="R158" s="216"/>
      <c r="S158" s="216"/>
      <c r="T158" s="216"/>
      <c r="U158" s="216"/>
      <c r="V158" s="216"/>
      <c r="W158" s="216"/>
      <c r="X158" s="216"/>
      <c r="Y158" s="216"/>
      <c r="Z158" s="216"/>
    </row>
    <row r="159" spans="1:26" ht="15.75" customHeight="1">
      <c r="A159" s="134" t="s">
        <v>3417</v>
      </c>
      <c r="B159" s="133" t="s">
        <v>141</v>
      </c>
      <c r="C159" s="133" t="s">
        <v>10211</v>
      </c>
      <c r="D159" s="116">
        <v>20</v>
      </c>
      <c r="E159" s="528">
        <v>20</v>
      </c>
      <c r="F159" s="1" t="str">
        <f t="shared" si="7"/>
        <v>Pitic Antoniu</v>
      </c>
      <c r="G159" s="1"/>
      <c r="H159" s="1"/>
      <c r="I159" s="216"/>
      <c r="J159" s="216"/>
      <c r="K159" s="216"/>
      <c r="L159" s="216"/>
      <c r="M159" s="216"/>
      <c r="N159" s="216"/>
      <c r="O159" s="216"/>
      <c r="P159" s="216"/>
      <c r="Q159" s="216"/>
      <c r="R159" s="216"/>
      <c r="S159" s="216"/>
      <c r="T159" s="216"/>
      <c r="U159" s="216"/>
      <c r="V159" s="216"/>
      <c r="W159" s="216"/>
      <c r="X159" s="216"/>
      <c r="Y159" s="216"/>
      <c r="Z159" s="216"/>
    </row>
    <row r="160" spans="1:26" ht="15.75" customHeight="1">
      <c r="A160" s="134" t="s">
        <v>3417</v>
      </c>
      <c r="B160" s="133" t="s">
        <v>141</v>
      </c>
      <c r="C160" s="133" t="s">
        <v>10222</v>
      </c>
      <c r="D160" s="116">
        <v>20</v>
      </c>
      <c r="E160" s="528">
        <v>20</v>
      </c>
      <c r="F160" s="1" t="str">
        <f t="shared" si="7"/>
        <v>Pitic Antoniu</v>
      </c>
      <c r="G160" s="1"/>
      <c r="H160" s="1"/>
      <c r="I160" s="216"/>
      <c r="J160" s="216"/>
      <c r="K160" s="216"/>
      <c r="L160" s="216"/>
      <c r="M160" s="216"/>
      <c r="N160" s="216"/>
      <c r="O160" s="216"/>
      <c r="P160" s="216"/>
      <c r="Q160" s="216"/>
      <c r="R160" s="216"/>
      <c r="S160" s="216"/>
      <c r="T160" s="216"/>
      <c r="U160" s="216"/>
      <c r="V160" s="216"/>
      <c r="W160" s="216"/>
      <c r="X160" s="216"/>
      <c r="Y160" s="216"/>
      <c r="Z160" s="216"/>
    </row>
    <row r="161" spans="1:26" ht="15.75" customHeight="1">
      <c r="A161" s="134" t="s">
        <v>3417</v>
      </c>
      <c r="B161" s="133" t="s">
        <v>141</v>
      </c>
      <c r="C161" s="133" t="s">
        <v>10154</v>
      </c>
      <c r="D161" s="116">
        <v>30</v>
      </c>
      <c r="E161" s="528">
        <v>30</v>
      </c>
      <c r="F161" s="1" t="str">
        <f t="shared" si="7"/>
        <v>Pitic Antoniu</v>
      </c>
      <c r="G161" s="1"/>
      <c r="H161" s="1"/>
      <c r="I161" s="216"/>
      <c r="J161" s="216"/>
      <c r="K161" s="216"/>
      <c r="L161" s="216"/>
      <c r="M161" s="216"/>
      <c r="N161" s="216"/>
      <c r="O161" s="216"/>
      <c r="P161" s="216"/>
      <c r="Q161" s="216"/>
      <c r="R161" s="216"/>
      <c r="S161" s="216"/>
      <c r="T161" s="216"/>
      <c r="U161" s="216"/>
      <c r="V161" s="216"/>
      <c r="W161" s="216"/>
      <c r="X161" s="216"/>
      <c r="Y161" s="216"/>
      <c r="Z161" s="216"/>
    </row>
    <row r="162" spans="1:26" ht="15.75" customHeight="1">
      <c r="A162" s="134" t="s">
        <v>906</v>
      </c>
      <c r="B162" s="133" t="s">
        <v>141</v>
      </c>
      <c r="C162" s="133" t="s">
        <v>10151</v>
      </c>
      <c r="D162" s="116">
        <v>60</v>
      </c>
      <c r="E162" s="528">
        <f t="shared" ref="E162:E168" si="8">D162</f>
        <v>60</v>
      </c>
      <c r="F162" s="1" t="str">
        <f t="shared" si="7"/>
        <v>Vintan Maria</v>
      </c>
      <c r="G162" s="1"/>
      <c r="H162" s="1"/>
      <c r="I162" s="216"/>
      <c r="J162" s="216"/>
      <c r="K162" s="216"/>
      <c r="L162" s="216"/>
      <c r="M162" s="216"/>
      <c r="N162" s="216"/>
      <c r="O162" s="216"/>
      <c r="P162" s="216"/>
      <c r="Q162" s="216"/>
      <c r="R162" s="216"/>
      <c r="S162" s="216"/>
      <c r="T162" s="216"/>
      <c r="U162" s="216"/>
      <c r="V162" s="216"/>
      <c r="W162" s="216"/>
      <c r="X162" s="216"/>
      <c r="Y162" s="216"/>
      <c r="Z162" s="216"/>
    </row>
    <row r="163" spans="1:26" ht="15.75" customHeight="1">
      <c r="A163" s="134" t="s">
        <v>906</v>
      </c>
      <c r="B163" s="133" t="s">
        <v>141</v>
      </c>
      <c r="C163" s="133" t="s">
        <v>10133</v>
      </c>
      <c r="D163" s="116">
        <v>80</v>
      </c>
      <c r="E163" s="528">
        <f t="shared" si="8"/>
        <v>80</v>
      </c>
      <c r="F163" s="1" t="str">
        <f t="shared" si="7"/>
        <v>Vintan Maria</v>
      </c>
      <c r="G163" s="1"/>
      <c r="H163" s="1"/>
      <c r="I163" s="216"/>
      <c r="J163" s="216"/>
      <c r="K163" s="216"/>
      <c r="L163" s="216"/>
      <c r="M163" s="216"/>
      <c r="N163" s="216"/>
      <c r="O163" s="216"/>
      <c r="P163" s="216"/>
      <c r="Q163" s="216"/>
      <c r="R163" s="216"/>
      <c r="S163" s="216"/>
      <c r="T163" s="216"/>
      <c r="U163" s="216"/>
      <c r="V163" s="216"/>
      <c r="W163" s="216"/>
      <c r="X163" s="216"/>
      <c r="Y163" s="216"/>
      <c r="Z163" s="216"/>
    </row>
    <row r="164" spans="1:26" ht="15.75" customHeight="1">
      <c r="A164" s="134" t="s">
        <v>906</v>
      </c>
      <c r="B164" s="133" t="s">
        <v>141</v>
      </c>
      <c r="C164" s="1151" t="s">
        <v>10259</v>
      </c>
      <c r="D164" s="286">
        <v>40</v>
      </c>
      <c r="E164" s="942">
        <f t="shared" si="8"/>
        <v>40</v>
      </c>
      <c r="F164" s="1" t="str">
        <f t="shared" si="7"/>
        <v>Vintan Maria</v>
      </c>
      <c r="G164" s="1"/>
      <c r="H164" s="1"/>
      <c r="I164" s="216"/>
      <c r="J164" s="216"/>
      <c r="K164" s="216"/>
      <c r="L164" s="216"/>
      <c r="M164" s="216"/>
      <c r="N164" s="216"/>
      <c r="O164" s="216"/>
      <c r="P164" s="216"/>
      <c r="Q164" s="216"/>
      <c r="R164" s="216"/>
      <c r="S164" s="216"/>
      <c r="T164" s="216"/>
      <c r="U164" s="216"/>
      <c r="V164" s="216"/>
      <c r="W164" s="216"/>
      <c r="X164" s="216"/>
      <c r="Y164" s="216"/>
      <c r="Z164" s="216"/>
    </row>
    <row r="165" spans="1:26" ht="15.75" customHeight="1">
      <c r="A165" s="134" t="s">
        <v>906</v>
      </c>
      <c r="B165" s="133" t="s">
        <v>141</v>
      </c>
      <c r="C165" s="133" t="s">
        <v>10260</v>
      </c>
      <c r="D165" s="116">
        <v>40</v>
      </c>
      <c r="E165" s="528">
        <f t="shared" si="8"/>
        <v>40</v>
      </c>
      <c r="F165" s="1" t="str">
        <f t="shared" si="7"/>
        <v>Vintan Maria</v>
      </c>
      <c r="G165" s="1"/>
      <c r="H165" s="1"/>
      <c r="I165" s="216"/>
      <c r="J165" s="216"/>
      <c r="K165" s="216"/>
      <c r="L165" s="216"/>
      <c r="M165" s="216"/>
      <c r="N165" s="216"/>
      <c r="O165" s="216"/>
      <c r="P165" s="216"/>
      <c r="Q165" s="216"/>
      <c r="R165" s="216"/>
      <c r="S165" s="216"/>
      <c r="T165" s="216"/>
      <c r="U165" s="216"/>
      <c r="V165" s="216"/>
      <c r="W165" s="216"/>
      <c r="X165" s="216"/>
      <c r="Y165" s="216"/>
      <c r="Z165" s="216"/>
    </row>
    <row r="166" spans="1:26" ht="15.75" customHeight="1">
      <c r="A166" s="134" t="s">
        <v>906</v>
      </c>
      <c r="B166" s="133" t="s">
        <v>141</v>
      </c>
      <c r="C166" s="133" t="s">
        <v>10261</v>
      </c>
      <c r="D166" s="116">
        <v>30</v>
      </c>
      <c r="E166" s="528">
        <f t="shared" si="8"/>
        <v>30</v>
      </c>
      <c r="F166" s="1" t="str">
        <f t="shared" si="7"/>
        <v>Vintan Maria</v>
      </c>
      <c r="G166" s="1"/>
      <c r="H166" s="1"/>
      <c r="I166" s="216"/>
      <c r="J166" s="216"/>
      <c r="K166" s="216"/>
      <c r="L166" s="216"/>
      <c r="M166" s="216"/>
      <c r="N166" s="216"/>
      <c r="O166" s="216"/>
      <c r="P166" s="216"/>
      <c r="Q166" s="216"/>
      <c r="R166" s="216"/>
      <c r="S166" s="216"/>
      <c r="T166" s="216"/>
      <c r="U166" s="216"/>
      <c r="V166" s="216"/>
      <c r="W166" s="216"/>
      <c r="X166" s="216"/>
      <c r="Y166" s="216"/>
      <c r="Z166" s="216"/>
    </row>
    <row r="167" spans="1:26" ht="15.75" customHeight="1">
      <c r="A167" s="134" t="s">
        <v>906</v>
      </c>
      <c r="B167" s="133" t="s">
        <v>141</v>
      </c>
      <c r="C167" s="133" t="s">
        <v>10262</v>
      </c>
      <c r="D167" s="116">
        <v>30</v>
      </c>
      <c r="E167" s="528">
        <f t="shared" si="8"/>
        <v>30</v>
      </c>
      <c r="F167" s="1" t="str">
        <f t="shared" si="7"/>
        <v>Vintan Maria</v>
      </c>
      <c r="G167" s="1"/>
      <c r="H167" s="1"/>
      <c r="I167" s="216"/>
      <c r="J167" s="216"/>
      <c r="K167" s="216"/>
      <c r="L167" s="216"/>
      <c r="M167" s="216"/>
      <c r="N167" s="216"/>
      <c r="O167" s="216"/>
      <c r="P167" s="216"/>
      <c r="Q167" s="216"/>
      <c r="R167" s="216"/>
      <c r="S167" s="216"/>
      <c r="T167" s="216"/>
      <c r="U167" s="216"/>
      <c r="V167" s="216"/>
      <c r="W167" s="216"/>
      <c r="X167" s="216"/>
      <c r="Y167" s="216"/>
      <c r="Z167" s="216"/>
    </row>
    <row r="168" spans="1:26" ht="15.75" customHeight="1">
      <c r="A168" s="134" t="s">
        <v>906</v>
      </c>
      <c r="B168" s="133" t="s">
        <v>141</v>
      </c>
      <c r="C168" s="916" t="s">
        <v>10154</v>
      </c>
      <c r="D168" s="116">
        <v>30</v>
      </c>
      <c r="E168" s="528">
        <f t="shared" si="8"/>
        <v>30</v>
      </c>
      <c r="F168" s="1" t="str">
        <f t="shared" si="7"/>
        <v>Vintan Maria</v>
      </c>
      <c r="G168" s="1"/>
      <c r="H168" s="1"/>
      <c r="I168" s="216"/>
      <c r="J168" s="216"/>
      <c r="K168" s="216"/>
      <c r="L168" s="216"/>
      <c r="M168" s="216"/>
      <c r="N168" s="216"/>
      <c r="O168" s="216"/>
      <c r="P168" s="216"/>
      <c r="Q168" s="216"/>
      <c r="R168" s="216"/>
      <c r="S168" s="216"/>
      <c r="T168" s="216"/>
      <c r="U168" s="216"/>
      <c r="V168" s="216"/>
      <c r="W168" s="216"/>
      <c r="X168" s="216"/>
      <c r="Y168" s="216"/>
      <c r="Z168" s="216"/>
    </row>
    <row r="169" spans="1:26" ht="15.75" customHeight="1">
      <c r="A169" s="134" t="s">
        <v>906</v>
      </c>
      <c r="B169" s="133" t="s">
        <v>141</v>
      </c>
      <c r="C169" s="916" t="s">
        <v>10263</v>
      </c>
      <c r="D169" s="116">
        <v>30</v>
      </c>
      <c r="E169" s="528">
        <v>30</v>
      </c>
      <c r="F169" s="1" t="str">
        <f t="shared" si="7"/>
        <v>Vintan Maria</v>
      </c>
      <c r="G169" s="1"/>
      <c r="H169" s="1"/>
      <c r="I169" s="216"/>
      <c r="J169" s="216"/>
      <c r="K169" s="216"/>
      <c r="L169" s="216"/>
      <c r="M169" s="216"/>
      <c r="N169" s="216"/>
      <c r="O169" s="216"/>
      <c r="P169" s="216"/>
      <c r="Q169" s="216"/>
      <c r="R169" s="216"/>
      <c r="S169" s="216"/>
      <c r="T169" s="216"/>
      <c r="U169" s="216"/>
      <c r="V169" s="216"/>
      <c r="W169" s="216"/>
      <c r="X169" s="216"/>
      <c r="Y169" s="216"/>
      <c r="Z169" s="216"/>
    </row>
    <row r="170" spans="1:26" ht="15.75" customHeight="1">
      <c r="A170" s="134" t="s">
        <v>906</v>
      </c>
      <c r="B170" s="133" t="s">
        <v>141</v>
      </c>
      <c r="C170" s="916" t="s">
        <v>10203</v>
      </c>
      <c r="D170" s="116">
        <v>20</v>
      </c>
      <c r="E170" s="528">
        <f t="shared" ref="E170:E177" si="9">D170</f>
        <v>20</v>
      </c>
      <c r="F170" s="1" t="str">
        <f t="shared" si="7"/>
        <v>Vintan Maria</v>
      </c>
      <c r="G170" s="1"/>
      <c r="H170" s="1"/>
      <c r="I170" s="216"/>
      <c r="J170" s="216"/>
      <c r="K170" s="216"/>
      <c r="L170" s="216"/>
      <c r="M170" s="216"/>
      <c r="N170" s="216"/>
      <c r="O170" s="216"/>
      <c r="P170" s="216"/>
      <c r="Q170" s="216"/>
      <c r="R170" s="216"/>
      <c r="S170" s="216"/>
      <c r="T170" s="216"/>
      <c r="U170" s="216"/>
      <c r="V170" s="216"/>
      <c r="W170" s="216"/>
      <c r="X170" s="216"/>
      <c r="Y170" s="216"/>
      <c r="Z170" s="216"/>
    </row>
    <row r="171" spans="1:26" ht="15.75" customHeight="1">
      <c r="A171" s="134" t="s">
        <v>906</v>
      </c>
      <c r="B171" s="133" t="s">
        <v>141</v>
      </c>
      <c r="C171" s="916" t="s">
        <v>10264</v>
      </c>
      <c r="D171" s="116">
        <v>20</v>
      </c>
      <c r="E171" s="528">
        <f t="shared" si="9"/>
        <v>20</v>
      </c>
      <c r="F171" s="1" t="str">
        <f t="shared" si="7"/>
        <v>Vintan Maria</v>
      </c>
      <c r="G171" s="1"/>
      <c r="H171" s="1"/>
      <c r="I171" s="216"/>
      <c r="J171" s="216"/>
      <c r="K171" s="216"/>
      <c r="L171" s="216"/>
      <c r="M171" s="216"/>
      <c r="N171" s="216"/>
      <c r="O171" s="216"/>
      <c r="P171" s="216"/>
      <c r="Q171" s="216"/>
      <c r="R171" s="216"/>
      <c r="S171" s="216"/>
      <c r="T171" s="216"/>
      <c r="U171" s="216"/>
      <c r="V171" s="216"/>
      <c r="W171" s="216"/>
      <c r="X171" s="216"/>
      <c r="Y171" s="216"/>
      <c r="Z171" s="216"/>
    </row>
    <row r="172" spans="1:26" ht="15.75" customHeight="1">
      <c r="A172" s="134" t="s">
        <v>906</v>
      </c>
      <c r="B172" s="133" t="s">
        <v>141</v>
      </c>
      <c r="C172" s="127" t="s">
        <v>10265</v>
      </c>
      <c r="D172" s="116">
        <v>20</v>
      </c>
      <c r="E172" s="528">
        <f t="shared" si="9"/>
        <v>20</v>
      </c>
      <c r="F172" s="1" t="str">
        <f t="shared" si="7"/>
        <v>Vintan Maria</v>
      </c>
      <c r="G172" s="1"/>
      <c r="H172" s="1"/>
      <c r="I172" s="216"/>
      <c r="J172" s="216"/>
      <c r="K172" s="216"/>
      <c r="L172" s="216"/>
      <c r="M172" s="216"/>
      <c r="N172" s="216"/>
      <c r="O172" s="216"/>
      <c r="P172" s="216"/>
      <c r="Q172" s="216"/>
      <c r="R172" s="216"/>
      <c r="S172" s="216"/>
      <c r="T172" s="216"/>
      <c r="U172" s="216"/>
      <c r="V172" s="216"/>
      <c r="W172" s="216"/>
      <c r="X172" s="216"/>
      <c r="Y172" s="216"/>
      <c r="Z172" s="216"/>
    </row>
    <row r="173" spans="1:26" ht="15.75" customHeight="1">
      <c r="A173" s="134" t="s">
        <v>906</v>
      </c>
      <c r="B173" s="133" t="s">
        <v>141</v>
      </c>
      <c r="C173" s="133" t="s">
        <v>10266</v>
      </c>
      <c r="D173" s="116">
        <v>20</v>
      </c>
      <c r="E173" s="528">
        <f t="shared" si="9"/>
        <v>20</v>
      </c>
      <c r="F173" s="1" t="str">
        <f t="shared" si="7"/>
        <v>Vintan Maria</v>
      </c>
      <c r="G173" s="1"/>
      <c r="H173" s="1"/>
      <c r="I173" s="216"/>
      <c r="J173" s="216"/>
      <c r="K173" s="216"/>
      <c r="L173" s="216"/>
      <c r="M173" s="216"/>
      <c r="N173" s="216"/>
      <c r="O173" s="216"/>
      <c r="P173" s="216"/>
      <c r="Q173" s="216"/>
      <c r="R173" s="216"/>
      <c r="S173" s="216"/>
      <c r="T173" s="216"/>
      <c r="U173" s="216"/>
      <c r="V173" s="216"/>
      <c r="W173" s="216"/>
      <c r="X173" s="216"/>
      <c r="Y173" s="216"/>
      <c r="Z173" s="216"/>
    </row>
    <row r="174" spans="1:26" ht="15.75" customHeight="1">
      <c r="A174" s="134" t="s">
        <v>906</v>
      </c>
      <c r="B174" s="133" t="s">
        <v>141</v>
      </c>
      <c r="C174" s="133" t="s">
        <v>10267</v>
      </c>
      <c r="D174" s="116">
        <v>20</v>
      </c>
      <c r="E174" s="528">
        <f t="shared" si="9"/>
        <v>20</v>
      </c>
      <c r="F174" s="1" t="str">
        <f t="shared" si="7"/>
        <v>Vintan Maria</v>
      </c>
      <c r="G174" s="1"/>
      <c r="H174" s="1"/>
      <c r="I174" s="216"/>
      <c r="J174" s="216"/>
      <c r="K174" s="216"/>
      <c r="L174" s="216"/>
      <c r="M174" s="216"/>
      <c r="N174" s="216"/>
      <c r="O174" s="216"/>
      <c r="P174" s="216"/>
      <c r="Q174" s="216"/>
      <c r="R174" s="216"/>
      <c r="S174" s="216"/>
      <c r="T174" s="216"/>
      <c r="U174" s="216"/>
      <c r="V174" s="216"/>
      <c r="W174" s="216"/>
      <c r="X174" s="216"/>
      <c r="Y174" s="216"/>
      <c r="Z174" s="216"/>
    </row>
    <row r="175" spans="1:26" ht="15.75" customHeight="1">
      <c r="A175" s="134" t="s">
        <v>906</v>
      </c>
      <c r="B175" s="133" t="s">
        <v>141</v>
      </c>
      <c r="C175" s="133" t="s">
        <v>10204</v>
      </c>
      <c r="D175" s="116">
        <v>20</v>
      </c>
      <c r="E175" s="528">
        <f t="shared" si="9"/>
        <v>20</v>
      </c>
      <c r="F175" s="1" t="str">
        <f t="shared" si="7"/>
        <v>Vintan Maria</v>
      </c>
      <c r="G175" s="1"/>
      <c r="H175" s="1"/>
      <c r="I175" s="216"/>
      <c r="J175" s="216"/>
      <c r="K175" s="216"/>
      <c r="L175" s="216"/>
      <c r="M175" s="216"/>
      <c r="N175" s="216"/>
      <c r="O175" s="216"/>
      <c r="P175" s="216"/>
      <c r="Q175" s="216"/>
      <c r="R175" s="216"/>
      <c r="S175" s="216"/>
      <c r="T175" s="216"/>
      <c r="U175" s="216"/>
      <c r="V175" s="216"/>
      <c r="W175" s="216"/>
      <c r="X175" s="216"/>
      <c r="Y175" s="216"/>
      <c r="Z175" s="216"/>
    </row>
    <row r="176" spans="1:26" ht="15.75" customHeight="1">
      <c r="A176" s="134" t="s">
        <v>906</v>
      </c>
      <c r="B176" s="133" t="s">
        <v>141</v>
      </c>
      <c r="C176" s="133" t="s">
        <v>10268</v>
      </c>
      <c r="D176" s="116">
        <v>20</v>
      </c>
      <c r="E176" s="528">
        <f t="shared" si="9"/>
        <v>20</v>
      </c>
      <c r="F176" s="1" t="str">
        <f t="shared" si="7"/>
        <v>Vintan Maria</v>
      </c>
      <c r="G176" s="1"/>
      <c r="H176" s="1"/>
      <c r="I176" s="216"/>
      <c r="J176" s="216"/>
      <c r="K176" s="216"/>
      <c r="L176" s="216"/>
      <c r="M176" s="216"/>
      <c r="N176" s="216"/>
      <c r="O176" s="216"/>
      <c r="P176" s="216"/>
      <c r="Q176" s="216"/>
      <c r="R176" s="216"/>
      <c r="S176" s="216"/>
      <c r="T176" s="216"/>
      <c r="U176" s="216"/>
      <c r="V176" s="216"/>
      <c r="W176" s="216"/>
      <c r="X176" s="216"/>
      <c r="Y176" s="216"/>
      <c r="Z176" s="216"/>
    </row>
    <row r="177" spans="1:26" ht="15.75" customHeight="1">
      <c r="A177" s="134" t="s">
        <v>906</v>
      </c>
      <c r="B177" s="133" t="s">
        <v>141</v>
      </c>
      <c r="C177" s="133" t="s">
        <v>10269</v>
      </c>
      <c r="D177" s="116">
        <v>20</v>
      </c>
      <c r="E177" s="528">
        <f t="shared" si="9"/>
        <v>20</v>
      </c>
      <c r="F177" s="1" t="str">
        <f t="shared" si="7"/>
        <v>Vintan Maria</v>
      </c>
      <c r="G177" s="1"/>
      <c r="H177" s="1"/>
      <c r="I177" s="216"/>
      <c r="J177" s="216"/>
      <c r="K177" s="216"/>
      <c r="L177" s="216"/>
      <c r="M177" s="216"/>
      <c r="N177" s="216"/>
      <c r="O177" s="216"/>
      <c r="P177" s="216"/>
      <c r="Q177" s="216"/>
      <c r="R177" s="216"/>
      <c r="S177" s="216"/>
      <c r="T177" s="216"/>
      <c r="U177" s="216"/>
      <c r="V177" s="216"/>
      <c r="W177" s="216"/>
      <c r="X177" s="216"/>
      <c r="Y177" s="216"/>
      <c r="Z177" s="216"/>
    </row>
    <row r="178" spans="1:26" ht="15.75" customHeight="1">
      <c r="A178" s="134" t="s">
        <v>3450</v>
      </c>
      <c r="B178" s="133" t="s">
        <v>141</v>
      </c>
      <c r="C178" s="133" t="s">
        <v>10151</v>
      </c>
      <c r="D178" s="116">
        <v>60</v>
      </c>
      <c r="E178" s="528">
        <v>60</v>
      </c>
      <c r="F178" s="1" t="str">
        <f t="shared" si="7"/>
        <v>Viorel Alina</v>
      </c>
      <c r="G178" s="1"/>
      <c r="H178" s="1"/>
      <c r="I178" s="216"/>
      <c r="J178" s="216"/>
      <c r="K178" s="216"/>
      <c r="L178" s="216"/>
      <c r="M178" s="216"/>
      <c r="N178" s="216"/>
      <c r="O178" s="216"/>
      <c r="P178" s="216"/>
      <c r="Q178" s="216"/>
      <c r="R178" s="216"/>
      <c r="S178" s="216"/>
      <c r="T178" s="216"/>
      <c r="U178" s="216"/>
      <c r="V178" s="216"/>
      <c r="W178" s="216"/>
      <c r="X178" s="216"/>
      <c r="Y178" s="216"/>
      <c r="Z178" s="216"/>
    </row>
    <row r="179" spans="1:26" ht="15.75" customHeight="1">
      <c r="A179" s="134" t="s">
        <v>3450</v>
      </c>
      <c r="B179" s="133" t="s">
        <v>141</v>
      </c>
      <c r="C179" s="133" t="s">
        <v>10154</v>
      </c>
      <c r="D179" s="116">
        <v>30</v>
      </c>
      <c r="E179" s="528">
        <v>30</v>
      </c>
      <c r="F179" s="1" t="str">
        <f t="shared" si="7"/>
        <v>Viorel Alina</v>
      </c>
      <c r="G179" s="1"/>
      <c r="H179" s="1"/>
      <c r="I179" s="216"/>
      <c r="J179" s="216"/>
      <c r="K179" s="216"/>
      <c r="L179" s="216"/>
      <c r="M179" s="216"/>
      <c r="N179" s="216"/>
      <c r="O179" s="216"/>
      <c r="P179" s="216"/>
      <c r="Q179" s="216"/>
      <c r="R179" s="216"/>
      <c r="S179" s="216"/>
      <c r="T179" s="216"/>
      <c r="U179" s="216"/>
      <c r="V179" s="216"/>
      <c r="W179" s="216"/>
      <c r="X179" s="216"/>
      <c r="Y179" s="216"/>
      <c r="Z179" s="216"/>
    </row>
    <row r="180" spans="1:26" ht="15.75" customHeight="1">
      <c r="A180" s="134" t="s">
        <v>10270</v>
      </c>
      <c r="B180" s="133" t="s">
        <v>141</v>
      </c>
      <c r="C180" s="133" t="s">
        <v>10271</v>
      </c>
      <c r="D180" s="116">
        <v>30</v>
      </c>
      <c r="E180" s="528">
        <v>30</v>
      </c>
      <c r="F180" s="1" t="str">
        <f t="shared" si="7"/>
        <v xml:space="preserve">Viorel Alina </v>
      </c>
      <c r="G180" s="1"/>
      <c r="H180" s="1"/>
      <c r="I180" s="216"/>
      <c r="J180" s="216"/>
      <c r="K180" s="216"/>
      <c r="L180" s="216"/>
      <c r="M180" s="216"/>
      <c r="N180" s="216"/>
      <c r="O180" s="216"/>
      <c r="P180" s="216"/>
      <c r="Q180" s="216"/>
      <c r="R180" s="216"/>
      <c r="S180" s="216"/>
      <c r="T180" s="216"/>
      <c r="U180" s="216"/>
      <c r="V180" s="216"/>
      <c r="W180" s="216"/>
      <c r="X180" s="216"/>
      <c r="Y180" s="216"/>
      <c r="Z180" s="216"/>
    </row>
    <row r="181" spans="1:26" ht="15.75" customHeight="1">
      <c r="A181" s="134" t="s">
        <v>3450</v>
      </c>
      <c r="B181" s="133" t="s">
        <v>141</v>
      </c>
      <c r="C181" s="133" t="s">
        <v>10272</v>
      </c>
      <c r="D181" s="116">
        <v>30</v>
      </c>
      <c r="E181" s="528">
        <v>30</v>
      </c>
      <c r="F181" s="1" t="str">
        <f t="shared" si="7"/>
        <v>Viorel Alina</v>
      </c>
      <c r="G181" s="1"/>
      <c r="H181" s="1"/>
      <c r="I181" s="216"/>
      <c r="J181" s="216"/>
      <c r="K181" s="216"/>
      <c r="L181" s="216"/>
      <c r="M181" s="216"/>
      <c r="N181" s="216"/>
      <c r="O181" s="216"/>
      <c r="P181" s="216"/>
      <c r="Q181" s="216"/>
      <c r="R181" s="216"/>
      <c r="S181" s="216"/>
      <c r="T181" s="216"/>
      <c r="U181" s="216"/>
      <c r="V181" s="216"/>
      <c r="W181" s="216"/>
      <c r="X181" s="216"/>
      <c r="Y181" s="216"/>
      <c r="Z181" s="216"/>
    </row>
    <row r="182" spans="1:26" ht="15.75" customHeight="1">
      <c r="A182" s="134" t="s">
        <v>3450</v>
      </c>
      <c r="B182" s="133" t="s">
        <v>141</v>
      </c>
      <c r="C182" s="133" t="s">
        <v>10273</v>
      </c>
      <c r="D182" s="116">
        <v>30</v>
      </c>
      <c r="E182" s="528">
        <v>30</v>
      </c>
      <c r="F182" s="1" t="str">
        <f t="shared" si="7"/>
        <v>Viorel Alina</v>
      </c>
      <c r="G182" s="1"/>
      <c r="H182" s="1"/>
      <c r="I182" s="216"/>
      <c r="J182" s="216"/>
      <c r="K182" s="216"/>
      <c r="L182" s="216"/>
      <c r="M182" s="216"/>
      <c r="N182" s="216"/>
      <c r="O182" s="216"/>
      <c r="P182" s="216"/>
      <c r="Q182" s="216"/>
      <c r="R182" s="216"/>
      <c r="S182" s="216"/>
      <c r="T182" s="216"/>
      <c r="U182" s="216"/>
      <c r="V182" s="216"/>
      <c r="W182" s="216"/>
      <c r="X182" s="216"/>
      <c r="Y182" s="216"/>
      <c r="Z182" s="216"/>
    </row>
    <row r="183" spans="1:26" ht="15.75" customHeight="1">
      <c r="A183" s="134" t="s">
        <v>10270</v>
      </c>
      <c r="B183" s="133" t="s">
        <v>141</v>
      </c>
      <c r="C183" s="133" t="s">
        <v>10274</v>
      </c>
      <c r="D183" s="116">
        <v>30</v>
      </c>
      <c r="E183" s="528">
        <v>30</v>
      </c>
      <c r="F183" s="1" t="str">
        <f t="shared" si="7"/>
        <v xml:space="preserve">Viorel Alina </v>
      </c>
      <c r="G183" s="1"/>
      <c r="H183" s="1"/>
      <c r="I183" s="216"/>
      <c r="J183" s="216"/>
      <c r="K183" s="216"/>
      <c r="L183" s="216"/>
      <c r="M183" s="216"/>
      <c r="N183" s="216"/>
      <c r="O183" s="216"/>
      <c r="P183" s="216"/>
      <c r="Q183" s="216"/>
      <c r="R183" s="216"/>
      <c r="S183" s="216"/>
      <c r="T183" s="216"/>
      <c r="U183" s="216"/>
      <c r="V183" s="216"/>
      <c r="W183" s="216"/>
      <c r="X183" s="216"/>
      <c r="Y183" s="216"/>
      <c r="Z183" s="216"/>
    </row>
    <row r="184" spans="1:26" ht="15.75" customHeight="1">
      <c r="A184" s="690" t="s">
        <v>3450</v>
      </c>
      <c r="B184" s="1199" t="s">
        <v>141</v>
      </c>
      <c r="C184" s="1199" t="s">
        <v>10275</v>
      </c>
      <c r="D184" s="1202">
        <v>30</v>
      </c>
      <c r="E184" s="1201">
        <v>30</v>
      </c>
      <c r="F184" s="1" t="str">
        <f t="shared" si="7"/>
        <v>Viorel Alina</v>
      </c>
      <c r="G184" s="1"/>
      <c r="H184" s="1"/>
      <c r="I184" s="216"/>
      <c r="J184" s="216"/>
      <c r="K184" s="216"/>
      <c r="L184" s="216"/>
      <c r="M184" s="216"/>
      <c r="N184" s="216"/>
      <c r="O184" s="216"/>
      <c r="P184" s="216"/>
      <c r="Q184" s="216"/>
      <c r="R184" s="216"/>
      <c r="S184" s="216"/>
      <c r="T184" s="216"/>
      <c r="U184" s="216"/>
      <c r="V184" s="216"/>
      <c r="W184" s="216"/>
      <c r="X184" s="216"/>
      <c r="Y184" s="216"/>
      <c r="Z184" s="216"/>
    </row>
    <row r="185" spans="1:26" ht="15.75" customHeight="1">
      <c r="A185" s="134" t="s">
        <v>1204</v>
      </c>
      <c r="B185" s="133" t="s">
        <v>141</v>
      </c>
      <c r="C185" s="133" t="s">
        <v>10276</v>
      </c>
      <c r="D185" s="116">
        <v>80</v>
      </c>
      <c r="E185" s="528">
        <v>80</v>
      </c>
      <c r="F185" s="1" t="str">
        <f t="shared" si="7"/>
        <v>Volovici Daniel</v>
      </c>
      <c r="G185" s="1"/>
      <c r="H185" s="1"/>
      <c r="I185" s="216"/>
      <c r="J185" s="216"/>
      <c r="K185" s="216"/>
      <c r="L185" s="216"/>
      <c r="M185" s="216"/>
      <c r="N185" s="216"/>
      <c r="O185" s="216"/>
      <c r="P185" s="216"/>
      <c r="Q185" s="216"/>
      <c r="R185" s="216"/>
      <c r="S185" s="216"/>
      <c r="T185" s="216"/>
      <c r="U185" s="216"/>
      <c r="V185" s="216"/>
      <c r="W185" s="216"/>
      <c r="X185" s="216"/>
      <c r="Y185" s="216"/>
      <c r="Z185" s="216"/>
    </row>
    <row r="186" spans="1:26" ht="15.75" customHeight="1">
      <c r="A186" s="134" t="s">
        <v>1204</v>
      </c>
      <c r="B186" s="133" t="s">
        <v>141</v>
      </c>
      <c r="C186" s="133" t="s">
        <v>10150</v>
      </c>
      <c r="D186" s="116">
        <v>60</v>
      </c>
      <c r="E186" s="528">
        <v>60</v>
      </c>
      <c r="F186" s="1" t="str">
        <f t="shared" si="7"/>
        <v>Volovici Daniel</v>
      </c>
      <c r="G186" s="1"/>
      <c r="H186" s="1"/>
      <c r="I186" s="216"/>
      <c r="J186" s="216"/>
      <c r="K186" s="216"/>
      <c r="L186" s="216"/>
      <c r="M186" s="216"/>
      <c r="N186" s="216"/>
      <c r="O186" s="216"/>
      <c r="P186" s="216"/>
      <c r="Q186" s="216"/>
      <c r="R186" s="216"/>
      <c r="S186" s="216"/>
      <c r="T186" s="216"/>
      <c r="U186" s="216"/>
      <c r="V186" s="216"/>
      <c r="W186" s="216"/>
      <c r="X186" s="216"/>
      <c r="Y186" s="216"/>
      <c r="Z186" s="216"/>
    </row>
    <row r="187" spans="1:26" ht="15.75" customHeight="1">
      <c r="A187" s="134" t="s">
        <v>1204</v>
      </c>
      <c r="B187" s="133" t="s">
        <v>141</v>
      </c>
      <c r="C187" s="133" t="s">
        <v>10151</v>
      </c>
      <c r="D187" s="116">
        <v>60</v>
      </c>
      <c r="E187" s="528">
        <v>60</v>
      </c>
      <c r="F187" s="1" t="str">
        <f t="shared" si="7"/>
        <v>Volovici Daniel</v>
      </c>
      <c r="G187" s="1"/>
      <c r="H187" s="1"/>
      <c r="I187" s="216"/>
      <c r="J187" s="216"/>
      <c r="K187" s="216"/>
      <c r="L187" s="216"/>
      <c r="M187" s="216"/>
      <c r="N187" s="216"/>
      <c r="O187" s="216"/>
      <c r="P187" s="216"/>
      <c r="Q187" s="216"/>
      <c r="R187" s="216"/>
      <c r="S187" s="216"/>
      <c r="T187" s="216"/>
      <c r="U187" s="216"/>
      <c r="V187" s="216"/>
      <c r="W187" s="216"/>
      <c r="X187" s="216"/>
      <c r="Y187" s="216"/>
      <c r="Z187" s="216"/>
    </row>
    <row r="188" spans="1:26" ht="15.75" customHeight="1">
      <c r="A188" s="134" t="s">
        <v>1204</v>
      </c>
      <c r="B188" s="133" t="s">
        <v>141</v>
      </c>
      <c r="C188" s="133" t="s">
        <v>10277</v>
      </c>
      <c r="D188" s="116">
        <v>30</v>
      </c>
      <c r="E188" s="528">
        <v>30</v>
      </c>
      <c r="F188" s="1" t="str">
        <f t="shared" si="7"/>
        <v>Volovici Daniel</v>
      </c>
      <c r="G188" s="1"/>
      <c r="H188" s="1"/>
      <c r="I188" s="216"/>
      <c r="J188" s="216"/>
      <c r="K188" s="216"/>
      <c r="L188" s="216"/>
      <c r="M188" s="216"/>
      <c r="N188" s="216"/>
      <c r="O188" s="216"/>
      <c r="P188" s="216"/>
      <c r="Q188" s="216"/>
      <c r="R188" s="216"/>
      <c r="S188" s="216"/>
      <c r="T188" s="216"/>
      <c r="U188" s="216"/>
      <c r="V188" s="216"/>
      <c r="W188" s="216"/>
      <c r="X188" s="216"/>
      <c r="Y188" s="216"/>
      <c r="Z188" s="216"/>
    </row>
    <row r="189" spans="1:26" ht="15.75" customHeight="1">
      <c r="A189" s="134" t="s">
        <v>1204</v>
      </c>
      <c r="B189" s="133" t="s">
        <v>141</v>
      </c>
      <c r="C189" s="133" t="s">
        <v>10278</v>
      </c>
      <c r="D189" s="116">
        <v>30</v>
      </c>
      <c r="E189" s="528">
        <v>30</v>
      </c>
      <c r="F189" s="1" t="str">
        <f t="shared" si="7"/>
        <v>Volovici Daniel</v>
      </c>
      <c r="G189" s="1"/>
      <c r="H189" s="1"/>
      <c r="I189" s="216"/>
      <c r="J189" s="216"/>
      <c r="K189" s="216"/>
      <c r="L189" s="216"/>
      <c r="M189" s="216"/>
      <c r="N189" s="216"/>
      <c r="O189" s="216"/>
      <c r="P189" s="216"/>
      <c r="Q189" s="216"/>
      <c r="R189" s="216"/>
      <c r="S189" s="216"/>
      <c r="T189" s="216"/>
      <c r="U189" s="216"/>
      <c r="V189" s="216"/>
      <c r="W189" s="216"/>
      <c r="X189" s="216"/>
      <c r="Y189" s="216"/>
      <c r="Z189" s="216"/>
    </row>
    <row r="190" spans="1:26" ht="15.75" customHeight="1">
      <c r="A190" s="134" t="s">
        <v>1204</v>
      </c>
      <c r="B190" s="133" t="s">
        <v>141</v>
      </c>
      <c r="C190" s="133" t="s">
        <v>10279</v>
      </c>
      <c r="D190" s="116">
        <v>30</v>
      </c>
      <c r="E190" s="528">
        <v>30</v>
      </c>
      <c r="F190" s="1" t="str">
        <f t="shared" si="7"/>
        <v>Volovici Daniel</v>
      </c>
      <c r="G190" s="1"/>
      <c r="H190" s="1"/>
      <c r="I190" s="216"/>
      <c r="J190" s="216"/>
      <c r="K190" s="216"/>
      <c r="L190" s="216"/>
      <c r="M190" s="216"/>
      <c r="N190" s="216"/>
      <c r="O190" s="216"/>
      <c r="P190" s="216"/>
      <c r="Q190" s="216"/>
      <c r="R190" s="216"/>
      <c r="S190" s="216"/>
      <c r="T190" s="216"/>
      <c r="U190" s="216"/>
      <c r="V190" s="216"/>
      <c r="W190" s="216"/>
      <c r="X190" s="216"/>
      <c r="Y190" s="216"/>
      <c r="Z190" s="216"/>
    </row>
    <row r="191" spans="1:26" ht="15.75" customHeight="1">
      <c r="A191" s="134" t="s">
        <v>1204</v>
      </c>
      <c r="B191" s="133" t="s">
        <v>141</v>
      </c>
      <c r="C191" s="133" t="s">
        <v>10280</v>
      </c>
      <c r="D191" s="116">
        <v>30</v>
      </c>
      <c r="E191" s="528">
        <v>30</v>
      </c>
      <c r="F191" s="1" t="str">
        <f t="shared" si="7"/>
        <v>Volovici Daniel</v>
      </c>
      <c r="G191" s="1"/>
      <c r="H191" s="1"/>
      <c r="I191" s="216"/>
      <c r="J191" s="216"/>
      <c r="K191" s="216"/>
      <c r="L191" s="216"/>
      <c r="M191" s="216"/>
      <c r="N191" s="216"/>
      <c r="O191" s="216"/>
      <c r="P191" s="216"/>
      <c r="Q191" s="216"/>
      <c r="R191" s="216"/>
      <c r="S191" s="216"/>
      <c r="T191" s="216"/>
      <c r="U191" s="216"/>
      <c r="V191" s="216"/>
      <c r="W191" s="216"/>
      <c r="X191" s="216"/>
      <c r="Y191" s="216"/>
      <c r="Z191" s="216"/>
    </row>
    <row r="192" spans="1:26" ht="15.75" customHeight="1">
      <c r="A192" s="134" t="s">
        <v>1204</v>
      </c>
      <c r="B192" s="133" t="s">
        <v>141</v>
      </c>
      <c r="C192" s="133" t="s">
        <v>10281</v>
      </c>
      <c r="D192" s="116">
        <v>30</v>
      </c>
      <c r="E192" s="528">
        <v>30</v>
      </c>
      <c r="F192" s="1" t="str">
        <f t="shared" si="7"/>
        <v>Volovici Daniel</v>
      </c>
      <c r="G192" s="1"/>
      <c r="H192" s="1"/>
      <c r="I192" s="216"/>
      <c r="J192" s="216"/>
      <c r="K192" s="216"/>
      <c r="L192" s="216"/>
      <c r="M192" s="216"/>
      <c r="N192" s="216"/>
      <c r="O192" s="216"/>
      <c r="P192" s="216"/>
      <c r="Q192" s="216"/>
      <c r="R192" s="216"/>
      <c r="S192" s="216"/>
      <c r="T192" s="216"/>
      <c r="U192" s="216"/>
      <c r="V192" s="216"/>
      <c r="W192" s="216"/>
      <c r="X192" s="216"/>
      <c r="Y192" s="216"/>
      <c r="Z192" s="216"/>
    </row>
    <row r="193" spans="1:26" ht="15.75" customHeight="1">
      <c r="A193" s="134" t="s">
        <v>1204</v>
      </c>
      <c r="B193" s="133" t="s">
        <v>141</v>
      </c>
      <c r="C193" s="133" t="s">
        <v>10282</v>
      </c>
      <c r="D193" s="116">
        <v>30</v>
      </c>
      <c r="E193" s="528">
        <v>30</v>
      </c>
      <c r="F193" s="1" t="str">
        <f t="shared" si="7"/>
        <v>Volovici Daniel</v>
      </c>
      <c r="G193" s="1"/>
      <c r="H193" s="1"/>
      <c r="I193" s="216"/>
      <c r="J193" s="216"/>
      <c r="K193" s="216"/>
      <c r="L193" s="216"/>
      <c r="M193" s="216"/>
      <c r="N193" s="216"/>
      <c r="O193" s="216"/>
      <c r="P193" s="216"/>
      <c r="Q193" s="216"/>
      <c r="R193" s="216"/>
      <c r="S193" s="216"/>
      <c r="T193" s="216"/>
      <c r="U193" s="216"/>
      <c r="V193" s="216"/>
      <c r="W193" s="216"/>
      <c r="X193" s="216"/>
      <c r="Y193" s="216"/>
      <c r="Z193" s="216"/>
    </row>
    <row r="194" spans="1:26" ht="15.75" customHeight="1">
      <c r="A194" s="134" t="s">
        <v>1204</v>
      </c>
      <c r="B194" s="133" t="s">
        <v>141</v>
      </c>
      <c r="C194" s="133" t="s">
        <v>10283</v>
      </c>
      <c r="D194" s="116">
        <v>30</v>
      </c>
      <c r="E194" s="528">
        <v>30</v>
      </c>
      <c r="F194" s="1" t="str">
        <f t="shared" si="7"/>
        <v>Volovici Daniel</v>
      </c>
      <c r="G194" s="1"/>
      <c r="H194" s="1"/>
      <c r="I194" s="216"/>
      <c r="J194" s="216"/>
      <c r="K194" s="216"/>
      <c r="L194" s="216"/>
      <c r="M194" s="216"/>
      <c r="N194" s="216"/>
      <c r="O194" s="216"/>
      <c r="P194" s="216"/>
      <c r="Q194" s="216"/>
      <c r="R194" s="216"/>
      <c r="S194" s="216"/>
      <c r="T194" s="216"/>
      <c r="U194" s="216"/>
      <c r="V194" s="216"/>
      <c r="W194" s="216"/>
      <c r="X194" s="216"/>
      <c r="Y194" s="216"/>
      <c r="Z194" s="216"/>
    </row>
    <row r="195" spans="1:26" ht="15.75" customHeight="1">
      <c r="A195" s="134" t="s">
        <v>1204</v>
      </c>
      <c r="B195" s="133" t="s">
        <v>141</v>
      </c>
      <c r="C195" s="133" t="s">
        <v>10284</v>
      </c>
      <c r="D195" s="116">
        <v>30</v>
      </c>
      <c r="E195" s="528">
        <v>30</v>
      </c>
      <c r="F195" s="1" t="str">
        <f t="shared" si="7"/>
        <v>Volovici Daniel</v>
      </c>
      <c r="G195" s="1"/>
      <c r="H195" s="1"/>
      <c r="I195" s="216"/>
      <c r="J195" s="216"/>
      <c r="K195" s="216"/>
      <c r="L195" s="216"/>
      <c r="M195" s="216"/>
      <c r="N195" s="216"/>
      <c r="O195" s="216"/>
      <c r="P195" s="216"/>
      <c r="Q195" s="216"/>
      <c r="R195" s="216"/>
      <c r="S195" s="216"/>
      <c r="T195" s="216"/>
      <c r="U195" s="216"/>
      <c r="V195" s="216"/>
      <c r="W195" s="216"/>
      <c r="X195" s="216"/>
      <c r="Y195" s="216"/>
      <c r="Z195" s="216"/>
    </row>
    <row r="196" spans="1:26" ht="15.75" customHeight="1">
      <c r="A196" s="134" t="s">
        <v>1204</v>
      </c>
      <c r="B196" s="133" t="s">
        <v>141</v>
      </c>
      <c r="C196" s="133" t="s">
        <v>10213</v>
      </c>
      <c r="D196" s="116">
        <v>30</v>
      </c>
      <c r="E196" s="528">
        <v>30</v>
      </c>
      <c r="F196" s="1" t="str">
        <f t="shared" si="7"/>
        <v>Volovici Daniel</v>
      </c>
      <c r="G196" s="1"/>
      <c r="H196" s="1"/>
      <c r="I196" s="216"/>
      <c r="J196" s="216"/>
      <c r="K196" s="216"/>
      <c r="L196" s="216"/>
      <c r="M196" s="216"/>
      <c r="N196" s="216"/>
      <c r="O196" s="216"/>
      <c r="P196" s="216"/>
      <c r="Q196" s="216"/>
      <c r="R196" s="216"/>
      <c r="S196" s="216"/>
      <c r="T196" s="216"/>
      <c r="U196" s="216"/>
      <c r="V196" s="216"/>
      <c r="W196" s="216"/>
      <c r="X196" s="216"/>
      <c r="Y196" s="216"/>
      <c r="Z196" s="216"/>
    </row>
    <row r="197" spans="1:26" ht="15.75" customHeight="1">
      <c r="A197" s="134" t="s">
        <v>1204</v>
      </c>
      <c r="B197" s="133" t="s">
        <v>141</v>
      </c>
      <c r="C197" s="133" t="s">
        <v>10285</v>
      </c>
      <c r="D197" s="116">
        <v>80</v>
      </c>
      <c r="E197" s="528">
        <v>80</v>
      </c>
      <c r="F197" s="1" t="str">
        <f t="shared" si="7"/>
        <v>Volovici Daniel</v>
      </c>
      <c r="G197" s="1"/>
      <c r="H197" s="1"/>
      <c r="I197" s="216"/>
      <c r="J197" s="216"/>
      <c r="K197" s="216"/>
      <c r="L197" s="216"/>
      <c r="M197" s="216"/>
      <c r="N197" s="216"/>
      <c r="O197" s="216"/>
      <c r="P197" s="216"/>
      <c r="Q197" s="216"/>
      <c r="R197" s="216"/>
      <c r="S197" s="216"/>
      <c r="T197" s="216"/>
      <c r="U197" s="216"/>
      <c r="V197" s="216"/>
      <c r="W197" s="216"/>
      <c r="X197" s="216"/>
      <c r="Y197" s="216"/>
      <c r="Z197" s="216"/>
    </row>
    <row r="198" spans="1:26" ht="15.75" customHeight="1">
      <c r="A198" s="134" t="s">
        <v>1204</v>
      </c>
      <c r="B198" s="133" t="s">
        <v>141</v>
      </c>
      <c r="C198" s="133" t="s">
        <v>10214</v>
      </c>
      <c r="D198" s="116">
        <v>30</v>
      </c>
      <c r="E198" s="528">
        <v>30</v>
      </c>
      <c r="F198" s="1" t="str">
        <f t="shared" si="7"/>
        <v>Volovici Daniel</v>
      </c>
      <c r="G198" s="1"/>
      <c r="H198" s="1"/>
      <c r="I198" s="216"/>
      <c r="J198" s="216"/>
      <c r="K198" s="216"/>
      <c r="L198" s="216"/>
      <c r="M198" s="216"/>
      <c r="N198" s="216"/>
      <c r="O198" s="216"/>
      <c r="P198" s="216"/>
      <c r="Q198" s="216"/>
      <c r="R198" s="216"/>
      <c r="S198" s="216"/>
      <c r="T198" s="216"/>
      <c r="U198" s="216"/>
      <c r="V198" s="216"/>
      <c r="W198" s="216"/>
      <c r="X198" s="216"/>
      <c r="Y198" s="216"/>
      <c r="Z198" s="216"/>
    </row>
    <row r="199" spans="1:26" ht="15.75" customHeight="1">
      <c r="A199" s="134" t="s">
        <v>1204</v>
      </c>
      <c r="B199" s="133" t="s">
        <v>141</v>
      </c>
      <c r="C199" s="133" t="s">
        <v>10154</v>
      </c>
      <c r="D199" s="116">
        <v>30</v>
      </c>
      <c r="E199" s="528">
        <v>30</v>
      </c>
      <c r="F199" s="1" t="str">
        <f t="shared" si="7"/>
        <v>Volovici Daniel</v>
      </c>
      <c r="G199" s="1"/>
      <c r="H199" s="1"/>
      <c r="I199" s="216"/>
      <c r="J199" s="216"/>
      <c r="K199" s="216"/>
      <c r="L199" s="216"/>
      <c r="M199" s="216"/>
      <c r="N199" s="216"/>
      <c r="O199" s="216"/>
      <c r="P199" s="216"/>
      <c r="Q199" s="216"/>
      <c r="R199" s="216"/>
      <c r="S199" s="216"/>
      <c r="T199" s="216"/>
      <c r="U199" s="216"/>
      <c r="V199" s="216"/>
      <c r="W199" s="216"/>
      <c r="X199" s="216"/>
      <c r="Y199" s="216"/>
      <c r="Z199" s="216"/>
    </row>
    <row r="200" spans="1:26" ht="15" customHeight="1">
      <c r="A200" s="134" t="s">
        <v>114</v>
      </c>
      <c r="B200" s="133" t="s">
        <v>105</v>
      </c>
      <c r="C200" s="133" t="s">
        <v>10286</v>
      </c>
      <c r="D200" s="100">
        <v>30</v>
      </c>
      <c r="E200" s="528">
        <v>30</v>
      </c>
      <c r="F200" s="338" t="s">
        <v>114</v>
      </c>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5" customHeight="1">
      <c r="A201" s="134" t="s">
        <v>114</v>
      </c>
      <c r="B201" s="133" t="s">
        <v>105</v>
      </c>
      <c r="C201" s="134" t="s">
        <v>10287</v>
      </c>
      <c r="D201" s="116">
        <v>20</v>
      </c>
      <c r="E201" s="528">
        <v>20</v>
      </c>
      <c r="F201" s="338" t="s">
        <v>114</v>
      </c>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5" customHeight="1">
      <c r="A202" s="134" t="s">
        <v>114</v>
      </c>
      <c r="B202" s="133" t="s">
        <v>105</v>
      </c>
      <c r="C202" s="134" t="s">
        <v>10288</v>
      </c>
      <c r="D202" s="100">
        <v>20</v>
      </c>
      <c r="E202" s="528">
        <v>20</v>
      </c>
      <c r="F202" s="338" t="s">
        <v>114</v>
      </c>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5" customHeight="1">
      <c r="A203" s="134" t="s">
        <v>114</v>
      </c>
      <c r="B203" s="133" t="s">
        <v>105</v>
      </c>
      <c r="C203" s="134" t="s">
        <v>10289</v>
      </c>
      <c r="D203" s="100">
        <v>30</v>
      </c>
      <c r="E203" s="528">
        <v>30</v>
      </c>
      <c r="F203" s="338" t="s">
        <v>114</v>
      </c>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5" customHeight="1">
      <c r="A204" s="134" t="s">
        <v>114</v>
      </c>
      <c r="B204" s="133" t="s">
        <v>105</v>
      </c>
      <c r="C204" s="134" t="s">
        <v>10290</v>
      </c>
      <c r="D204" s="100">
        <v>20</v>
      </c>
      <c r="E204" s="528">
        <v>20</v>
      </c>
      <c r="F204" s="338" t="s">
        <v>114</v>
      </c>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5" customHeight="1">
      <c r="A205" s="256" t="s">
        <v>114</v>
      </c>
      <c r="B205" s="469" t="s">
        <v>105</v>
      </c>
      <c r="C205" s="256" t="s">
        <v>10288</v>
      </c>
      <c r="D205" s="178">
        <v>20</v>
      </c>
      <c r="E205" s="1120">
        <v>20</v>
      </c>
      <c r="F205" s="338" t="s">
        <v>114</v>
      </c>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5" customHeight="1">
      <c r="A206" s="134" t="s">
        <v>114</v>
      </c>
      <c r="B206" s="133" t="s">
        <v>105</v>
      </c>
      <c r="C206" s="134" t="s">
        <v>10291</v>
      </c>
      <c r="D206" s="100">
        <v>60</v>
      </c>
      <c r="E206" s="528">
        <v>60</v>
      </c>
      <c r="F206" s="338" t="s">
        <v>114</v>
      </c>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5" customHeight="1">
      <c r="A207" s="256" t="s">
        <v>114</v>
      </c>
      <c r="B207" s="469" t="s">
        <v>105</v>
      </c>
      <c r="C207" s="134" t="s">
        <v>10292</v>
      </c>
      <c r="D207" s="100">
        <v>60</v>
      </c>
      <c r="E207" s="528">
        <v>60</v>
      </c>
      <c r="F207" s="338" t="s">
        <v>114</v>
      </c>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5" customHeight="1">
      <c r="A208" s="133" t="s">
        <v>139</v>
      </c>
      <c r="B208" s="133" t="s">
        <v>105</v>
      </c>
      <c r="C208" s="99" t="s">
        <v>10293</v>
      </c>
      <c r="D208" s="116">
        <v>30</v>
      </c>
      <c r="E208" s="528">
        <v>30</v>
      </c>
      <c r="F208" s="338" t="s">
        <v>916</v>
      </c>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5" customHeight="1">
      <c r="A209" s="134" t="s">
        <v>6669</v>
      </c>
      <c r="B209" s="133" t="s">
        <v>105</v>
      </c>
      <c r="C209" s="133" t="s">
        <v>10294</v>
      </c>
      <c r="D209" s="528">
        <v>30</v>
      </c>
      <c r="E209" s="528">
        <v>30</v>
      </c>
      <c r="F209" s="338" t="s">
        <v>931</v>
      </c>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5" customHeight="1">
      <c r="A210" s="134" t="s">
        <v>7245</v>
      </c>
      <c r="B210" s="133" t="s">
        <v>105</v>
      </c>
      <c r="C210" s="133" t="s">
        <v>10295</v>
      </c>
      <c r="D210" s="100">
        <v>30</v>
      </c>
      <c r="E210" s="528">
        <v>30</v>
      </c>
      <c r="F210" s="338" t="s">
        <v>952</v>
      </c>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5" customHeight="1">
      <c r="A211" s="134" t="s">
        <v>7245</v>
      </c>
      <c r="B211" s="133" t="s">
        <v>105</v>
      </c>
      <c r="C211" s="133" t="s">
        <v>10296</v>
      </c>
      <c r="D211" s="116">
        <v>30</v>
      </c>
      <c r="E211" s="528">
        <v>30</v>
      </c>
      <c r="F211" s="338" t="s">
        <v>952</v>
      </c>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5" customHeight="1">
      <c r="A212" s="134" t="s">
        <v>7245</v>
      </c>
      <c r="B212" s="133" t="s">
        <v>105</v>
      </c>
      <c r="C212" s="133" t="s">
        <v>10225</v>
      </c>
      <c r="D212" s="100">
        <v>30</v>
      </c>
      <c r="E212" s="528">
        <v>30</v>
      </c>
      <c r="F212" s="338" t="s">
        <v>952</v>
      </c>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5" customHeight="1">
      <c r="A213" s="134" t="s">
        <v>7245</v>
      </c>
      <c r="B213" s="133" t="s">
        <v>105</v>
      </c>
      <c r="C213" s="133" t="s">
        <v>10297</v>
      </c>
      <c r="D213" s="100">
        <v>20</v>
      </c>
      <c r="E213" s="528">
        <v>20</v>
      </c>
      <c r="F213" s="338" t="s">
        <v>952</v>
      </c>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5" customHeight="1">
      <c r="A214" s="134" t="s">
        <v>7245</v>
      </c>
      <c r="B214" s="133" t="s">
        <v>105</v>
      </c>
      <c r="C214" s="133" t="s">
        <v>10298</v>
      </c>
      <c r="D214" s="100">
        <v>20</v>
      </c>
      <c r="E214" s="528">
        <v>20</v>
      </c>
      <c r="F214" s="338" t="s">
        <v>952</v>
      </c>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5" customHeight="1">
      <c r="A215" s="134" t="s">
        <v>7245</v>
      </c>
      <c r="B215" s="133" t="s">
        <v>105</v>
      </c>
      <c r="C215" s="133" t="s">
        <v>10299</v>
      </c>
      <c r="D215" s="100">
        <v>20</v>
      </c>
      <c r="E215" s="528">
        <v>20</v>
      </c>
      <c r="F215" s="338" t="s">
        <v>952</v>
      </c>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5" customHeight="1">
      <c r="A216" s="134" t="s">
        <v>7245</v>
      </c>
      <c r="B216" s="133" t="s">
        <v>105</v>
      </c>
      <c r="C216" s="133" t="s">
        <v>10300</v>
      </c>
      <c r="D216" s="100">
        <v>20</v>
      </c>
      <c r="E216" s="528">
        <v>20</v>
      </c>
      <c r="F216" s="338" t="s">
        <v>952</v>
      </c>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5" customHeight="1">
      <c r="A217" s="134" t="s">
        <v>7245</v>
      </c>
      <c r="B217" s="133" t="s">
        <v>105</v>
      </c>
      <c r="C217" s="133" t="s">
        <v>10301</v>
      </c>
      <c r="D217" s="100">
        <v>20</v>
      </c>
      <c r="E217" s="528">
        <v>20</v>
      </c>
      <c r="F217" s="338" t="s">
        <v>952</v>
      </c>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5" customHeight="1">
      <c r="A218" s="134" t="s">
        <v>7245</v>
      </c>
      <c r="B218" s="133" t="s">
        <v>105</v>
      </c>
      <c r="C218" s="133" t="s">
        <v>10302</v>
      </c>
      <c r="D218" s="100">
        <v>20</v>
      </c>
      <c r="E218" s="528">
        <v>20</v>
      </c>
      <c r="F218" s="338" t="s">
        <v>952</v>
      </c>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5" customHeight="1">
      <c r="A219" s="134" t="s">
        <v>7245</v>
      </c>
      <c r="B219" s="133" t="s">
        <v>105</v>
      </c>
      <c r="C219" s="133" t="s">
        <v>10303</v>
      </c>
      <c r="D219" s="100">
        <v>20</v>
      </c>
      <c r="E219" s="528">
        <v>20</v>
      </c>
      <c r="F219" s="338" t="s">
        <v>952</v>
      </c>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5" customHeight="1">
      <c r="A220" s="134" t="s">
        <v>7245</v>
      </c>
      <c r="B220" s="133" t="s">
        <v>105</v>
      </c>
      <c r="C220" s="133" t="s">
        <v>10304</v>
      </c>
      <c r="D220" s="116">
        <v>30</v>
      </c>
      <c r="E220" s="528">
        <v>30</v>
      </c>
      <c r="F220" s="338" t="s">
        <v>952</v>
      </c>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5" customHeight="1">
      <c r="A221" s="134" t="s">
        <v>7245</v>
      </c>
      <c r="B221" s="133" t="s">
        <v>105</v>
      </c>
      <c r="C221" s="133" t="s">
        <v>10305</v>
      </c>
      <c r="D221" s="116">
        <v>40</v>
      </c>
      <c r="E221" s="528">
        <v>40</v>
      </c>
      <c r="F221" s="338" t="s">
        <v>952</v>
      </c>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5" customHeight="1">
      <c r="A222" s="134" t="s">
        <v>7245</v>
      </c>
      <c r="B222" s="133" t="s">
        <v>105</v>
      </c>
      <c r="C222" s="133" t="s">
        <v>10306</v>
      </c>
      <c r="D222" s="116">
        <v>20</v>
      </c>
      <c r="E222" s="528">
        <v>20</v>
      </c>
      <c r="F222" s="338" t="s">
        <v>952</v>
      </c>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5" customHeight="1">
      <c r="A223" s="134" t="s">
        <v>6722</v>
      </c>
      <c r="B223" s="133" t="s">
        <v>105</v>
      </c>
      <c r="C223" s="133" t="s">
        <v>10307</v>
      </c>
      <c r="D223" s="116">
        <v>60</v>
      </c>
      <c r="E223" s="528">
        <v>60</v>
      </c>
      <c r="F223" s="338" t="s">
        <v>104</v>
      </c>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5" customHeight="1">
      <c r="A224" s="134" t="s">
        <v>6722</v>
      </c>
      <c r="B224" s="133" t="s">
        <v>105</v>
      </c>
      <c r="C224" s="133" t="s">
        <v>10196</v>
      </c>
      <c r="D224" s="116">
        <v>60</v>
      </c>
      <c r="E224" s="528">
        <v>60</v>
      </c>
      <c r="F224" s="338" t="s">
        <v>104</v>
      </c>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5" customHeight="1">
      <c r="A225" s="134" t="s">
        <v>6722</v>
      </c>
      <c r="B225" s="133" t="s">
        <v>105</v>
      </c>
      <c r="C225" s="133" t="s">
        <v>10308</v>
      </c>
      <c r="D225" s="116">
        <v>80</v>
      </c>
      <c r="E225" s="528">
        <v>80</v>
      </c>
      <c r="F225" s="338" t="s">
        <v>104</v>
      </c>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5" customHeight="1">
      <c r="A226" s="134" t="s">
        <v>6722</v>
      </c>
      <c r="B226" s="133" t="s">
        <v>105</v>
      </c>
      <c r="C226" s="133" t="s">
        <v>10309</v>
      </c>
      <c r="D226" s="116">
        <v>40</v>
      </c>
      <c r="E226" s="528">
        <v>40</v>
      </c>
      <c r="F226" s="338" t="s">
        <v>104</v>
      </c>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5" customHeight="1">
      <c r="A227" s="134" t="s">
        <v>6722</v>
      </c>
      <c r="B227" s="133" t="s">
        <v>105</v>
      </c>
      <c r="C227" s="133" t="s">
        <v>10310</v>
      </c>
      <c r="D227" s="116">
        <v>40</v>
      </c>
      <c r="E227" s="528">
        <v>40</v>
      </c>
      <c r="F227" s="338" t="s">
        <v>104</v>
      </c>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5" customHeight="1">
      <c r="A228" s="134" t="s">
        <v>6722</v>
      </c>
      <c r="B228" s="133" t="s">
        <v>105</v>
      </c>
      <c r="C228" s="133" t="s">
        <v>10311</v>
      </c>
      <c r="D228" s="116">
        <v>30</v>
      </c>
      <c r="E228" s="528">
        <v>30</v>
      </c>
      <c r="F228" s="338" t="s">
        <v>104</v>
      </c>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15" customHeight="1">
      <c r="A229" s="134" t="s">
        <v>6722</v>
      </c>
      <c r="B229" s="133" t="s">
        <v>105</v>
      </c>
      <c r="C229" s="133" t="s">
        <v>10312</v>
      </c>
      <c r="D229" s="116">
        <v>60</v>
      </c>
      <c r="E229" s="528">
        <v>60</v>
      </c>
      <c r="F229" s="338" t="s">
        <v>104</v>
      </c>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15" customHeight="1">
      <c r="A230" s="134" t="s">
        <v>6722</v>
      </c>
      <c r="B230" s="133" t="s">
        <v>105</v>
      </c>
      <c r="C230" s="133" t="s">
        <v>10147</v>
      </c>
      <c r="D230" s="116">
        <v>30</v>
      </c>
      <c r="E230" s="528">
        <v>30</v>
      </c>
      <c r="F230" s="338" t="s">
        <v>104</v>
      </c>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15" customHeight="1">
      <c r="A231" s="134" t="s">
        <v>6722</v>
      </c>
      <c r="B231" s="133" t="s">
        <v>105</v>
      </c>
      <c r="C231" s="133" t="s">
        <v>10313</v>
      </c>
      <c r="D231" s="116">
        <v>30</v>
      </c>
      <c r="E231" s="528">
        <v>30</v>
      </c>
      <c r="F231" s="338" t="s">
        <v>104</v>
      </c>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15" customHeight="1">
      <c r="A232" s="134" t="s">
        <v>6722</v>
      </c>
      <c r="B232" s="133" t="s">
        <v>105</v>
      </c>
      <c r="C232" s="133" t="s">
        <v>10314</v>
      </c>
      <c r="D232" s="116">
        <v>20</v>
      </c>
      <c r="E232" s="528">
        <v>20</v>
      </c>
      <c r="F232" s="338" t="s">
        <v>104</v>
      </c>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15" customHeight="1">
      <c r="A233" s="134" t="s">
        <v>6722</v>
      </c>
      <c r="B233" s="133" t="s">
        <v>105</v>
      </c>
      <c r="C233" s="133" t="s">
        <v>10315</v>
      </c>
      <c r="D233" s="116">
        <v>30</v>
      </c>
      <c r="E233" s="528">
        <v>30</v>
      </c>
      <c r="F233" s="338" t="s">
        <v>104</v>
      </c>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15" customHeight="1">
      <c r="A234" s="134" t="s">
        <v>6722</v>
      </c>
      <c r="B234" s="133" t="s">
        <v>105</v>
      </c>
      <c r="C234" s="133" t="s">
        <v>10316</v>
      </c>
      <c r="D234" s="116">
        <v>30</v>
      </c>
      <c r="E234" s="528">
        <v>30</v>
      </c>
      <c r="F234" s="338" t="s">
        <v>104</v>
      </c>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15" customHeight="1">
      <c r="A235" s="134" t="s">
        <v>6722</v>
      </c>
      <c r="B235" s="133" t="s">
        <v>105</v>
      </c>
      <c r="C235" s="133" t="s">
        <v>10317</v>
      </c>
      <c r="D235" s="116">
        <v>20</v>
      </c>
      <c r="E235" s="528">
        <v>20</v>
      </c>
      <c r="F235" s="338" t="s">
        <v>104</v>
      </c>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15" customHeight="1">
      <c r="A236" s="134" t="s">
        <v>6722</v>
      </c>
      <c r="B236" s="133" t="s">
        <v>105</v>
      </c>
      <c r="C236" s="133" t="s">
        <v>10318</v>
      </c>
      <c r="D236" s="116">
        <v>20</v>
      </c>
      <c r="E236" s="528">
        <v>20</v>
      </c>
      <c r="F236" s="338" t="s">
        <v>104</v>
      </c>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15" customHeight="1">
      <c r="A237" s="134" t="s">
        <v>6722</v>
      </c>
      <c r="B237" s="133" t="s">
        <v>105</v>
      </c>
      <c r="C237" s="133" t="s">
        <v>10319</v>
      </c>
      <c r="D237" s="116">
        <v>20</v>
      </c>
      <c r="E237" s="528">
        <v>20</v>
      </c>
      <c r="F237" s="338" t="s">
        <v>104</v>
      </c>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ht="15" customHeight="1">
      <c r="A238" s="134" t="s">
        <v>6722</v>
      </c>
      <c r="B238" s="133" t="s">
        <v>105</v>
      </c>
      <c r="C238" s="133" t="s">
        <v>10320</v>
      </c>
      <c r="D238" s="116">
        <v>20</v>
      </c>
      <c r="E238" s="528">
        <v>20</v>
      </c>
      <c r="F238" s="338" t="s">
        <v>104</v>
      </c>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ht="15" customHeight="1">
      <c r="A239" s="134" t="s">
        <v>6722</v>
      </c>
      <c r="B239" s="133" t="s">
        <v>105</v>
      </c>
      <c r="C239" s="133" t="s">
        <v>10321</v>
      </c>
      <c r="D239" s="116">
        <v>20</v>
      </c>
      <c r="E239" s="528">
        <v>20</v>
      </c>
      <c r="F239" s="338" t="s">
        <v>104</v>
      </c>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ht="15" customHeight="1">
      <c r="A240" s="134" t="s">
        <v>132</v>
      </c>
      <c r="B240" s="133" t="s">
        <v>105</v>
      </c>
      <c r="C240" s="133" t="s">
        <v>10322</v>
      </c>
      <c r="D240" s="116">
        <v>30</v>
      </c>
      <c r="E240" s="528">
        <v>30</v>
      </c>
      <c r="F240" s="338" t="s">
        <v>132</v>
      </c>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ht="15" customHeight="1">
      <c r="A241" s="134" t="s">
        <v>7262</v>
      </c>
      <c r="B241" s="133" t="s">
        <v>105</v>
      </c>
      <c r="C241" s="133" t="s">
        <v>10323</v>
      </c>
      <c r="D241" s="116">
        <v>30</v>
      </c>
      <c r="E241" s="528">
        <f t="shared" ref="E241:E243" si="10">D241</f>
        <v>30</v>
      </c>
      <c r="F241" s="338" t="s">
        <v>971</v>
      </c>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ht="15" customHeight="1">
      <c r="A242" s="134" t="s">
        <v>7262</v>
      </c>
      <c r="B242" s="133" t="s">
        <v>105</v>
      </c>
      <c r="C242" s="133" t="s">
        <v>10324</v>
      </c>
      <c r="D242" s="116">
        <v>20</v>
      </c>
      <c r="E242" s="528">
        <f t="shared" si="10"/>
        <v>20</v>
      </c>
      <c r="F242" s="338" t="s">
        <v>971</v>
      </c>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ht="15" customHeight="1">
      <c r="A243" s="134" t="s">
        <v>7262</v>
      </c>
      <c r="B243" s="133" t="s">
        <v>105</v>
      </c>
      <c r="C243" s="133" t="s">
        <v>10325</v>
      </c>
      <c r="D243" s="116">
        <v>20</v>
      </c>
      <c r="E243" s="528">
        <f t="shared" si="10"/>
        <v>20</v>
      </c>
      <c r="F243" s="338" t="s">
        <v>971</v>
      </c>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ht="15" customHeight="1">
      <c r="A244" s="134" t="s">
        <v>7262</v>
      </c>
      <c r="B244" s="133" t="s">
        <v>105</v>
      </c>
      <c r="C244" s="133" t="s">
        <v>10326</v>
      </c>
      <c r="D244" s="116">
        <v>20</v>
      </c>
      <c r="E244" s="528">
        <v>20</v>
      </c>
      <c r="F244" s="338" t="s">
        <v>971</v>
      </c>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ht="15" customHeight="1">
      <c r="A245" s="134" t="s">
        <v>7262</v>
      </c>
      <c r="B245" s="133" t="s">
        <v>105</v>
      </c>
      <c r="C245" s="133" t="s">
        <v>10327</v>
      </c>
      <c r="D245" s="116">
        <v>20</v>
      </c>
      <c r="E245" s="528">
        <v>20</v>
      </c>
      <c r="F245" s="338" t="s">
        <v>971</v>
      </c>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ht="15" customHeight="1">
      <c r="A246" s="134" t="s">
        <v>7262</v>
      </c>
      <c r="B246" s="133" t="s">
        <v>105</v>
      </c>
      <c r="C246" s="133" t="s">
        <v>10328</v>
      </c>
      <c r="D246" s="116">
        <v>20</v>
      </c>
      <c r="E246" s="528">
        <v>20</v>
      </c>
      <c r="F246" s="338" t="s">
        <v>971</v>
      </c>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ht="15" customHeight="1">
      <c r="A247" s="134" t="s">
        <v>7628</v>
      </c>
      <c r="B247" s="133" t="s">
        <v>105</v>
      </c>
      <c r="C247" s="133" t="s">
        <v>10154</v>
      </c>
      <c r="D247" s="100">
        <v>30</v>
      </c>
      <c r="E247" s="528">
        <v>30</v>
      </c>
      <c r="F247" s="338" t="s">
        <v>124</v>
      </c>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ht="15" customHeight="1">
      <c r="A248" s="134" t="s">
        <v>7263</v>
      </c>
      <c r="B248" s="133" t="s">
        <v>105</v>
      </c>
      <c r="C248" s="133" t="s">
        <v>10329</v>
      </c>
      <c r="D248" s="100">
        <v>30</v>
      </c>
      <c r="E248" s="528">
        <v>30</v>
      </c>
      <c r="F248" s="338" t="s">
        <v>125</v>
      </c>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ht="15" customHeight="1">
      <c r="A249" s="134" t="s">
        <v>118</v>
      </c>
      <c r="B249" s="133" t="s">
        <v>105</v>
      </c>
      <c r="C249" s="133" t="s">
        <v>10330</v>
      </c>
      <c r="D249" s="116">
        <v>30</v>
      </c>
      <c r="E249" s="528">
        <v>30</v>
      </c>
      <c r="F249" s="338" t="s">
        <v>118</v>
      </c>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ht="15" customHeight="1">
      <c r="A250" s="134" t="s">
        <v>118</v>
      </c>
      <c r="B250" s="133" t="s">
        <v>105</v>
      </c>
      <c r="C250" s="133" t="s">
        <v>10293</v>
      </c>
      <c r="D250" s="116">
        <v>30</v>
      </c>
      <c r="E250" s="528">
        <v>30</v>
      </c>
      <c r="F250" s="338" t="s">
        <v>118</v>
      </c>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ht="15" customHeight="1">
      <c r="A251" s="134" t="s">
        <v>118</v>
      </c>
      <c r="B251" s="133" t="s">
        <v>105</v>
      </c>
      <c r="C251" s="133" t="s">
        <v>10331</v>
      </c>
      <c r="D251" s="116">
        <v>30</v>
      </c>
      <c r="E251" s="528">
        <v>30</v>
      </c>
      <c r="F251" s="338" t="s">
        <v>118</v>
      </c>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ht="15" customHeight="1">
      <c r="A252" s="134" t="s">
        <v>118</v>
      </c>
      <c r="B252" s="133" t="s">
        <v>105</v>
      </c>
      <c r="C252" s="133" t="s">
        <v>10332</v>
      </c>
      <c r="D252" s="116">
        <v>30</v>
      </c>
      <c r="E252" s="528">
        <v>30</v>
      </c>
      <c r="F252" s="338" t="s">
        <v>118</v>
      </c>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ht="15" customHeight="1">
      <c r="A253" s="134" t="s">
        <v>7632</v>
      </c>
      <c r="B253" s="133" t="s">
        <v>105</v>
      </c>
      <c r="C253" s="133" t="s">
        <v>10333</v>
      </c>
      <c r="D253" s="100">
        <v>30</v>
      </c>
      <c r="E253" s="528">
        <v>30</v>
      </c>
      <c r="F253" s="338" t="s">
        <v>126</v>
      </c>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ht="15" customHeight="1">
      <c r="A254" s="134" t="s">
        <v>7632</v>
      </c>
      <c r="B254" s="133" t="s">
        <v>105</v>
      </c>
      <c r="C254" s="133" t="s">
        <v>10187</v>
      </c>
      <c r="D254" s="116">
        <v>30</v>
      </c>
      <c r="E254" s="528">
        <v>30</v>
      </c>
      <c r="F254" s="338" t="s">
        <v>126</v>
      </c>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ht="15" customHeight="1">
      <c r="A255" s="134" t="s">
        <v>7632</v>
      </c>
      <c r="B255" s="133" t="s">
        <v>105</v>
      </c>
      <c r="C255" s="133" t="s">
        <v>10297</v>
      </c>
      <c r="D255" s="100">
        <v>20</v>
      </c>
      <c r="E255" s="528">
        <v>20</v>
      </c>
      <c r="F255" s="338" t="s">
        <v>126</v>
      </c>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ht="15" customHeight="1">
      <c r="A256" s="134" t="s">
        <v>7632</v>
      </c>
      <c r="B256" s="133" t="s">
        <v>105</v>
      </c>
      <c r="C256" s="133" t="s">
        <v>10298</v>
      </c>
      <c r="D256" s="100">
        <v>20</v>
      </c>
      <c r="E256" s="528">
        <v>20</v>
      </c>
      <c r="F256" s="338" t="s">
        <v>126</v>
      </c>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ht="15" customHeight="1">
      <c r="A257" s="134" t="s">
        <v>7632</v>
      </c>
      <c r="B257" s="133" t="s">
        <v>105</v>
      </c>
      <c r="C257" s="133" t="s">
        <v>10299</v>
      </c>
      <c r="D257" s="100">
        <v>20</v>
      </c>
      <c r="E257" s="528">
        <v>20</v>
      </c>
      <c r="F257" s="338" t="s">
        <v>126</v>
      </c>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ht="15" customHeight="1">
      <c r="A258" s="134" t="s">
        <v>7632</v>
      </c>
      <c r="B258" s="133" t="s">
        <v>105</v>
      </c>
      <c r="C258" s="133" t="s">
        <v>10300</v>
      </c>
      <c r="D258" s="100">
        <v>20</v>
      </c>
      <c r="E258" s="528">
        <v>20</v>
      </c>
      <c r="F258" s="338" t="s">
        <v>126</v>
      </c>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ht="15" customHeight="1">
      <c r="A259" s="134" t="s">
        <v>7632</v>
      </c>
      <c r="B259" s="133" t="s">
        <v>105</v>
      </c>
      <c r="C259" s="133" t="s">
        <v>10301</v>
      </c>
      <c r="D259" s="100">
        <v>20</v>
      </c>
      <c r="E259" s="528">
        <v>20</v>
      </c>
      <c r="F259" s="338" t="s">
        <v>126</v>
      </c>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ht="15" customHeight="1">
      <c r="A260" s="134" t="s">
        <v>7632</v>
      </c>
      <c r="B260" s="133" t="s">
        <v>105</v>
      </c>
      <c r="C260" s="133" t="s">
        <v>10302</v>
      </c>
      <c r="D260" s="100">
        <v>20</v>
      </c>
      <c r="E260" s="528">
        <v>20</v>
      </c>
      <c r="F260" s="338" t="s">
        <v>126</v>
      </c>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ht="15" customHeight="1">
      <c r="A261" s="134" t="s">
        <v>7632</v>
      </c>
      <c r="B261" s="133" t="s">
        <v>105</v>
      </c>
      <c r="C261" s="133" t="s">
        <v>10303</v>
      </c>
      <c r="D261" s="100">
        <v>20</v>
      </c>
      <c r="E261" s="528">
        <v>20</v>
      </c>
      <c r="F261" s="338" t="s">
        <v>126</v>
      </c>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ht="15" customHeight="1">
      <c r="A262" s="134" t="s">
        <v>128</v>
      </c>
      <c r="B262" s="133" t="s">
        <v>105</v>
      </c>
      <c r="C262" s="133" t="s">
        <v>10293</v>
      </c>
      <c r="D262" s="100">
        <v>30</v>
      </c>
      <c r="E262" s="528">
        <v>30</v>
      </c>
      <c r="F262" s="338" t="s">
        <v>128</v>
      </c>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ht="15" customHeight="1">
      <c r="A263" s="134" t="s">
        <v>9232</v>
      </c>
      <c r="B263" s="133" t="s">
        <v>105</v>
      </c>
      <c r="C263" s="133" t="s">
        <v>10196</v>
      </c>
      <c r="D263" s="116">
        <v>60</v>
      </c>
      <c r="E263" s="528">
        <f t="shared" ref="E263:E276" si="11">D263</f>
        <v>60</v>
      </c>
      <c r="F263" s="338" t="s">
        <v>119</v>
      </c>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ht="15" customHeight="1">
      <c r="A264" s="134" t="s">
        <v>9232</v>
      </c>
      <c r="B264" s="133" t="s">
        <v>105</v>
      </c>
      <c r="C264" s="133" t="s">
        <v>10307</v>
      </c>
      <c r="D264" s="116">
        <v>60</v>
      </c>
      <c r="E264" s="528">
        <f t="shared" si="11"/>
        <v>60</v>
      </c>
      <c r="F264" s="338" t="s">
        <v>119</v>
      </c>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15" customHeight="1">
      <c r="A265" s="134" t="s">
        <v>9232</v>
      </c>
      <c r="B265" s="133" t="s">
        <v>105</v>
      </c>
      <c r="C265" s="133" t="s">
        <v>10293</v>
      </c>
      <c r="D265" s="116">
        <v>30</v>
      </c>
      <c r="E265" s="528">
        <f t="shared" si="11"/>
        <v>30</v>
      </c>
      <c r="F265" s="338" t="s">
        <v>119</v>
      </c>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15" customHeight="1">
      <c r="A266" s="134" t="s">
        <v>9232</v>
      </c>
      <c r="B266" s="133" t="s">
        <v>105</v>
      </c>
      <c r="C266" s="133" t="s">
        <v>10334</v>
      </c>
      <c r="D266" s="116">
        <v>30</v>
      </c>
      <c r="E266" s="528">
        <f t="shared" si="11"/>
        <v>30</v>
      </c>
      <c r="F266" s="338" t="s">
        <v>119</v>
      </c>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15" customHeight="1">
      <c r="A267" s="134" t="s">
        <v>9232</v>
      </c>
      <c r="B267" s="133" t="s">
        <v>105</v>
      </c>
      <c r="C267" s="133" t="s">
        <v>10335</v>
      </c>
      <c r="D267" s="116">
        <v>30</v>
      </c>
      <c r="E267" s="528">
        <f t="shared" si="11"/>
        <v>30</v>
      </c>
      <c r="F267" s="338" t="s">
        <v>119</v>
      </c>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15" customHeight="1">
      <c r="A268" s="134" t="s">
        <v>9232</v>
      </c>
      <c r="B268" s="133" t="s">
        <v>105</v>
      </c>
      <c r="C268" s="133" t="s">
        <v>10336</v>
      </c>
      <c r="D268" s="116">
        <v>30</v>
      </c>
      <c r="E268" s="528">
        <f t="shared" si="11"/>
        <v>30</v>
      </c>
      <c r="F268" s="338" t="s">
        <v>119</v>
      </c>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15" customHeight="1">
      <c r="A269" s="134" t="s">
        <v>9232</v>
      </c>
      <c r="B269" s="133" t="s">
        <v>105</v>
      </c>
      <c r="C269" s="133" t="s">
        <v>10314</v>
      </c>
      <c r="D269" s="116">
        <v>20</v>
      </c>
      <c r="E269" s="528">
        <f t="shared" si="11"/>
        <v>20</v>
      </c>
      <c r="F269" s="338" t="s">
        <v>119</v>
      </c>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15" customHeight="1">
      <c r="A270" s="134" t="s">
        <v>9232</v>
      </c>
      <c r="B270" s="133" t="s">
        <v>105</v>
      </c>
      <c r="C270" s="133" t="s">
        <v>10337</v>
      </c>
      <c r="D270" s="116">
        <v>30</v>
      </c>
      <c r="E270" s="528">
        <f t="shared" si="11"/>
        <v>30</v>
      </c>
      <c r="F270" s="338" t="s">
        <v>119</v>
      </c>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15" customHeight="1">
      <c r="A271" s="134" t="s">
        <v>9232</v>
      </c>
      <c r="B271" s="133" t="s">
        <v>105</v>
      </c>
      <c r="C271" s="133" t="s">
        <v>10338</v>
      </c>
      <c r="D271" s="116">
        <v>30</v>
      </c>
      <c r="E271" s="528">
        <f t="shared" si="11"/>
        <v>30</v>
      </c>
      <c r="F271" s="338" t="s">
        <v>119</v>
      </c>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15" customHeight="1">
      <c r="A272" s="134" t="s">
        <v>9232</v>
      </c>
      <c r="B272" s="133" t="s">
        <v>105</v>
      </c>
      <c r="C272" s="133" t="s">
        <v>10339</v>
      </c>
      <c r="D272" s="116">
        <v>30</v>
      </c>
      <c r="E272" s="528">
        <f t="shared" si="11"/>
        <v>30</v>
      </c>
      <c r="F272" s="338" t="s">
        <v>119</v>
      </c>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15" customHeight="1">
      <c r="A273" s="134" t="s">
        <v>9232</v>
      </c>
      <c r="B273" s="133" t="s">
        <v>105</v>
      </c>
      <c r="C273" s="133" t="s">
        <v>10340</v>
      </c>
      <c r="D273" s="116">
        <v>30</v>
      </c>
      <c r="E273" s="528">
        <f t="shared" si="11"/>
        <v>30</v>
      </c>
      <c r="F273" s="338" t="s">
        <v>119</v>
      </c>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15" customHeight="1">
      <c r="A274" s="134" t="s">
        <v>9232</v>
      </c>
      <c r="B274" s="133" t="s">
        <v>105</v>
      </c>
      <c r="C274" s="133" t="s">
        <v>10341</v>
      </c>
      <c r="D274" s="116">
        <v>30</v>
      </c>
      <c r="E274" s="528">
        <f t="shared" si="11"/>
        <v>30</v>
      </c>
      <c r="F274" s="338" t="s">
        <v>119</v>
      </c>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15" customHeight="1">
      <c r="A275" s="134" t="s">
        <v>9232</v>
      </c>
      <c r="B275" s="133" t="s">
        <v>105</v>
      </c>
      <c r="C275" s="133" t="s">
        <v>10342</v>
      </c>
      <c r="D275" s="116">
        <v>30</v>
      </c>
      <c r="E275" s="528">
        <f t="shared" si="11"/>
        <v>30</v>
      </c>
      <c r="F275" s="338" t="s">
        <v>119</v>
      </c>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15" customHeight="1">
      <c r="A276" s="134" t="s">
        <v>9232</v>
      </c>
      <c r="B276" s="133" t="s">
        <v>105</v>
      </c>
      <c r="C276" s="133" t="s">
        <v>10343</v>
      </c>
      <c r="D276" s="116">
        <v>30</v>
      </c>
      <c r="E276" s="528">
        <f t="shared" si="11"/>
        <v>30</v>
      </c>
      <c r="F276" s="338" t="s">
        <v>119</v>
      </c>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15" customHeight="1">
      <c r="A277" s="134" t="s">
        <v>7637</v>
      </c>
      <c r="B277" s="133" t="s">
        <v>105</v>
      </c>
      <c r="C277" s="133" t="s">
        <v>10307</v>
      </c>
      <c r="D277" s="116">
        <v>60</v>
      </c>
      <c r="E277" s="528">
        <v>60</v>
      </c>
      <c r="F277" s="338" t="s">
        <v>129</v>
      </c>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15" customHeight="1">
      <c r="A278" s="134" t="s">
        <v>7637</v>
      </c>
      <c r="B278" s="133" t="s">
        <v>105</v>
      </c>
      <c r="C278" s="133" t="s">
        <v>10196</v>
      </c>
      <c r="D278" s="116">
        <v>60</v>
      </c>
      <c r="E278" s="528">
        <v>60</v>
      </c>
      <c r="F278" s="338" t="s">
        <v>129</v>
      </c>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ht="15" customHeight="1">
      <c r="A279" s="134" t="s">
        <v>7637</v>
      </c>
      <c r="B279" s="133" t="s">
        <v>105</v>
      </c>
      <c r="C279" s="133" t="s">
        <v>10344</v>
      </c>
      <c r="D279" s="100">
        <v>30</v>
      </c>
      <c r="E279" s="100">
        <v>30</v>
      </c>
      <c r="F279" s="338" t="s">
        <v>129</v>
      </c>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ht="15" customHeight="1">
      <c r="A280" s="134" t="s">
        <v>7637</v>
      </c>
      <c r="B280" s="133" t="s">
        <v>105</v>
      </c>
      <c r="C280" s="133" t="s">
        <v>10345</v>
      </c>
      <c r="D280" s="100">
        <v>30</v>
      </c>
      <c r="E280" s="100">
        <v>30</v>
      </c>
      <c r="F280" s="338" t="s">
        <v>129</v>
      </c>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ht="15" customHeight="1">
      <c r="A281" s="134" t="s">
        <v>7637</v>
      </c>
      <c r="B281" s="133" t="s">
        <v>105</v>
      </c>
      <c r="C281" s="133" t="s">
        <v>10346</v>
      </c>
      <c r="D281" s="100">
        <v>30</v>
      </c>
      <c r="E281" s="100">
        <v>30</v>
      </c>
      <c r="F281" s="338" t="s">
        <v>129</v>
      </c>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ht="15" customHeight="1">
      <c r="A282" s="134" t="s">
        <v>7637</v>
      </c>
      <c r="B282" s="133" t="s">
        <v>105</v>
      </c>
      <c r="C282" s="133" t="s">
        <v>10347</v>
      </c>
      <c r="D282" s="116">
        <v>20</v>
      </c>
      <c r="E282" s="528">
        <v>20</v>
      </c>
      <c r="F282" s="338" t="s">
        <v>129</v>
      </c>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ht="15" customHeight="1">
      <c r="A283" s="134" t="s">
        <v>7637</v>
      </c>
      <c r="B283" s="133" t="s">
        <v>105</v>
      </c>
      <c r="C283" s="133" t="s">
        <v>10348</v>
      </c>
      <c r="D283" s="116">
        <v>20</v>
      </c>
      <c r="E283" s="528">
        <v>20</v>
      </c>
      <c r="F283" s="338" t="s">
        <v>129</v>
      </c>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ht="15" customHeight="1">
      <c r="A284" s="134" t="s">
        <v>7637</v>
      </c>
      <c r="B284" s="133" t="s">
        <v>105</v>
      </c>
      <c r="C284" s="133" t="s">
        <v>10349</v>
      </c>
      <c r="D284" s="116">
        <v>20</v>
      </c>
      <c r="E284" s="528">
        <v>20</v>
      </c>
      <c r="F284" s="338" t="s">
        <v>129</v>
      </c>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ht="15" customHeight="1">
      <c r="A285" s="134" t="s">
        <v>7637</v>
      </c>
      <c r="B285" s="133" t="s">
        <v>105</v>
      </c>
      <c r="C285" s="133" t="s">
        <v>10350</v>
      </c>
      <c r="D285" s="116">
        <v>20</v>
      </c>
      <c r="E285" s="528">
        <v>20</v>
      </c>
      <c r="F285" s="338" t="s">
        <v>129</v>
      </c>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ht="15" customHeight="1">
      <c r="A286" s="134" t="s">
        <v>7637</v>
      </c>
      <c r="B286" s="133" t="s">
        <v>105</v>
      </c>
      <c r="C286" s="133" t="s">
        <v>10351</v>
      </c>
      <c r="D286" s="116">
        <v>20</v>
      </c>
      <c r="E286" s="528">
        <v>20</v>
      </c>
      <c r="F286" s="338" t="s">
        <v>129</v>
      </c>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ht="15" customHeight="1">
      <c r="A287" s="134" t="s">
        <v>7637</v>
      </c>
      <c r="B287" s="133" t="s">
        <v>105</v>
      </c>
      <c r="C287" s="133" t="s">
        <v>10352</v>
      </c>
      <c r="D287" s="116">
        <v>20</v>
      </c>
      <c r="E287" s="528">
        <v>20</v>
      </c>
      <c r="F287" s="338" t="s">
        <v>129</v>
      </c>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ht="15" customHeight="1">
      <c r="A288" s="134" t="s">
        <v>110</v>
      </c>
      <c r="B288" s="99" t="s">
        <v>105</v>
      </c>
      <c r="C288" s="133" t="s">
        <v>10353</v>
      </c>
      <c r="D288" s="116">
        <v>30</v>
      </c>
      <c r="E288" s="528">
        <v>30</v>
      </c>
      <c r="F288" s="338" t="s">
        <v>110</v>
      </c>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ht="15" customHeight="1">
      <c r="A289" s="134" t="s">
        <v>7639</v>
      </c>
      <c r="B289" s="133" t="s">
        <v>105</v>
      </c>
      <c r="C289" s="133" t="s">
        <v>10294</v>
      </c>
      <c r="D289" s="528">
        <v>30</v>
      </c>
      <c r="E289" s="528">
        <v>30</v>
      </c>
      <c r="F289" s="338" t="s">
        <v>1005</v>
      </c>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ht="15" customHeight="1">
      <c r="A290" s="134" t="s">
        <v>130</v>
      </c>
      <c r="B290" s="133" t="s">
        <v>105</v>
      </c>
      <c r="C290" s="133" t="s">
        <v>10354</v>
      </c>
      <c r="D290" s="296">
        <v>30</v>
      </c>
      <c r="E290" s="513">
        <v>30</v>
      </c>
      <c r="F290" s="338" t="s">
        <v>130</v>
      </c>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ht="15" customHeight="1">
      <c r="A291" s="134" t="s">
        <v>130</v>
      </c>
      <c r="B291" s="133" t="s">
        <v>105</v>
      </c>
      <c r="C291" s="133" t="s">
        <v>10355</v>
      </c>
      <c r="D291" s="100">
        <v>30</v>
      </c>
      <c r="E291" s="528">
        <v>30</v>
      </c>
      <c r="F291" s="338" t="s">
        <v>130</v>
      </c>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ht="15" customHeight="1">
      <c r="A292" s="134" t="s">
        <v>138</v>
      </c>
      <c r="B292" s="133" t="s">
        <v>105</v>
      </c>
      <c r="C292" s="133" t="s">
        <v>10154</v>
      </c>
      <c r="D292" s="116">
        <v>30</v>
      </c>
      <c r="E292" s="528">
        <v>30</v>
      </c>
      <c r="F292" s="338" t="s">
        <v>138</v>
      </c>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ht="15" customHeight="1">
      <c r="A293" s="134" t="s">
        <v>111</v>
      </c>
      <c r="B293" s="133" t="s">
        <v>105</v>
      </c>
      <c r="C293" s="133" t="s">
        <v>10356</v>
      </c>
      <c r="D293" s="116">
        <v>60</v>
      </c>
      <c r="E293" s="528">
        <f t="shared" ref="E293:E294" si="12">D293</f>
        <v>60</v>
      </c>
      <c r="F293" s="338" t="s">
        <v>111</v>
      </c>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ht="15" customHeight="1">
      <c r="A294" s="134" t="s">
        <v>111</v>
      </c>
      <c r="B294" s="133" t="s">
        <v>105</v>
      </c>
      <c r="C294" s="133" t="s">
        <v>10357</v>
      </c>
      <c r="D294" s="116">
        <v>80</v>
      </c>
      <c r="E294" s="528">
        <f t="shared" si="12"/>
        <v>80</v>
      </c>
      <c r="F294" s="338" t="s">
        <v>111</v>
      </c>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ht="15" customHeight="1">
      <c r="A295" s="134" t="s">
        <v>111</v>
      </c>
      <c r="B295" s="133" t="s">
        <v>105</v>
      </c>
      <c r="C295" s="133" t="s">
        <v>10358</v>
      </c>
      <c r="D295" s="116">
        <v>40</v>
      </c>
      <c r="E295" s="528">
        <v>40</v>
      </c>
      <c r="F295" s="338" t="s">
        <v>111</v>
      </c>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ht="15" customHeight="1">
      <c r="A296" s="134" t="s">
        <v>111</v>
      </c>
      <c r="B296" s="133" t="s">
        <v>105</v>
      </c>
      <c r="C296" s="133" t="s">
        <v>10359</v>
      </c>
      <c r="D296" s="116">
        <v>30</v>
      </c>
      <c r="E296" s="528">
        <v>30</v>
      </c>
      <c r="F296" s="338" t="s">
        <v>111</v>
      </c>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ht="15" customHeight="1">
      <c r="A297" s="134" t="s">
        <v>111</v>
      </c>
      <c r="B297" s="133" t="s">
        <v>105</v>
      </c>
      <c r="C297" s="133" t="s">
        <v>10360</v>
      </c>
      <c r="D297" s="116">
        <v>30</v>
      </c>
      <c r="E297" s="528">
        <v>30</v>
      </c>
      <c r="F297" s="338" t="s">
        <v>111</v>
      </c>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ht="15" customHeight="1">
      <c r="A298" s="302" t="s">
        <v>111</v>
      </c>
      <c r="B298" s="301" t="s">
        <v>105</v>
      </c>
      <c r="C298" s="301" t="s">
        <v>10361</v>
      </c>
      <c r="D298" s="304">
        <v>40</v>
      </c>
      <c r="E298" s="513">
        <v>40</v>
      </c>
      <c r="F298" s="338" t="s">
        <v>111</v>
      </c>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ht="15" customHeight="1">
      <c r="A299" s="302" t="s">
        <v>111</v>
      </c>
      <c r="B299" s="301" t="s">
        <v>105</v>
      </c>
      <c r="C299" s="133" t="s">
        <v>10362</v>
      </c>
      <c r="D299" s="304">
        <v>30</v>
      </c>
      <c r="E299" s="513">
        <v>30</v>
      </c>
      <c r="F299" s="338" t="s">
        <v>111</v>
      </c>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ht="15" customHeight="1">
      <c r="A300" s="134" t="s">
        <v>111</v>
      </c>
      <c r="B300" s="133" t="s">
        <v>105</v>
      </c>
      <c r="C300" s="133" t="s">
        <v>10363</v>
      </c>
      <c r="D300" s="116">
        <v>20</v>
      </c>
      <c r="E300" s="528">
        <v>20</v>
      </c>
      <c r="F300" s="338" t="s">
        <v>111</v>
      </c>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ht="15" customHeight="1">
      <c r="A301" s="134" t="s">
        <v>111</v>
      </c>
      <c r="B301" s="133" t="s">
        <v>105</v>
      </c>
      <c r="C301" s="133" t="s">
        <v>10364</v>
      </c>
      <c r="D301" s="116">
        <v>20</v>
      </c>
      <c r="E301" s="528">
        <v>20</v>
      </c>
      <c r="F301" s="338" t="s">
        <v>111</v>
      </c>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ht="15" customHeight="1">
      <c r="A302" s="134" t="s">
        <v>111</v>
      </c>
      <c r="B302" s="133" t="s">
        <v>105</v>
      </c>
      <c r="C302" s="133" t="s">
        <v>10365</v>
      </c>
      <c r="D302" s="116">
        <v>20</v>
      </c>
      <c r="E302" s="528">
        <v>20</v>
      </c>
      <c r="F302" s="338" t="s">
        <v>111</v>
      </c>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ht="15" customHeight="1">
      <c r="A303" s="134" t="s">
        <v>111</v>
      </c>
      <c r="B303" s="133" t="s">
        <v>105</v>
      </c>
      <c r="C303" s="133" t="s">
        <v>10366</v>
      </c>
      <c r="D303" s="116">
        <v>30</v>
      </c>
      <c r="E303" s="116">
        <v>30</v>
      </c>
      <c r="F303" s="338" t="s">
        <v>111</v>
      </c>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ht="15" customHeight="1">
      <c r="A304" s="134" t="s">
        <v>111</v>
      </c>
      <c r="B304" s="133" t="s">
        <v>105</v>
      </c>
      <c r="C304" s="133" t="s">
        <v>10367</v>
      </c>
      <c r="D304" s="116">
        <v>30</v>
      </c>
      <c r="E304" s="116">
        <v>30</v>
      </c>
      <c r="F304" s="338" t="s">
        <v>111</v>
      </c>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ht="15" customHeight="1">
      <c r="A305" s="134" t="s">
        <v>111</v>
      </c>
      <c r="B305" s="133" t="s">
        <v>105</v>
      </c>
      <c r="C305" s="133" t="s">
        <v>10368</v>
      </c>
      <c r="D305" s="116">
        <v>30</v>
      </c>
      <c r="E305" s="116">
        <v>30</v>
      </c>
      <c r="F305" s="338" t="s">
        <v>111</v>
      </c>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ht="15" customHeight="1">
      <c r="A306" s="447" t="s">
        <v>7640</v>
      </c>
      <c r="B306" s="162" t="s">
        <v>105</v>
      </c>
      <c r="C306" s="162" t="s">
        <v>10369</v>
      </c>
      <c r="D306" s="737">
        <v>100</v>
      </c>
      <c r="E306" s="1164">
        <f t="shared" ref="E306:E309" si="13">D306</f>
        <v>100</v>
      </c>
      <c r="F306" s="338" t="s">
        <v>112</v>
      </c>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ht="15" customHeight="1">
      <c r="A307" s="447" t="s">
        <v>7640</v>
      </c>
      <c r="B307" s="162" t="s">
        <v>105</v>
      </c>
      <c r="C307" s="162" t="s">
        <v>10133</v>
      </c>
      <c r="D307" s="737">
        <v>80</v>
      </c>
      <c r="E307" s="1164">
        <f t="shared" si="13"/>
        <v>80</v>
      </c>
      <c r="F307" s="338" t="s">
        <v>112</v>
      </c>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ht="15" customHeight="1">
      <c r="A308" s="447" t="s">
        <v>7640</v>
      </c>
      <c r="B308" s="162" t="s">
        <v>105</v>
      </c>
      <c r="C308" s="162" t="s">
        <v>10196</v>
      </c>
      <c r="D308" s="737">
        <v>60</v>
      </c>
      <c r="E308" s="1164">
        <f t="shared" si="13"/>
        <v>60</v>
      </c>
      <c r="F308" s="338" t="s">
        <v>112</v>
      </c>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ht="15" customHeight="1">
      <c r="A309" s="447" t="s">
        <v>7640</v>
      </c>
      <c r="B309" s="162" t="s">
        <v>105</v>
      </c>
      <c r="C309" s="162" t="s">
        <v>10370</v>
      </c>
      <c r="D309" s="737"/>
      <c r="E309" s="1164">
        <f t="shared" si="13"/>
        <v>0</v>
      </c>
      <c r="F309" s="338" t="s">
        <v>112</v>
      </c>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ht="15" customHeight="1">
      <c r="A310" s="447" t="s">
        <v>7640</v>
      </c>
      <c r="B310" s="162" t="s">
        <v>105</v>
      </c>
      <c r="C310" s="162" t="s">
        <v>10371</v>
      </c>
      <c r="D310" s="737">
        <v>20</v>
      </c>
      <c r="E310" s="1164">
        <f>D310*7</f>
        <v>140</v>
      </c>
      <c r="F310" s="338" t="s">
        <v>112</v>
      </c>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ht="15" customHeight="1">
      <c r="A311" s="447" t="s">
        <v>7640</v>
      </c>
      <c r="B311" s="162" t="s">
        <v>105</v>
      </c>
      <c r="C311" s="162" t="s">
        <v>10372</v>
      </c>
      <c r="D311" s="737">
        <v>40</v>
      </c>
      <c r="E311" s="1164">
        <f t="shared" ref="E311:E313" si="14">D311</f>
        <v>40</v>
      </c>
      <c r="F311" s="338" t="s">
        <v>112</v>
      </c>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ht="15" customHeight="1">
      <c r="A312" s="447" t="s">
        <v>7640</v>
      </c>
      <c r="B312" s="162" t="s">
        <v>105</v>
      </c>
      <c r="C312" s="162" t="s">
        <v>10373</v>
      </c>
      <c r="D312" s="737">
        <v>40</v>
      </c>
      <c r="E312" s="1164">
        <f t="shared" si="14"/>
        <v>40</v>
      </c>
      <c r="F312" s="338" t="s">
        <v>112</v>
      </c>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ht="15" customHeight="1">
      <c r="A313" s="447" t="s">
        <v>7640</v>
      </c>
      <c r="B313" s="162" t="s">
        <v>105</v>
      </c>
      <c r="C313" s="162" t="s">
        <v>10374</v>
      </c>
      <c r="D313" s="737">
        <v>40</v>
      </c>
      <c r="E313" s="1164">
        <f t="shared" si="14"/>
        <v>40</v>
      </c>
      <c r="F313" s="338" t="s">
        <v>112</v>
      </c>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ht="15" customHeight="1">
      <c r="A314" s="134" t="s">
        <v>120</v>
      </c>
      <c r="B314" s="133" t="s">
        <v>105</v>
      </c>
      <c r="C314" s="133" t="s">
        <v>10375</v>
      </c>
      <c r="D314" s="100">
        <v>30</v>
      </c>
      <c r="E314" s="528">
        <v>30</v>
      </c>
      <c r="F314" s="338" t="s">
        <v>120</v>
      </c>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ht="15" customHeight="1">
      <c r="A315" s="134" t="s">
        <v>120</v>
      </c>
      <c r="B315" s="133" t="s">
        <v>105</v>
      </c>
      <c r="C315" s="133" t="s">
        <v>10376</v>
      </c>
      <c r="D315" s="116">
        <v>20</v>
      </c>
      <c r="E315" s="528">
        <v>20</v>
      </c>
      <c r="F315" s="338" t="s">
        <v>120</v>
      </c>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ht="15" customHeight="1">
      <c r="A316" s="134" t="s">
        <v>120</v>
      </c>
      <c r="B316" s="133" t="s">
        <v>105</v>
      </c>
      <c r="C316" s="133" t="s">
        <v>10377</v>
      </c>
      <c r="D316" s="100">
        <v>20</v>
      </c>
      <c r="E316" s="528">
        <v>20</v>
      </c>
      <c r="F316" s="338" t="s">
        <v>120</v>
      </c>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ht="15" customHeight="1">
      <c r="A317" s="134" t="s">
        <v>120</v>
      </c>
      <c r="B317" s="133" t="s">
        <v>105</v>
      </c>
      <c r="C317" s="133" t="s">
        <v>10378</v>
      </c>
      <c r="D317" s="116">
        <v>20</v>
      </c>
      <c r="E317" s="528">
        <v>20</v>
      </c>
      <c r="F317" s="338" t="s">
        <v>120</v>
      </c>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ht="15" customHeight="1">
      <c r="A318" s="134" t="s">
        <v>120</v>
      </c>
      <c r="B318" s="133" t="s">
        <v>105</v>
      </c>
      <c r="C318" s="133" t="s">
        <v>10379</v>
      </c>
      <c r="D318" s="116">
        <v>30</v>
      </c>
      <c r="E318" s="528">
        <v>30</v>
      </c>
      <c r="F318" s="338" t="s">
        <v>120</v>
      </c>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ht="15" customHeight="1">
      <c r="A319" s="134" t="s">
        <v>6907</v>
      </c>
      <c r="B319" s="133" t="s">
        <v>105</v>
      </c>
      <c r="C319" s="133" t="s">
        <v>10259</v>
      </c>
      <c r="D319" s="116">
        <v>40</v>
      </c>
      <c r="E319" s="528">
        <f t="shared" ref="E319:E327" si="15">D319</f>
        <v>40</v>
      </c>
      <c r="F319" s="338" t="s">
        <v>113</v>
      </c>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ht="15" customHeight="1">
      <c r="A320" s="134" t="s">
        <v>6907</v>
      </c>
      <c r="B320" s="133" t="s">
        <v>105</v>
      </c>
      <c r="C320" s="133" t="s">
        <v>10380</v>
      </c>
      <c r="D320" s="116">
        <v>40</v>
      </c>
      <c r="E320" s="528">
        <f t="shared" si="15"/>
        <v>40</v>
      </c>
      <c r="F320" s="338" t="s">
        <v>113</v>
      </c>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ht="15" customHeight="1">
      <c r="A321" s="134" t="s">
        <v>6907</v>
      </c>
      <c r="B321" s="133" t="s">
        <v>105</v>
      </c>
      <c r="C321" s="133" t="s">
        <v>10381</v>
      </c>
      <c r="D321" s="116">
        <v>40</v>
      </c>
      <c r="E321" s="528">
        <f t="shared" si="15"/>
        <v>40</v>
      </c>
      <c r="F321" s="338" t="s">
        <v>113</v>
      </c>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ht="15" customHeight="1">
      <c r="A322" s="134" t="s">
        <v>6907</v>
      </c>
      <c r="B322" s="133" t="s">
        <v>105</v>
      </c>
      <c r="C322" s="133" t="s">
        <v>10307</v>
      </c>
      <c r="D322" s="116">
        <v>60</v>
      </c>
      <c r="E322" s="528">
        <f t="shared" si="15"/>
        <v>60</v>
      </c>
      <c r="F322" s="338" t="s">
        <v>113</v>
      </c>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ht="15" customHeight="1">
      <c r="A323" s="134" t="s">
        <v>6907</v>
      </c>
      <c r="B323" s="133" t="s">
        <v>105</v>
      </c>
      <c r="C323" s="133" t="s">
        <v>10196</v>
      </c>
      <c r="D323" s="116">
        <v>60</v>
      </c>
      <c r="E323" s="528">
        <f t="shared" si="15"/>
        <v>60</v>
      </c>
      <c r="F323" s="338" t="s">
        <v>113</v>
      </c>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ht="15" customHeight="1">
      <c r="A324" s="134" t="s">
        <v>6907</v>
      </c>
      <c r="B324" s="133" t="s">
        <v>105</v>
      </c>
      <c r="C324" s="133" t="s">
        <v>10276</v>
      </c>
      <c r="D324" s="116">
        <v>80</v>
      </c>
      <c r="E324" s="528">
        <f t="shared" si="15"/>
        <v>80</v>
      </c>
      <c r="F324" s="338" t="s">
        <v>113</v>
      </c>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ht="15" customHeight="1">
      <c r="A325" s="134" t="s">
        <v>6907</v>
      </c>
      <c r="B325" s="133" t="s">
        <v>105</v>
      </c>
      <c r="C325" s="133" t="s">
        <v>10382</v>
      </c>
      <c r="D325" s="116">
        <v>80</v>
      </c>
      <c r="E325" s="528">
        <f t="shared" si="15"/>
        <v>80</v>
      </c>
      <c r="F325" s="338" t="s">
        <v>113</v>
      </c>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ht="15" customHeight="1">
      <c r="A326" s="134" t="s">
        <v>6907</v>
      </c>
      <c r="B326" s="133" t="s">
        <v>105</v>
      </c>
      <c r="C326" s="133" t="s">
        <v>10383</v>
      </c>
      <c r="D326" s="116">
        <v>100</v>
      </c>
      <c r="E326" s="528">
        <f t="shared" si="15"/>
        <v>100</v>
      </c>
      <c r="F326" s="338" t="s">
        <v>113</v>
      </c>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ht="15" customHeight="1">
      <c r="A327" s="134" t="s">
        <v>6907</v>
      </c>
      <c r="B327" s="133" t="s">
        <v>105</v>
      </c>
      <c r="C327" s="133" t="s">
        <v>10384</v>
      </c>
      <c r="D327" s="116">
        <v>60</v>
      </c>
      <c r="E327" s="528">
        <f t="shared" si="15"/>
        <v>60</v>
      </c>
      <c r="F327" s="338" t="s">
        <v>113</v>
      </c>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ht="15" customHeight="1">
      <c r="A328" s="134" t="s">
        <v>6907</v>
      </c>
      <c r="B328" s="133" t="s">
        <v>105</v>
      </c>
      <c r="C328" s="133" t="s">
        <v>10385</v>
      </c>
      <c r="D328" s="116">
        <v>400</v>
      </c>
      <c r="E328" s="528">
        <v>400</v>
      </c>
      <c r="F328" s="338" t="s">
        <v>113</v>
      </c>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ht="15" customHeight="1">
      <c r="A329" s="134" t="s">
        <v>6907</v>
      </c>
      <c r="B329" s="133" t="s">
        <v>105</v>
      </c>
      <c r="C329" s="133" t="s">
        <v>10386</v>
      </c>
      <c r="D329" s="116">
        <v>30</v>
      </c>
      <c r="E329" s="528">
        <f t="shared" ref="E329:E345" si="16">D329</f>
        <v>30</v>
      </c>
      <c r="F329" s="338" t="s">
        <v>113</v>
      </c>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ht="15" customHeight="1">
      <c r="A330" s="134" t="s">
        <v>6907</v>
      </c>
      <c r="B330" s="133" t="s">
        <v>105</v>
      </c>
      <c r="C330" s="133" t="s">
        <v>10335</v>
      </c>
      <c r="D330" s="116">
        <v>30</v>
      </c>
      <c r="E330" s="528">
        <f t="shared" si="16"/>
        <v>30</v>
      </c>
      <c r="F330" s="338" t="s">
        <v>113</v>
      </c>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ht="15" customHeight="1">
      <c r="A331" s="134" t="s">
        <v>6907</v>
      </c>
      <c r="B331" s="133" t="s">
        <v>105</v>
      </c>
      <c r="C331" s="133" t="s">
        <v>10387</v>
      </c>
      <c r="D331" s="116">
        <v>30</v>
      </c>
      <c r="E331" s="528">
        <f t="shared" si="16"/>
        <v>30</v>
      </c>
      <c r="F331" s="338" t="s">
        <v>113</v>
      </c>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ht="15" customHeight="1">
      <c r="A332" s="134" t="s">
        <v>6907</v>
      </c>
      <c r="B332" s="133" t="s">
        <v>105</v>
      </c>
      <c r="C332" s="133" t="s">
        <v>10388</v>
      </c>
      <c r="D332" s="116">
        <v>30</v>
      </c>
      <c r="E332" s="528">
        <f t="shared" si="16"/>
        <v>30</v>
      </c>
      <c r="F332" s="338" t="s">
        <v>113</v>
      </c>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ht="15" customHeight="1">
      <c r="A333" s="134" t="s">
        <v>6907</v>
      </c>
      <c r="B333" s="133" t="s">
        <v>105</v>
      </c>
      <c r="C333" s="133" t="s">
        <v>10389</v>
      </c>
      <c r="D333" s="116">
        <v>30</v>
      </c>
      <c r="E333" s="528">
        <f t="shared" si="16"/>
        <v>30</v>
      </c>
      <c r="F333" s="338" t="s">
        <v>113</v>
      </c>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ht="15" customHeight="1">
      <c r="A334" s="134" t="s">
        <v>6907</v>
      </c>
      <c r="B334" s="133" t="s">
        <v>105</v>
      </c>
      <c r="C334" s="133" t="s">
        <v>10390</v>
      </c>
      <c r="D334" s="116">
        <v>30</v>
      </c>
      <c r="E334" s="528">
        <f t="shared" si="16"/>
        <v>30</v>
      </c>
      <c r="F334" s="338" t="s">
        <v>113</v>
      </c>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ht="15" customHeight="1">
      <c r="A335" s="134" t="s">
        <v>6907</v>
      </c>
      <c r="B335" s="133" t="s">
        <v>105</v>
      </c>
      <c r="C335" s="133" t="s">
        <v>10336</v>
      </c>
      <c r="D335" s="116">
        <v>30</v>
      </c>
      <c r="E335" s="528">
        <f t="shared" si="16"/>
        <v>30</v>
      </c>
      <c r="F335" s="338" t="s">
        <v>113</v>
      </c>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ht="15" customHeight="1">
      <c r="A336" s="134" t="s">
        <v>6907</v>
      </c>
      <c r="B336" s="133" t="s">
        <v>105</v>
      </c>
      <c r="C336" s="133" t="s">
        <v>10391</v>
      </c>
      <c r="D336" s="116">
        <v>20</v>
      </c>
      <c r="E336" s="528">
        <f t="shared" si="16"/>
        <v>20</v>
      </c>
      <c r="F336" s="338" t="s">
        <v>113</v>
      </c>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ht="15" customHeight="1">
      <c r="A337" s="134" t="s">
        <v>6907</v>
      </c>
      <c r="B337" s="133" t="s">
        <v>105</v>
      </c>
      <c r="C337" s="133" t="s">
        <v>10392</v>
      </c>
      <c r="D337" s="116">
        <v>20</v>
      </c>
      <c r="E337" s="528">
        <f t="shared" si="16"/>
        <v>20</v>
      </c>
      <c r="F337" s="338" t="s">
        <v>113</v>
      </c>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ht="15" customHeight="1">
      <c r="A338" s="134" t="s">
        <v>6907</v>
      </c>
      <c r="B338" s="133" t="s">
        <v>105</v>
      </c>
      <c r="C338" s="133" t="s">
        <v>10393</v>
      </c>
      <c r="D338" s="116">
        <v>20</v>
      </c>
      <c r="E338" s="528">
        <f t="shared" si="16"/>
        <v>20</v>
      </c>
      <c r="F338" s="338" t="s">
        <v>113</v>
      </c>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ht="15" customHeight="1">
      <c r="A339" s="134" t="s">
        <v>6907</v>
      </c>
      <c r="B339" s="133" t="s">
        <v>105</v>
      </c>
      <c r="C339" s="133" t="s">
        <v>10394</v>
      </c>
      <c r="D339" s="116">
        <v>20</v>
      </c>
      <c r="E339" s="528">
        <f t="shared" si="16"/>
        <v>20</v>
      </c>
      <c r="F339" s="338" t="s">
        <v>113</v>
      </c>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ht="15" customHeight="1">
      <c r="A340" s="134" t="s">
        <v>6907</v>
      </c>
      <c r="B340" s="133" t="s">
        <v>105</v>
      </c>
      <c r="C340" s="133" t="s">
        <v>10395</v>
      </c>
      <c r="D340" s="116">
        <v>20</v>
      </c>
      <c r="E340" s="528">
        <f t="shared" si="16"/>
        <v>20</v>
      </c>
      <c r="F340" s="338" t="s">
        <v>113</v>
      </c>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ht="15" customHeight="1">
      <c r="A341" s="134" t="s">
        <v>6907</v>
      </c>
      <c r="B341" s="133" t="s">
        <v>105</v>
      </c>
      <c r="C341" s="133" t="s">
        <v>10396</v>
      </c>
      <c r="D341" s="116">
        <v>20</v>
      </c>
      <c r="E341" s="528">
        <f t="shared" si="16"/>
        <v>20</v>
      </c>
      <c r="F341" s="338" t="s">
        <v>113</v>
      </c>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ht="15" customHeight="1">
      <c r="A342" s="134" t="s">
        <v>6907</v>
      </c>
      <c r="B342" s="133" t="s">
        <v>105</v>
      </c>
      <c r="C342" s="133" t="s">
        <v>10397</v>
      </c>
      <c r="D342" s="116">
        <v>20</v>
      </c>
      <c r="E342" s="528">
        <f t="shared" si="16"/>
        <v>20</v>
      </c>
      <c r="F342" s="338" t="s">
        <v>113</v>
      </c>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ht="15" customHeight="1">
      <c r="A343" s="134" t="s">
        <v>6907</v>
      </c>
      <c r="B343" s="133" t="s">
        <v>105</v>
      </c>
      <c r="C343" s="133" t="s">
        <v>10398</v>
      </c>
      <c r="D343" s="116">
        <v>20</v>
      </c>
      <c r="E343" s="528">
        <f t="shared" si="16"/>
        <v>20</v>
      </c>
      <c r="F343" s="338" t="s">
        <v>113</v>
      </c>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ht="15" customHeight="1">
      <c r="A344" s="134" t="s">
        <v>6907</v>
      </c>
      <c r="B344" s="133" t="s">
        <v>105</v>
      </c>
      <c r="C344" s="133" t="s">
        <v>10399</v>
      </c>
      <c r="D344" s="116">
        <v>20</v>
      </c>
      <c r="E344" s="528">
        <f t="shared" si="16"/>
        <v>20</v>
      </c>
      <c r="F344" s="338" t="s">
        <v>113</v>
      </c>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ht="15" customHeight="1">
      <c r="A345" s="134" t="s">
        <v>131</v>
      </c>
      <c r="B345" s="133" t="s">
        <v>105</v>
      </c>
      <c r="C345" s="133" t="s">
        <v>10154</v>
      </c>
      <c r="D345" s="116">
        <v>30</v>
      </c>
      <c r="E345" s="528">
        <f t="shared" si="16"/>
        <v>30</v>
      </c>
      <c r="F345" s="338" t="s">
        <v>131</v>
      </c>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ht="15" customHeight="1">
      <c r="A346" s="134" t="s">
        <v>133</v>
      </c>
      <c r="B346" s="133" t="s">
        <v>10400</v>
      </c>
      <c r="C346" s="133" t="s">
        <v>10196</v>
      </c>
      <c r="D346" s="116">
        <v>60</v>
      </c>
      <c r="E346" s="528">
        <v>60</v>
      </c>
      <c r="F346" s="338" t="s">
        <v>133</v>
      </c>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ht="15" customHeight="1">
      <c r="A347" s="302" t="s">
        <v>133</v>
      </c>
      <c r="B347" s="301" t="s">
        <v>10400</v>
      </c>
      <c r="C347" s="301" t="s">
        <v>10401</v>
      </c>
      <c r="D347" s="304">
        <v>60</v>
      </c>
      <c r="E347" s="513">
        <v>30</v>
      </c>
      <c r="F347" s="338" t="s">
        <v>133</v>
      </c>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ht="15" customHeight="1">
      <c r="A348" s="302" t="s">
        <v>133</v>
      </c>
      <c r="B348" s="301" t="s">
        <v>10400</v>
      </c>
      <c r="C348" s="301" t="s">
        <v>10402</v>
      </c>
      <c r="D348" s="304">
        <v>60</v>
      </c>
      <c r="E348" s="513">
        <v>40</v>
      </c>
      <c r="F348" s="338" t="s">
        <v>133</v>
      </c>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ht="15" customHeight="1">
      <c r="A349" s="302" t="s">
        <v>133</v>
      </c>
      <c r="B349" s="301" t="s">
        <v>10400</v>
      </c>
      <c r="C349" s="301" t="s">
        <v>10403</v>
      </c>
      <c r="D349" s="304">
        <v>30</v>
      </c>
      <c r="E349" s="513">
        <v>30</v>
      </c>
      <c r="F349" s="338" t="s">
        <v>133</v>
      </c>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ht="15" customHeight="1">
      <c r="A350" s="302" t="s">
        <v>133</v>
      </c>
      <c r="B350" s="301" t="s">
        <v>10400</v>
      </c>
      <c r="C350" s="301" t="s">
        <v>10404</v>
      </c>
      <c r="D350" s="304">
        <v>60</v>
      </c>
      <c r="E350" s="513">
        <v>30</v>
      </c>
      <c r="F350" s="338" t="s">
        <v>133</v>
      </c>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ht="15" customHeight="1">
      <c r="A351" s="302" t="s">
        <v>133</v>
      </c>
      <c r="B351" s="301" t="s">
        <v>10400</v>
      </c>
      <c r="C351" s="301" t="s">
        <v>10405</v>
      </c>
      <c r="D351" s="304">
        <v>60</v>
      </c>
      <c r="E351" s="513">
        <v>40</v>
      </c>
      <c r="F351" s="338" t="s">
        <v>133</v>
      </c>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ht="15.75" customHeight="1"/>
    <row r="353" spans="1:8" ht="15" customHeight="1">
      <c r="A353" s="332" t="s">
        <v>169</v>
      </c>
      <c r="E353" s="1116">
        <f>SUM(E8:E351)</f>
        <v>11760</v>
      </c>
    </row>
    <row r="354" spans="1:8" ht="15.75" customHeight="1"/>
    <row r="355" spans="1:8" ht="15" customHeight="1">
      <c r="A355" s="1231" t="s">
        <v>1156</v>
      </c>
      <c r="B355" s="1232"/>
      <c r="C355" s="1232"/>
      <c r="D355" s="1232"/>
      <c r="E355" s="1232"/>
      <c r="F355" s="1232"/>
      <c r="G355" s="1232"/>
      <c r="H355" s="1233"/>
    </row>
    <row r="356" spans="1:8" ht="15.75" customHeight="1"/>
    <row r="357" spans="1:8" ht="15.75" customHeight="1"/>
    <row r="358" spans="1:8" ht="15.75" customHeight="1"/>
    <row r="359" spans="1:8" ht="15.75" customHeight="1"/>
    <row r="360" spans="1:8" ht="15.75" customHeight="1"/>
    <row r="361" spans="1:8" ht="15.75" customHeight="1"/>
    <row r="362" spans="1:8" ht="15.75" customHeight="1"/>
    <row r="363" spans="1:8" ht="15.75" customHeight="1"/>
    <row r="364" spans="1:8" ht="15.75" customHeight="1"/>
    <row r="365" spans="1:8" ht="15.75" customHeight="1"/>
    <row r="366" spans="1:8" ht="15.75" customHeight="1"/>
    <row r="367" spans="1:8" ht="15.75" customHeight="1"/>
    <row r="368" spans="1: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355:H355"/>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64"/>
      <c r="B1" s="64"/>
      <c r="C1" s="65"/>
      <c r="D1" s="65"/>
      <c r="E1" s="65"/>
      <c r="F1" s="1"/>
      <c r="G1" s="1"/>
      <c r="H1" s="1"/>
    </row>
    <row r="2" spans="1:25" ht="15.75" customHeight="1">
      <c r="A2" s="1230" t="s">
        <v>10406</v>
      </c>
      <c r="B2" s="1227"/>
      <c r="C2" s="1227"/>
      <c r="D2" s="1227"/>
      <c r="E2" s="1228"/>
      <c r="F2" s="1114"/>
      <c r="G2" s="1114"/>
      <c r="H2" s="1114"/>
      <c r="I2" s="69"/>
      <c r="J2" s="69"/>
      <c r="K2" s="69"/>
      <c r="L2" s="69"/>
      <c r="M2" s="69"/>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14.25" customHeight="1">
      <c r="A4" s="1236" t="s">
        <v>10407</v>
      </c>
      <c r="B4" s="1227"/>
      <c r="C4" s="1227"/>
      <c r="D4" s="1227"/>
      <c r="E4" s="1228"/>
      <c r="F4" s="1114"/>
      <c r="G4" s="1114"/>
      <c r="H4" s="1114"/>
      <c r="I4" s="69"/>
      <c r="J4" s="69"/>
      <c r="K4" s="69"/>
      <c r="L4" s="69"/>
      <c r="M4" s="69"/>
      <c r="N4" s="69"/>
      <c r="O4" s="69"/>
      <c r="P4" s="69"/>
      <c r="Q4" s="69"/>
      <c r="R4" s="69"/>
      <c r="S4" s="69"/>
      <c r="T4" s="69"/>
      <c r="U4" s="69"/>
      <c r="V4" s="69"/>
      <c r="W4" s="69"/>
      <c r="X4" s="69"/>
      <c r="Y4" s="69"/>
    </row>
    <row r="5" spans="1:25" ht="25.5" customHeight="1">
      <c r="A5" s="1244" t="s">
        <v>10408</v>
      </c>
      <c r="B5" s="1227"/>
      <c r="C5" s="1227"/>
      <c r="D5" s="1227"/>
      <c r="E5" s="1228"/>
      <c r="F5" s="1114"/>
      <c r="G5" s="1114"/>
      <c r="H5" s="1114"/>
      <c r="I5" s="69"/>
      <c r="J5" s="69"/>
      <c r="K5" s="69"/>
      <c r="L5" s="69"/>
      <c r="M5" s="69"/>
      <c r="N5" s="69"/>
      <c r="O5" s="69"/>
      <c r="P5" s="69"/>
      <c r="Q5" s="69"/>
      <c r="R5" s="69"/>
      <c r="S5" s="69"/>
      <c r="T5" s="69"/>
      <c r="U5" s="69"/>
      <c r="V5" s="69"/>
      <c r="W5" s="69"/>
      <c r="X5" s="69"/>
      <c r="Y5" s="69"/>
    </row>
    <row r="6" spans="1:25" ht="39.75" customHeight="1">
      <c r="A6" s="1244" t="s">
        <v>10409</v>
      </c>
      <c r="B6" s="1227"/>
      <c r="C6" s="1227"/>
      <c r="D6" s="1227"/>
      <c r="E6" s="1228"/>
      <c r="F6" s="1114"/>
      <c r="G6" s="1114"/>
      <c r="H6" s="1114"/>
      <c r="I6" s="69"/>
      <c r="J6" s="69"/>
      <c r="K6" s="69"/>
      <c r="L6" s="69"/>
      <c r="M6" s="69"/>
      <c r="N6" s="69"/>
      <c r="O6" s="69"/>
      <c r="P6" s="69"/>
      <c r="Q6" s="69"/>
      <c r="R6" s="69"/>
      <c r="S6" s="69"/>
      <c r="T6" s="69"/>
      <c r="U6" s="69"/>
      <c r="V6" s="69"/>
      <c r="W6" s="69"/>
      <c r="X6" s="69"/>
      <c r="Y6" s="69"/>
    </row>
    <row r="7" spans="1:25" ht="26.25" customHeight="1">
      <c r="A7" s="1244" t="s">
        <v>10410</v>
      </c>
      <c r="B7" s="1227"/>
      <c r="C7" s="1227"/>
      <c r="D7" s="1227"/>
      <c r="E7" s="1228"/>
      <c r="F7" s="1114"/>
      <c r="G7" s="1114"/>
      <c r="H7" s="1114"/>
      <c r="I7" s="69"/>
      <c r="J7" s="69"/>
      <c r="K7" s="69"/>
      <c r="L7" s="69"/>
      <c r="M7" s="69"/>
      <c r="N7" s="69"/>
      <c r="O7" s="69"/>
      <c r="P7" s="69"/>
      <c r="Q7" s="69"/>
      <c r="R7" s="69"/>
      <c r="S7" s="69"/>
      <c r="T7" s="69"/>
      <c r="U7" s="69"/>
      <c r="V7" s="69"/>
      <c r="W7" s="69"/>
      <c r="X7" s="69"/>
      <c r="Y7" s="69"/>
    </row>
    <row r="8" spans="1:25" ht="59.25" customHeight="1">
      <c r="A8" s="1258" t="s">
        <v>10411</v>
      </c>
      <c r="B8" s="1227"/>
      <c r="C8" s="1227"/>
      <c r="D8" s="1227"/>
      <c r="E8" s="1228"/>
      <c r="F8" s="1114"/>
      <c r="G8" s="1114"/>
      <c r="H8" s="1114"/>
      <c r="I8" s="69"/>
      <c r="J8" s="69"/>
      <c r="K8" s="69"/>
      <c r="L8" s="69"/>
      <c r="M8" s="69"/>
      <c r="N8" s="69"/>
      <c r="O8" s="69"/>
      <c r="P8" s="69"/>
      <c r="Q8" s="69"/>
      <c r="R8" s="69"/>
      <c r="S8" s="69"/>
      <c r="T8" s="69"/>
      <c r="U8" s="69"/>
      <c r="V8" s="69"/>
      <c r="W8" s="69"/>
      <c r="X8" s="69"/>
      <c r="Y8" s="69"/>
    </row>
    <row r="9" spans="1:25" ht="14.25">
      <c r="A9" s="77"/>
      <c r="B9" s="77"/>
      <c r="C9" s="78"/>
      <c r="D9" s="78"/>
      <c r="E9" s="78"/>
      <c r="F9" s="77"/>
      <c r="G9" s="77"/>
      <c r="H9" s="77"/>
      <c r="I9" s="69"/>
      <c r="J9" s="69"/>
      <c r="K9" s="69"/>
      <c r="L9" s="69"/>
      <c r="M9" s="69"/>
      <c r="N9" s="69"/>
      <c r="O9" s="69"/>
      <c r="P9" s="69"/>
      <c r="Q9" s="69"/>
      <c r="R9" s="69"/>
      <c r="S9" s="69"/>
      <c r="T9" s="69"/>
      <c r="U9" s="69"/>
      <c r="V9" s="69"/>
      <c r="W9" s="69"/>
      <c r="X9" s="69"/>
      <c r="Y9" s="69"/>
    </row>
    <row r="10" spans="1:25" ht="61.5" customHeight="1">
      <c r="A10" s="377" t="s">
        <v>4419</v>
      </c>
      <c r="B10" s="83" t="s">
        <v>7</v>
      </c>
      <c r="C10" s="83" t="s">
        <v>10412</v>
      </c>
      <c r="D10" s="350" t="s">
        <v>206</v>
      </c>
      <c r="E10" s="350" t="s">
        <v>210</v>
      </c>
      <c r="F10" s="336" t="s">
        <v>211</v>
      </c>
      <c r="I10" s="69"/>
      <c r="J10" s="69"/>
      <c r="K10" s="69"/>
      <c r="L10" s="69"/>
      <c r="M10" s="69"/>
      <c r="N10" s="69"/>
      <c r="O10" s="69"/>
      <c r="P10" s="69"/>
      <c r="Q10" s="69"/>
      <c r="R10" s="69"/>
      <c r="S10" s="69"/>
      <c r="T10" s="69"/>
      <c r="U10" s="69"/>
      <c r="V10" s="69"/>
      <c r="W10" s="69"/>
      <c r="X10" s="69"/>
      <c r="Y10" s="69"/>
    </row>
    <row r="11" spans="1:25" ht="15.75" customHeight="1">
      <c r="A11" s="134" t="s">
        <v>7647</v>
      </c>
      <c r="B11" s="133" t="s">
        <v>51</v>
      </c>
      <c r="C11" s="133" t="s">
        <v>10413</v>
      </c>
      <c r="D11" s="100">
        <v>56</v>
      </c>
      <c r="E11" s="528">
        <v>56</v>
      </c>
      <c r="F11" s="338" t="s">
        <v>221</v>
      </c>
    </row>
    <row r="12" spans="1:25" ht="15.75" customHeight="1">
      <c r="A12" s="134" t="s">
        <v>7647</v>
      </c>
      <c r="B12" s="133" t="s">
        <v>51</v>
      </c>
      <c r="C12" s="133" t="s">
        <v>10414</v>
      </c>
      <c r="D12" s="116">
        <v>200</v>
      </c>
      <c r="E12" s="528">
        <v>200</v>
      </c>
      <c r="F12" s="338" t="s">
        <v>221</v>
      </c>
    </row>
    <row r="13" spans="1:25" ht="15" customHeight="1">
      <c r="A13" s="134" t="s">
        <v>7649</v>
      </c>
      <c r="B13" s="133" t="s">
        <v>51</v>
      </c>
      <c r="C13" s="133" t="s">
        <v>10415</v>
      </c>
      <c r="D13" s="100">
        <v>56</v>
      </c>
      <c r="E13" s="528">
        <v>56</v>
      </c>
      <c r="F13" s="338" t="s">
        <v>7551</v>
      </c>
    </row>
    <row r="14" spans="1:25" ht="15" customHeight="1">
      <c r="A14" s="134" t="s">
        <v>7649</v>
      </c>
      <c r="B14" s="133" t="s">
        <v>51</v>
      </c>
      <c r="C14" s="133" t="s">
        <v>10416</v>
      </c>
      <c r="D14" s="116" t="s">
        <v>10417</v>
      </c>
      <c r="E14" s="528">
        <v>336</v>
      </c>
      <c r="F14" s="338" t="s">
        <v>7551</v>
      </c>
    </row>
    <row r="15" spans="1:25" ht="15" customHeight="1">
      <c r="A15" s="134" t="s">
        <v>7367</v>
      </c>
      <c r="B15" s="133" t="s">
        <v>51</v>
      </c>
      <c r="C15" s="133" t="s">
        <v>10415</v>
      </c>
      <c r="D15" s="100">
        <v>56</v>
      </c>
      <c r="E15" s="528">
        <v>56</v>
      </c>
      <c r="F15" s="338" t="s">
        <v>1315</v>
      </c>
    </row>
    <row r="16" spans="1:25" ht="15" customHeight="1">
      <c r="A16" s="134" t="s">
        <v>7367</v>
      </c>
      <c r="B16" s="133" t="s">
        <v>105</v>
      </c>
      <c r="C16" s="133" t="s">
        <v>10418</v>
      </c>
      <c r="D16" s="116">
        <v>200</v>
      </c>
      <c r="E16" s="528">
        <v>200</v>
      </c>
      <c r="F16" s="338" t="s">
        <v>1315</v>
      </c>
    </row>
    <row r="17" spans="1:6" ht="15" customHeight="1">
      <c r="A17" s="134" t="s">
        <v>7371</v>
      </c>
      <c r="B17" s="133" t="s">
        <v>51</v>
      </c>
      <c r="C17" s="133" t="s">
        <v>10419</v>
      </c>
      <c r="D17" s="116">
        <v>200</v>
      </c>
      <c r="E17" s="528">
        <v>200</v>
      </c>
      <c r="F17" s="338" t="s">
        <v>7371</v>
      </c>
    </row>
    <row r="18" spans="1:6" ht="15" customHeight="1">
      <c r="A18" s="134" t="s">
        <v>7371</v>
      </c>
      <c r="B18" s="133" t="s">
        <v>51</v>
      </c>
      <c r="C18" s="133" t="s">
        <v>10420</v>
      </c>
      <c r="D18" s="116">
        <v>200</v>
      </c>
      <c r="E18" s="528">
        <v>200</v>
      </c>
      <c r="F18" s="338" t="s">
        <v>7371</v>
      </c>
    </row>
    <row r="19" spans="1:6" ht="15" customHeight="1">
      <c r="A19" s="134" t="s">
        <v>10421</v>
      </c>
      <c r="B19" s="133" t="s">
        <v>51</v>
      </c>
      <c r="C19" s="133" t="s">
        <v>10422</v>
      </c>
      <c r="D19" s="100">
        <v>56</v>
      </c>
      <c r="E19" s="528">
        <v>56</v>
      </c>
      <c r="F19" s="338" t="s">
        <v>231</v>
      </c>
    </row>
    <row r="20" spans="1:6" ht="15" customHeight="1">
      <c r="A20" s="134" t="s">
        <v>7554</v>
      </c>
      <c r="B20" s="133" t="s">
        <v>51</v>
      </c>
      <c r="C20" s="133" t="s">
        <v>10422</v>
      </c>
      <c r="D20" s="100">
        <v>56</v>
      </c>
      <c r="E20" s="528">
        <v>56</v>
      </c>
      <c r="F20" s="338" t="s">
        <v>1359</v>
      </c>
    </row>
    <row r="21" spans="1:6" ht="15" customHeight="1">
      <c r="A21" s="134" t="s">
        <v>7554</v>
      </c>
      <c r="B21" s="133" t="s">
        <v>51</v>
      </c>
      <c r="C21" s="133" t="s">
        <v>10423</v>
      </c>
      <c r="D21" s="100">
        <v>200</v>
      </c>
      <c r="E21" s="528">
        <v>200</v>
      </c>
      <c r="F21" s="338" t="s">
        <v>1359</v>
      </c>
    </row>
    <row r="22" spans="1:6" ht="15" customHeight="1">
      <c r="A22" s="134" t="s">
        <v>7554</v>
      </c>
      <c r="B22" s="133" t="s">
        <v>51</v>
      </c>
      <c r="C22" s="133" t="s">
        <v>10424</v>
      </c>
      <c r="D22" s="100">
        <v>90</v>
      </c>
      <c r="E22" s="528">
        <v>90</v>
      </c>
      <c r="F22" s="338" t="s">
        <v>1359</v>
      </c>
    </row>
    <row r="23" spans="1:6" ht="15" customHeight="1">
      <c r="A23" s="134" t="s">
        <v>359</v>
      </c>
      <c r="B23" s="99" t="s">
        <v>51</v>
      </c>
      <c r="C23" s="99" t="s">
        <v>10422</v>
      </c>
      <c r="D23" s="116">
        <v>56</v>
      </c>
      <c r="E23" s="528">
        <v>56</v>
      </c>
      <c r="F23" s="338" t="s">
        <v>359</v>
      </c>
    </row>
    <row r="24" spans="1:6" ht="15" customHeight="1">
      <c r="A24" s="134" t="s">
        <v>359</v>
      </c>
      <c r="B24" s="99" t="s">
        <v>51</v>
      </c>
      <c r="C24" s="99" t="s">
        <v>10425</v>
      </c>
      <c r="D24" s="116">
        <v>200</v>
      </c>
      <c r="E24" s="528">
        <v>200</v>
      </c>
      <c r="F24" s="338" t="s">
        <v>359</v>
      </c>
    </row>
    <row r="25" spans="1:6" ht="15" customHeight="1">
      <c r="A25" s="134" t="s">
        <v>4471</v>
      </c>
      <c r="B25" s="133" t="s">
        <v>51</v>
      </c>
      <c r="C25" s="133" t="s">
        <v>10426</v>
      </c>
      <c r="D25" s="100">
        <v>200</v>
      </c>
      <c r="E25" s="528">
        <v>200</v>
      </c>
      <c r="F25" s="338" t="s">
        <v>4471</v>
      </c>
    </row>
    <row r="26" spans="1:6" ht="15" customHeight="1">
      <c r="A26" s="134" t="s">
        <v>7379</v>
      </c>
      <c r="B26" s="134" t="s">
        <v>51</v>
      </c>
      <c r="C26" s="133" t="s">
        <v>10427</v>
      </c>
      <c r="D26" s="100">
        <v>200</v>
      </c>
      <c r="E26" s="528">
        <v>200</v>
      </c>
      <c r="F26" s="338" t="s">
        <v>384</v>
      </c>
    </row>
    <row r="27" spans="1:6" ht="15" customHeight="1">
      <c r="A27" s="134" t="s">
        <v>7379</v>
      </c>
      <c r="B27" s="134" t="s">
        <v>51</v>
      </c>
      <c r="C27" s="133" t="s">
        <v>10428</v>
      </c>
      <c r="D27" s="100">
        <v>200</v>
      </c>
      <c r="E27" s="528">
        <v>200</v>
      </c>
      <c r="F27" s="338" t="s">
        <v>384</v>
      </c>
    </row>
    <row r="28" spans="1:6" ht="15" customHeight="1">
      <c r="A28" s="134" t="s">
        <v>7379</v>
      </c>
      <c r="B28" s="134" t="s">
        <v>105</v>
      </c>
      <c r="C28" s="133" t="s">
        <v>10429</v>
      </c>
      <c r="D28" s="100">
        <v>336</v>
      </c>
      <c r="E28" s="528">
        <v>336</v>
      </c>
      <c r="F28" s="338" t="s">
        <v>384</v>
      </c>
    </row>
    <row r="29" spans="1:6" ht="15" customHeight="1">
      <c r="A29" s="134" t="s">
        <v>7379</v>
      </c>
      <c r="B29" s="134" t="s">
        <v>968</v>
      </c>
      <c r="C29" s="133" t="s">
        <v>10430</v>
      </c>
      <c r="D29" s="116">
        <v>364</v>
      </c>
      <c r="E29" s="528">
        <v>364</v>
      </c>
      <c r="F29" s="338" t="s">
        <v>384</v>
      </c>
    </row>
    <row r="30" spans="1:6" ht="15" customHeight="1">
      <c r="A30" s="134" t="s">
        <v>7379</v>
      </c>
      <c r="B30" s="134" t="s">
        <v>2438</v>
      </c>
      <c r="C30" s="133" t="s">
        <v>10431</v>
      </c>
      <c r="D30" s="116">
        <v>56</v>
      </c>
      <c r="E30" s="528">
        <v>56</v>
      </c>
      <c r="F30" s="338" t="s">
        <v>384</v>
      </c>
    </row>
    <row r="31" spans="1:6" ht="15" customHeight="1">
      <c r="A31" s="134" t="s">
        <v>7562</v>
      </c>
      <c r="B31" s="133" t="s">
        <v>51</v>
      </c>
      <c r="C31" s="133" t="s">
        <v>10422</v>
      </c>
      <c r="D31" s="100">
        <v>56</v>
      </c>
      <c r="E31" s="100">
        <v>56</v>
      </c>
      <c r="F31" s="338" t="s">
        <v>7563</v>
      </c>
    </row>
    <row r="32" spans="1:6" ht="15" customHeight="1">
      <c r="A32" s="134" t="s">
        <v>7562</v>
      </c>
      <c r="B32" s="133" t="s">
        <v>51</v>
      </c>
      <c r="C32" s="133" t="s">
        <v>10432</v>
      </c>
      <c r="D32" s="100">
        <v>200</v>
      </c>
      <c r="E32" s="100">
        <v>200</v>
      </c>
      <c r="F32" s="338" t="s">
        <v>7563</v>
      </c>
    </row>
    <row r="33" spans="1:6" ht="15" customHeight="1">
      <c r="A33" s="134" t="s">
        <v>7562</v>
      </c>
      <c r="B33" s="133" t="s">
        <v>51</v>
      </c>
      <c r="C33" s="133" t="s">
        <v>10433</v>
      </c>
      <c r="D33" s="100">
        <v>90</v>
      </c>
      <c r="E33" s="100">
        <v>90</v>
      </c>
      <c r="F33" s="338" t="s">
        <v>7563</v>
      </c>
    </row>
    <row r="34" spans="1:6" ht="15" customHeight="1">
      <c r="A34" s="134" t="s">
        <v>7562</v>
      </c>
      <c r="B34" s="133" t="s">
        <v>51</v>
      </c>
      <c r="C34" s="133" t="s">
        <v>10434</v>
      </c>
      <c r="D34" s="116">
        <v>24</v>
      </c>
      <c r="E34" s="528">
        <v>24</v>
      </c>
      <c r="F34" s="338" t="s">
        <v>7563</v>
      </c>
    </row>
    <row r="35" spans="1:6" ht="15" customHeight="1">
      <c r="A35" s="381" t="s">
        <v>1822</v>
      </c>
      <c r="B35" s="99" t="s">
        <v>51</v>
      </c>
      <c r="C35" s="133" t="s">
        <v>10435</v>
      </c>
      <c r="D35" s="100">
        <v>200</v>
      </c>
      <c r="E35" s="528">
        <v>200</v>
      </c>
      <c r="F35" s="338" t="s">
        <v>1822</v>
      </c>
    </row>
    <row r="36" spans="1:6" ht="15" customHeight="1">
      <c r="A36" s="381" t="s">
        <v>1822</v>
      </c>
      <c r="B36" s="99" t="s">
        <v>51</v>
      </c>
      <c r="C36" s="133" t="s">
        <v>10436</v>
      </c>
      <c r="D36" s="100">
        <v>200</v>
      </c>
      <c r="E36" s="528">
        <v>200</v>
      </c>
      <c r="F36" s="338" t="s">
        <v>1822</v>
      </c>
    </row>
    <row r="37" spans="1:6" ht="15" customHeight="1">
      <c r="A37" s="134" t="s">
        <v>7565</v>
      </c>
      <c r="B37" s="133" t="s">
        <v>51</v>
      </c>
      <c r="C37" s="133" t="s">
        <v>10437</v>
      </c>
      <c r="D37" s="100">
        <v>56</v>
      </c>
      <c r="E37" s="528">
        <f t="shared" ref="E37:E38" si="0">D37</f>
        <v>56</v>
      </c>
      <c r="F37" s="338" t="s">
        <v>1869</v>
      </c>
    </row>
    <row r="38" spans="1:6" ht="15" customHeight="1">
      <c r="A38" s="134" t="s">
        <v>7565</v>
      </c>
      <c r="B38" s="133" t="s">
        <v>51</v>
      </c>
      <c r="C38" s="133" t="s">
        <v>10438</v>
      </c>
      <c r="D38" s="116">
        <v>200</v>
      </c>
      <c r="E38" s="528">
        <f t="shared" si="0"/>
        <v>200</v>
      </c>
      <c r="F38" s="338" t="s">
        <v>1869</v>
      </c>
    </row>
    <row r="39" spans="1:6" ht="15" customHeight="1">
      <c r="A39" s="134" t="s">
        <v>409</v>
      </c>
      <c r="B39" s="133" t="s">
        <v>401</v>
      </c>
      <c r="C39" s="133" t="s">
        <v>10439</v>
      </c>
      <c r="D39" s="100">
        <v>200</v>
      </c>
      <c r="E39" s="528">
        <v>200</v>
      </c>
      <c r="F39" s="338" t="s">
        <v>409</v>
      </c>
    </row>
    <row r="40" spans="1:6" ht="15" customHeight="1">
      <c r="A40" s="134" t="s">
        <v>409</v>
      </c>
      <c r="B40" s="133" t="s">
        <v>401</v>
      </c>
      <c r="C40" s="133" t="s">
        <v>10422</v>
      </c>
      <c r="D40" s="116">
        <v>56</v>
      </c>
      <c r="E40" s="528">
        <v>56</v>
      </c>
      <c r="F40" s="338" t="s">
        <v>409</v>
      </c>
    </row>
    <row r="41" spans="1:6" ht="15" customHeight="1">
      <c r="A41" s="134" t="s">
        <v>7047</v>
      </c>
      <c r="B41" s="133" t="s">
        <v>51</v>
      </c>
      <c r="C41" s="99" t="s">
        <v>10422</v>
      </c>
      <c r="D41" s="100">
        <v>56</v>
      </c>
      <c r="E41" s="528">
        <v>56</v>
      </c>
      <c r="F41" s="338" t="s">
        <v>2115</v>
      </c>
    </row>
    <row r="42" spans="1:6" ht="15" customHeight="1">
      <c r="A42" s="134" t="s">
        <v>466</v>
      </c>
      <c r="B42" s="133" t="s">
        <v>401</v>
      </c>
      <c r="C42" s="133" t="s">
        <v>10437</v>
      </c>
      <c r="D42" s="100">
        <v>56</v>
      </c>
      <c r="E42" s="528">
        <v>56</v>
      </c>
      <c r="F42" s="338" t="s">
        <v>466</v>
      </c>
    </row>
    <row r="43" spans="1:6" ht="15" customHeight="1">
      <c r="A43" s="134" t="s">
        <v>4848</v>
      </c>
      <c r="B43" s="133" t="s">
        <v>51</v>
      </c>
      <c r="C43" s="133" t="s">
        <v>10437</v>
      </c>
      <c r="D43" s="100">
        <v>56</v>
      </c>
      <c r="E43" s="528">
        <v>56</v>
      </c>
      <c r="F43" s="338" t="s">
        <v>2207</v>
      </c>
    </row>
    <row r="44" spans="1:6" ht="15" customHeight="1">
      <c r="A44" s="134" t="s">
        <v>4848</v>
      </c>
      <c r="B44" s="133" t="s">
        <v>51</v>
      </c>
      <c r="C44" s="133" t="s">
        <v>10438</v>
      </c>
      <c r="D44" s="100">
        <v>200</v>
      </c>
      <c r="E44" s="528">
        <v>200</v>
      </c>
      <c r="F44" s="338" t="s">
        <v>2207</v>
      </c>
    </row>
    <row r="45" spans="1:6" ht="15" customHeight="1">
      <c r="A45" s="134" t="s">
        <v>2260</v>
      </c>
      <c r="B45" s="99" t="s">
        <v>51</v>
      </c>
      <c r="C45" s="133" t="s">
        <v>10440</v>
      </c>
      <c r="D45" s="116" t="s">
        <v>10441</v>
      </c>
      <c r="E45" s="528">
        <f>200*3</f>
        <v>600</v>
      </c>
      <c r="F45" s="338" t="s">
        <v>2260</v>
      </c>
    </row>
    <row r="46" spans="1:6" ht="15" customHeight="1">
      <c r="A46" s="134" t="s">
        <v>2260</v>
      </c>
      <c r="B46" s="99" t="s">
        <v>51</v>
      </c>
      <c r="C46" s="133" t="s">
        <v>10442</v>
      </c>
      <c r="D46" s="116">
        <v>168</v>
      </c>
      <c r="E46" s="528">
        <f t="shared" ref="E46:E47" si="1">D46</f>
        <v>168</v>
      </c>
      <c r="F46" s="338" t="s">
        <v>2260</v>
      </c>
    </row>
    <row r="47" spans="1:6" ht="15" customHeight="1">
      <c r="A47" s="134" t="s">
        <v>2260</v>
      </c>
      <c r="B47" s="99" t="s">
        <v>51</v>
      </c>
      <c r="C47" s="133" t="s">
        <v>10443</v>
      </c>
      <c r="D47" s="116">
        <v>56</v>
      </c>
      <c r="E47" s="528">
        <f t="shared" si="1"/>
        <v>56</v>
      </c>
      <c r="F47" s="338" t="s">
        <v>2260</v>
      </c>
    </row>
    <row r="48" spans="1:6" ht="15" customHeight="1">
      <c r="A48" s="134" t="s">
        <v>6415</v>
      </c>
      <c r="B48" s="133" t="s">
        <v>51</v>
      </c>
      <c r="C48" s="133" t="s">
        <v>10444</v>
      </c>
      <c r="D48" s="116">
        <v>56</v>
      </c>
      <c r="E48" s="116">
        <v>56</v>
      </c>
      <c r="F48" s="338" t="s">
        <v>482</v>
      </c>
    </row>
    <row r="49" spans="1:6" ht="15" customHeight="1">
      <c r="A49" s="134" t="s">
        <v>6415</v>
      </c>
      <c r="B49" s="133" t="s">
        <v>51</v>
      </c>
      <c r="C49" s="133" t="s">
        <v>10445</v>
      </c>
      <c r="D49" s="116">
        <v>200</v>
      </c>
      <c r="E49" s="528">
        <v>200</v>
      </c>
      <c r="F49" s="338" t="s">
        <v>482</v>
      </c>
    </row>
    <row r="50" spans="1:6" ht="15" customHeight="1">
      <c r="A50" s="134" t="s">
        <v>6415</v>
      </c>
      <c r="B50" s="133" t="s">
        <v>51</v>
      </c>
      <c r="C50" s="133" t="s">
        <v>10446</v>
      </c>
      <c r="D50" s="116">
        <v>200</v>
      </c>
      <c r="E50" s="528">
        <v>200</v>
      </c>
      <c r="F50" s="338" t="s">
        <v>482</v>
      </c>
    </row>
    <row r="51" spans="1:6" ht="15" customHeight="1">
      <c r="A51" s="134" t="s">
        <v>6435</v>
      </c>
      <c r="B51" s="133" t="s">
        <v>51</v>
      </c>
      <c r="C51" s="133" t="s">
        <v>10438</v>
      </c>
      <c r="D51" s="100">
        <v>200</v>
      </c>
      <c r="E51" s="528">
        <v>200</v>
      </c>
      <c r="F51" s="338" t="s">
        <v>2358</v>
      </c>
    </row>
    <row r="52" spans="1:6" ht="15" customHeight="1">
      <c r="A52" s="162" t="s">
        <v>2372</v>
      </c>
      <c r="B52" s="162" t="s">
        <v>51</v>
      </c>
      <c r="C52" s="162" t="s">
        <v>10447</v>
      </c>
      <c r="D52" s="163">
        <v>56</v>
      </c>
      <c r="E52" s="483">
        <v>56</v>
      </c>
      <c r="F52" s="338" t="s">
        <v>2372</v>
      </c>
    </row>
    <row r="53" spans="1:6" ht="15" customHeight="1">
      <c r="A53" s="162" t="s">
        <v>10448</v>
      </c>
      <c r="B53" s="162" t="s">
        <v>51</v>
      </c>
      <c r="C53" s="162" t="s">
        <v>10449</v>
      </c>
      <c r="D53" s="163">
        <v>336</v>
      </c>
      <c r="E53" s="483">
        <v>168</v>
      </c>
      <c r="F53" s="338" t="s">
        <v>2372</v>
      </c>
    </row>
    <row r="54" spans="1:6" ht="15" customHeight="1">
      <c r="A54" s="162" t="s">
        <v>10448</v>
      </c>
      <c r="B54" s="162" t="s">
        <v>51</v>
      </c>
      <c r="C54" s="162" t="s">
        <v>10450</v>
      </c>
      <c r="D54" s="163">
        <v>336</v>
      </c>
      <c r="E54" s="483">
        <v>168</v>
      </c>
      <c r="F54" s="338" t="s">
        <v>2372</v>
      </c>
    </row>
    <row r="55" spans="1:6" ht="15" customHeight="1">
      <c r="A55" s="162" t="s">
        <v>2372</v>
      </c>
      <c r="B55" s="162" t="s">
        <v>51</v>
      </c>
      <c r="C55" s="162" t="s">
        <v>10451</v>
      </c>
      <c r="D55" s="163">
        <v>200</v>
      </c>
      <c r="E55" s="483">
        <v>200</v>
      </c>
      <c r="F55" s="338" t="s">
        <v>2372</v>
      </c>
    </row>
    <row r="56" spans="1:6" ht="15" customHeight="1">
      <c r="A56" s="162" t="s">
        <v>2372</v>
      </c>
      <c r="B56" s="162" t="s">
        <v>51</v>
      </c>
      <c r="C56" s="162" t="s">
        <v>10452</v>
      </c>
      <c r="D56" s="163">
        <v>200</v>
      </c>
      <c r="E56" s="483">
        <v>200</v>
      </c>
      <c r="F56" s="338" t="s">
        <v>2372</v>
      </c>
    </row>
    <row r="57" spans="1:6" ht="15" customHeight="1">
      <c r="A57" s="134" t="s">
        <v>7097</v>
      </c>
      <c r="B57" s="133" t="s">
        <v>51</v>
      </c>
      <c r="C57" s="133" t="s">
        <v>10422</v>
      </c>
      <c r="D57" s="100">
        <v>56</v>
      </c>
      <c r="E57" s="528">
        <f>D57</f>
        <v>56</v>
      </c>
      <c r="F57" s="338" t="s">
        <v>2392</v>
      </c>
    </row>
    <row r="58" spans="1:6" ht="15" customHeight="1">
      <c r="A58" s="134" t="s">
        <v>10453</v>
      </c>
      <c r="B58" s="133" t="s">
        <v>10454</v>
      </c>
      <c r="C58" s="133" t="s">
        <v>10455</v>
      </c>
      <c r="D58" s="100">
        <f t="shared" ref="D58:D59" si="2">12*28</f>
        <v>336</v>
      </c>
      <c r="E58" s="528">
        <f t="shared" ref="E58:E59" si="3">D58/2</f>
        <v>168</v>
      </c>
      <c r="F58" s="338" t="s">
        <v>2392</v>
      </c>
    </row>
    <row r="59" spans="1:6" ht="15" customHeight="1">
      <c r="A59" s="134" t="s">
        <v>10453</v>
      </c>
      <c r="B59" s="133" t="s">
        <v>10454</v>
      </c>
      <c r="C59" s="133" t="s">
        <v>10456</v>
      </c>
      <c r="D59" s="100">
        <f t="shared" si="2"/>
        <v>336</v>
      </c>
      <c r="E59" s="528">
        <f t="shared" si="3"/>
        <v>168</v>
      </c>
      <c r="F59" s="338" t="s">
        <v>2392</v>
      </c>
    </row>
    <row r="60" spans="1:6" ht="15" customHeight="1">
      <c r="A60" s="134" t="s">
        <v>488</v>
      </c>
      <c r="B60" s="133" t="s">
        <v>401</v>
      </c>
      <c r="C60" s="133" t="s">
        <v>10457</v>
      </c>
      <c r="D60" s="116">
        <v>56</v>
      </c>
      <c r="E60" s="528">
        <v>56</v>
      </c>
      <c r="F60" s="338" t="s">
        <v>488</v>
      </c>
    </row>
    <row r="61" spans="1:6" ht="15" customHeight="1">
      <c r="A61" s="134" t="s">
        <v>2513</v>
      </c>
      <c r="B61" s="133" t="s">
        <v>51</v>
      </c>
      <c r="C61" s="133" t="s">
        <v>10458</v>
      </c>
      <c r="D61" s="100">
        <v>56</v>
      </c>
      <c r="E61" s="528">
        <f>D61</f>
        <v>56</v>
      </c>
      <c r="F61" s="338" t="s">
        <v>2513</v>
      </c>
    </row>
    <row r="62" spans="1:6" ht="15" customHeight="1">
      <c r="A62" s="134" t="s">
        <v>7584</v>
      </c>
      <c r="B62" s="133" t="s">
        <v>401</v>
      </c>
      <c r="C62" s="133" t="s">
        <v>10459</v>
      </c>
      <c r="D62" s="116">
        <v>200</v>
      </c>
      <c r="E62" s="528">
        <v>200</v>
      </c>
      <c r="F62" s="338" t="s">
        <v>4565</v>
      </c>
    </row>
    <row r="63" spans="1:6" ht="15" customHeight="1">
      <c r="A63" s="134" t="s">
        <v>7584</v>
      </c>
      <c r="B63" s="133" t="s">
        <v>51</v>
      </c>
      <c r="C63" s="133" t="s">
        <v>10460</v>
      </c>
      <c r="D63" s="116">
        <v>90</v>
      </c>
      <c r="E63" s="528">
        <v>90</v>
      </c>
      <c r="F63" s="338" t="s">
        <v>4565</v>
      </c>
    </row>
    <row r="64" spans="1:6" ht="15" customHeight="1">
      <c r="A64" s="134" t="s">
        <v>7584</v>
      </c>
      <c r="B64" s="133" t="s">
        <v>401</v>
      </c>
      <c r="C64" s="133" t="s">
        <v>10461</v>
      </c>
      <c r="D64" s="116">
        <v>56</v>
      </c>
      <c r="E64" s="528">
        <v>56</v>
      </c>
      <c r="F64" s="338" t="s">
        <v>4565</v>
      </c>
    </row>
    <row r="65" spans="1:6" ht="15" customHeight="1">
      <c r="A65" s="134" t="s">
        <v>7587</v>
      </c>
      <c r="B65" s="133" t="s">
        <v>51</v>
      </c>
      <c r="C65" s="133" t="s">
        <v>10462</v>
      </c>
      <c r="D65" s="100">
        <v>200</v>
      </c>
      <c r="E65" s="528">
        <v>200</v>
      </c>
      <c r="F65" s="338" t="s">
        <v>7589</v>
      </c>
    </row>
    <row r="66" spans="1:6" ht="15" customHeight="1">
      <c r="A66" s="134" t="s">
        <v>2514</v>
      </c>
      <c r="B66" s="133" t="s">
        <v>51</v>
      </c>
      <c r="C66" s="133" t="s">
        <v>10422</v>
      </c>
      <c r="D66" s="116">
        <v>56</v>
      </c>
      <c r="E66" s="528">
        <v>56</v>
      </c>
      <c r="F66" s="338" t="s">
        <v>2514</v>
      </c>
    </row>
    <row r="67" spans="1:6" ht="15" customHeight="1">
      <c r="A67" s="134" t="s">
        <v>2514</v>
      </c>
      <c r="B67" s="133" t="s">
        <v>51</v>
      </c>
      <c r="C67" s="133" t="s">
        <v>10463</v>
      </c>
      <c r="D67" s="116">
        <v>200</v>
      </c>
      <c r="E67" s="528">
        <v>200</v>
      </c>
      <c r="F67" s="338" t="s">
        <v>2514</v>
      </c>
    </row>
    <row r="68" spans="1:6" ht="15" customHeight="1">
      <c r="A68" s="134" t="s">
        <v>2514</v>
      </c>
      <c r="B68" s="133" t="s">
        <v>51</v>
      </c>
      <c r="C68" s="133" t="s">
        <v>10464</v>
      </c>
      <c r="D68" s="116">
        <v>90</v>
      </c>
      <c r="E68" s="528">
        <v>90</v>
      </c>
      <c r="F68" s="338" t="s">
        <v>2514</v>
      </c>
    </row>
    <row r="69" spans="1:6" ht="15" customHeight="1">
      <c r="A69" s="134" t="s">
        <v>2520</v>
      </c>
      <c r="B69" s="133" t="s">
        <v>51</v>
      </c>
      <c r="C69" s="133" t="s">
        <v>10431</v>
      </c>
      <c r="D69" s="100">
        <v>56</v>
      </c>
      <c r="E69" s="528">
        <f>56</f>
        <v>56</v>
      </c>
      <c r="F69" s="338" t="s">
        <v>2520</v>
      </c>
    </row>
    <row r="70" spans="1:6" ht="15" customHeight="1">
      <c r="A70" s="134" t="s">
        <v>7597</v>
      </c>
      <c r="B70" s="133" t="s">
        <v>51</v>
      </c>
      <c r="C70" s="133" t="s">
        <v>10465</v>
      </c>
      <c r="D70" s="100">
        <v>200</v>
      </c>
      <c r="E70" s="528">
        <v>200</v>
      </c>
      <c r="F70" s="338" t="s">
        <v>546</v>
      </c>
    </row>
    <row r="71" spans="1:6" ht="15" customHeight="1">
      <c r="A71" s="134" t="s">
        <v>7597</v>
      </c>
      <c r="B71" s="133" t="s">
        <v>51</v>
      </c>
      <c r="C71" s="133" t="s">
        <v>10466</v>
      </c>
      <c r="D71" s="116">
        <v>90</v>
      </c>
      <c r="E71" s="528">
        <v>90</v>
      </c>
      <c r="F71" s="338" t="s">
        <v>546</v>
      </c>
    </row>
    <row r="72" spans="1:6" ht="15" customHeight="1">
      <c r="A72" s="134" t="s">
        <v>547</v>
      </c>
      <c r="B72" s="133" t="s">
        <v>51</v>
      </c>
      <c r="C72" s="133" t="s">
        <v>10467</v>
      </c>
      <c r="D72" s="116">
        <v>56</v>
      </c>
      <c r="E72" s="116">
        <v>56</v>
      </c>
      <c r="F72" s="338" t="s">
        <v>547</v>
      </c>
    </row>
    <row r="73" spans="1:6" ht="15" customHeight="1">
      <c r="A73" s="134" t="s">
        <v>547</v>
      </c>
      <c r="B73" s="133" t="s">
        <v>51</v>
      </c>
      <c r="C73" s="133" t="s">
        <v>10468</v>
      </c>
      <c r="D73" s="116">
        <v>200</v>
      </c>
      <c r="E73" s="528">
        <v>200</v>
      </c>
      <c r="F73" s="338" t="s">
        <v>547</v>
      </c>
    </row>
    <row r="74" spans="1:6" ht="15" customHeight="1">
      <c r="A74" s="134" t="s">
        <v>547</v>
      </c>
      <c r="B74" s="133" t="s">
        <v>51</v>
      </c>
      <c r="C74" s="133" t="s">
        <v>10469</v>
      </c>
      <c r="D74" s="116">
        <v>200</v>
      </c>
      <c r="E74" s="528">
        <v>200</v>
      </c>
      <c r="F74" s="338" t="s">
        <v>547</v>
      </c>
    </row>
    <row r="75" spans="1:6" ht="15" customHeight="1">
      <c r="A75" s="134" t="s">
        <v>563</v>
      </c>
      <c r="B75" s="133" t="s">
        <v>51</v>
      </c>
      <c r="C75" s="133" t="s">
        <v>10422</v>
      </c>
      <c r="D75" s="116">
        <v>56</v>
      </c>
      <c r="E75" s="528">
        <v>56</v>
      </c>
      <c r="F75" s="338" t="s">
        <v>563</v>
      </c>
    </row>
    <row r="76" spans="1:6" ht="15" customHeight="1">
      <c r="A76" s="134" t="s">
        <v>563</v>
      </c>
      <c r="B76" s="133" t="s">
        <v>51</v>
      </c>
      <c r="C76" s="133" t="s">
        <v>10470</v>
      </c>
      <c r="D76" s="116">
        <v>200</v>
      </c>
      <c r="E76" s="528">
        <v>200</v>
      </c>
      <c r="F76" s="338" t="s">
        <v>563</v>
      </c>
    </row>
    <row r="77" spans="1:6" ht="15" customHeight="1">
      <c r="A77" s="134" t="s">
        <v>563</v>
      </c>
      <c r="B77" s="133" t="s">
        <v>51</v>
      </c>
      <c r="C77" s="133" t="s">
        <v>10471</v>
      </c>
      <c r="D77" s="116">
        <v>90</v>
      </c>
      <c r="E77" s="528">
        <v>90</v>
      </c>
      <c r="F77" s="338" t="s">
        <v>563</v>
      </c>
    </row>
    <row r="78" spans="1:6" ht="15" customHeight="1">
      <c r="A78" s="134" t="s">
        <v>580</v>
      </c>
      <c r="B78" s="133" t="s">
        <v>51</v>
      </c>
      <c r="C78" s="133" t="s">
        <v>10472</v>
      </c>
      <c r="D78" s="100">
        <v>56</v>
      </c>
      <c r="E78" s="528">
        <v>56</v>
      </c>
      <c r="F78" s="338" t="s">
        <v>580</v>
      </c>
    </row>
    <row r="79" spans="1:6" ht="15" customHeight="1">
      <c r="A79" s="134" t="s">
        <v>580</v>
      </c>
      <c r="B79" s="133" t="s">
        <v>51</v>
      </c>
      <c r="C79" s="133" t="s">
        <v>10473</v>
      </c>
      <c r="D79" s="100">
        <v>56</v>
      </c>
      <c r="E79" s="528">
        <v>56</v>
      </c>
      <c r="F79" s="338" t="s">
        <v>580</v>
      </c>
    </row>
    <row r="80" spans="1:6" ht="15" customHeight="1">
      <c r="A80" s="134" t="s">
        <v>7604</v>
      </c>
      <c r="B80" s="133" t="s">
        <v>51</v>
      </c>
      <c r="C80" s="133" t="s">
        <v>10474</v>
      </c>
      <c r="D80" s="100">
        <v>56</v>
      </c>
      <c r="E80" s="528">
        <v>56</v>
      </c>
      <c r="F80" s="338" t="s">
        <v>7606</v>
      </c>
    </row>
    <row r="81" spans="1:26" ht="15" customHeight="1">
      <c r="A81" s="134" t="s">
        <v>592</v>
      </c>
      <c r="B81" s="133" t="s">
        <v>51</v>
      </c>
      <c r="C81" s="133" t="s">
        <v>10422</v>
      </c>
      <c r="D81" s="116">
        <v>56</v>
      </c>
      <c r="E81" s="528">
        <v>56</v>
      </c>
      <c r="F81" s="338" t="s">
        <v>592</v>
      </c>
    </row>
    <row r="82" spans="1:26" ht="15" customHeight="1">
      <c r="A82" s="134" t="s">
        <v>7607</v>
      </c>
      <c r="B82" s="133" t="s">
        <v>51</v>
      </c>
      <c r="C82" s="133" t="s">
        <v>10475</v>
      </c>
      <c r="D82" s="100">
        <v>200</v>
      </c>
      <c r="E82" s="528">
        <v>200</v>
      </c>
      <c r="F82" s="338" t="s">
        <v>608</v>
      </c>
    </row>
    <row r="83" spans="1:26" ht="15" customHeight="1">
      <c r="A83" s="134" t="s">
        <v>7148</v>
      </c>
      <c r="B83" s="133" t="s">
        <v>51</v>
      </c>
      <c r="C83" s="133" t="s">
        <v>10437</v>
      </c>
      <c r="D83" s="116">
        <v>56</v>
      </c>
      <c r="E83" s="528">
        <f t="shared" ref="E83:E85" si="4">D83</f>
        <v>56</v>
      </c>
      <c r="F83" s="338" t="s">
        <v>2783</v>
      </c>
    </row>
    <row r="84" spans="1:26" ht="15" customHeight="1">
      <c r="A84" s="1203" t="s">
        <v>7148</v>
      </c>
      <c r="B84" s="1135" t="s">
        <v>51</v>
      </c>
      <c r="C84" s="1135" t="s">
        <v>10476</v>
      </c>
      <c r="D84" s="1136">
        <f t="shared" ref="D84:D85" si="5">12*14</f>
        <v>168</v>
      </c>
      <c r="E84" s="1138">
        <f t="shared" si="4"/>
        <v>168</v>
      </c>
      <c r="F84" s="338" t="s">
        <v>2783</v>
      </c>
    </row>
    <row r="85" spans="1:26" ht="15" customHeight="1">
      <c r="A85" s="1203" t="s">
        <v>7148</v>
      </c>
      <c r="B85" s="1135" t="s">
        <v>51</v>
      </c>
      <c r="C85" s="1135" t="s">
        <v>10477</v>
      </c>
      <c r="D85" s="1136">
        <f t="shared" si="5"/>
        <v>168</v>
      </c>
      <c r="E85" s="1138">
        <f t="shared" si="4"/>
        <v>168</v>
      </c>
      <c r="F85" s="338" t="s">
        <v>2783</v>
      </c>
    </row>
    <row r="86" spans="1:26" ht="15.75" customHeight="1">
      <c r="A86" s="134" t="s">
        <v>7401</v>
      </c>
      <c r="B86" s="133" t="s">
        <v>141</v>
      </c>
      <c r="C86" s="133" t="s">
        <v>10431</v>
      </c>
      <c r="D86" s="116">
        <v>56</v>
      </c>
      <c r="E86" s="528">
        <v>56</v>
      </c>
      <c r="F86" s="216" t="s">
        <v>7401</v>
      </c>
      <c r="G86" s="216"/>
      <c r="H86" s="216"/>
      <c r="I86" s="216"/>
      <c r="J86" s="216"/>
      <c r="K86" s="216"/>
      <c r="L86" s="216"/>
      <c r="M86" s="216"/>
      <c r="N86" s="216"/>
      <c r="O86" s="216"/>
      <c r="P86" s="216"/>
      <c r="Q86" s="216"/>
      <c r="R86" s="216"/>
      <c r="S86" s="216"/>
      <c r="T86" s="216"/>
      <c r="U86" s="216"/>
      <c r="V86" s="216"/>
      <c r="W86" s="216"/>
      <c r="X86" s="216"/>
      <c r="Y86" s="216"/>
      <c r="Z86" s="216"/>
    </row>
    <row r="87" spans="1:26" ht="15.75" customHeight="1">
      <c r="A87" s="134" t="s">
        <v>7401</v>
      </c>
      <c r="B87" s="133" t="s">
        <v>141</v>
      </c>
      <c r="C87" s="133" t="s">
        <v>10432</v>
      </c>
      <c r="D87" s="116">
        <v>200</v>
      </c>
      <c r="E87" s="528">
        <v>200</v>
      </c>
      <c r="F87" s="216" t="s">
        <v>7401</v>
      </c>
      <c r="G87" s="216"/>
      <c r="H87" s="216"/>
      <c r="I87" s="216"/>
      <c r="J87" s="216"/>
      <c r="K87" s="216"/>
      <c r="L87" s="216"/>
      <c r="M87" s="216"/>
      <c r="N87" s="216"/>
      <c r="O87" s="216"/>
      <c r="P87" s="216"/>
      <c r="Q87" s="216"/>
      <c r="R87" s="216"/>
      <c r="S87" s="216"/>
      <c r="T87" s="216"/>
      <c r="U87" s="216"/>
      <c r="V87" s="216"/>
      <c r="W87" s="216"/>
      <c r="X87" s="216"/>
      <c r="Y87" s="216"/>
      <c r="Z87" s="216"/>
    </row>
    <row r="88" spans="1:26" ht="15.75" customHeight="1">
      <c r="A88" s="134" t="s">
        <v>7401</v>
      </c>
      <c r="B88" s="133" t="s">
        <v>141</v>
      </c>
      <c r="C88" s="133" t="s">
        <v>10478</v>
      </c>
      <c r="D88" s="116">
        <v>90</v>
      </c>
      <c r="E88" s="528">
        <v>90</v>
      </c>
      <c r="F88" s="216" t="s">
        <v>7401</v>
      </c>
      <c r="G88" s="216"/>
      <c r="H88" s="216"/>
      <c r="I88" s="216"/>
      <c r="J88" s="216"/>
      <c r="K88" s="216"/>
      <c r="L88" s="216"/>
      <c r="M88" s="216"/>
      <c r="N88" s="216"/>
      <c r="O88" s="216"/>
      <c r="P88" s="216"/>
      <c r="Q88" s="216"/>
      <c r="R88" s="216"/>
      <c r="S88" s="216"/>
      <c r="T88" s="216"/>
      <c r="U88" s="216"/>
      <c r="V88" s="216"/>
      <c r="W88" s="216"/>
      <c r="X88" s="216"/>
      <c r="Y88" s="216"/>
      <c r="Z88" s="216"/>
    </row>
    <row r="89" spans="1:26" ht="15.75" customHeight="1">
      <c r="A89" s="134" t="s">
        <v>7401</v>
      </c>
      <c r="B89" s="133" t="s">
        <v>141</v>
      </c>
      <c r="C89" s="133" t="s">
        <v>10479</v>
      </c>
      <c r="D89" s="116">
        <v>168</v>
      </c>
      <c r="E89" s="528">
        <v>168</v>
      </c>
      <c r="F89" s="216" t="s">
        <v>7401</v>
      </c>
      <c r="G89" s="216"/>
      <c r="H89" s="216"/>
      <c r="I89" s="216"/>
      <c r="J89" s="216"/>
      <c r="K89" s="216"/>
      <c r="L89" s="216"/>
      <c r="M89" s="216"/>
      <c r="N89" s="216"/>
      <c r="O89" s="216"/>
      <c r="P89" s="216"/>
      <c r="Q89" s="216"/>
      <c r="R89" s="216"/>
      <c r="S89" s="216"/>
      <c r="T89" s="216"/>
      <c r="U89" s="216"/>
      <c r="V89" s="216"/>
      <c r="W89" s="216"/>
      <c r="X89" s="216"/>
      <c r="Y89" s="216"/>
      <c r="Z89" s="216"/>
    </row>
    <row r="90" spans="1:26" ht="15.75" customHeight="1">
      <c r="A90" s="134" t="s">
        <v>730</v>
      </c>
      <c r="B90" s="108" t="s">
        <v>141</v>
      </c>
      <c r="C90" s="133" t="s">
        <v>10422</v>
      </c>
      <c r="D90" s="116">
        <v>56</v>
      </c>
      <c r="E90" s="116">
        <v>56</v>
      </c>
      <c r="F90" s="216" t="str">
        <f t="shared" ref="F90:F94" si="6">A90</f>
        <v>Bogdan Mihai</v>
      </c>
      <c r="G90" s="216"/>
      <c r="H90" s="216"/>
      <c r="I90" s="216"/>
      <c r="J90" s="216"/>
      <c r="K90" s="216"/>
      <c r="L90" s="216"/>
      <c r="M90" s="216"/>
      <c r="N90" s="216"/>
      <c r="O90" s="216"/>
      <c r="P90" s="216"/>
      <c r="Q90" s="216"/>
      <c r="R90" s="216"/>
      <c r="S90" s="216"/>
      <c r="T90" s="216"/>
      <c r="U90" s="216"/>
      <c r="V90" s="216"/>
      <c r="W90" s="216"/>
      <c r="X90" s="216"/>
      <c r="Y90" s="216"/>
      <c r="Z90" s="216"/>
    </row>
    <row r="91" spans="1:26" ht="15.75" customHeight="1">
      <c r="A91" s="134" t="s">
        <v>730</v>
      </c>
      <c r="B91" s="108" t="s">
        <v>141</v>
      </c>
      <c r="C91" s="133" t="s">
        <v>10432</v>
      </c>
      <c r="D91" s="116">
        <v>200</v>
      </c>
      <c r="E91" s="116">
        <v>200</v>
      </c>
      <c r="F91" s="216" t="str">
        <f t="shared" si="6"/>
        <v>Bogdan Mihai</v>
      </c>
      <c r="G91" s="216"/>
      <c r="H91" s="216"/>
      <c r="I91" s="216"/>
      <c r="J91" s="216"/>
      <c r="K91" s="216"/>
      <c r="L91" s="216"/>
      <c r="M91" s="216"/>
      <c r="N91" s="216"/>
      <c r="O91" s="216"/>
      <c r="P91" s="216"/>
      <c r="Q91" s="216"/>
      <c r="R91" s="216"/>
      <c r="S91" s="216"/>
      <c r="T91" s="216"/>
      <c r="U91" s="216"/>
      <c r="V91" s="216"/>
      <c r="W91" s="216"/>
      <c r="X91" s="216"/>
      <c r="Y91" s="216"/>
      <c r="Z91" s="216"/>
    </row>
    <row r="92" spans="1:26" ht="15.75" customHeight="1">
      <c r="A92" s="134" t="s">
        <v>730</v>
      </c>
      <c r="B92" s="108" t="s">
        <v>141</v>
      </c>
      <c r="C92" s="133" t="s">
        <v>10480</v>
      </c>
      <c r="D92" s="116">
        <v>90</v>
      </c>
      <c r="E92" s="116">
        <v>90</v>
      </c>
      <c r="F92" s="216" t="str">
        <f t="shared" si="6"/>
        <v>Bogdan Mihai</v>
      </c>
      <c r="G92" s="216"/>
      <c r="H92" s="216"/>
      <c r="I92" s="216"/>
      <c r="J92" s="216"/>
      <c r="K92" s="216"/>
      <c r="L92" s="216"/>
      <c r="M92" s="216"/>
      <c r="N92" s="216"/>
      <c r="O92" s="216"/>
      <c r="P92" s="216"/>
      <c r="Q92" s="216"/>
      <c r="R92" s="216"/>
      <c r="S92" s="216"/>
      <c r="T92" s="216"/>
      <c r="U92" s="216"/>
      <c r="V92" s="216"/>
      <c r="W92" s="216"/>
      <c r="X92" s="216"/>
      <c r="Y92" s="216"/>
      <c r="Z92" s="216"/>
    </row>
    <row r="93" spans="1:26" ht="15.75" customHeight="1">
      <c r="A93" s="134" t="s">
        <v>730</v>
      </c>
      <c r="B93" s="108" t="s">
        <v>141</v>
      </c>
      <c r="C93" s="133" t="s">
        <v>10481</v>
      </c>
      <c r="D93" s="116">
        <v>168</v>
      </c>
      <c r="E93" s="528">
        <v>168</v>
      </c>
      <c r="F93" s="216" t="str">
        <f t="shared" si="6"/>
        <v>Bogdan Mihai</v>
      </c>
      <c r="G93" s="1"/>
      <c r="H93" s="1"/>
      <c r="I93" s="216"/>
      <c r="J93" s="216"/>
      <c r="K93" s="216"/>
      <c r="L93" s="216"/>
      <c r="M93" s="216"/>
      <c r="N93" s="216"/>
      <c r="O93" s="216"/>
      <c r="P93" s="216"/>
      <c r="Q93" s="216"/>
      <c r="R93" s="216"/>
      <c r="S93" s="216"/>
      <c r="T93" s="216"/>
      <c r="U93" s="216"/>
      <c r="V93" s="216"/>
      <c r="W93" s="216"/>
      <c r="X93" s="216"/>
      <c r="Y93" s="216"/>
      <c r="Z93" s="216"/>
    </row>
    <row r="94" spans="1:26" ht="15" customHeight="1">
      <c r="A94" s="134" t="s">
        <v>2825</v>
      </c>
      <c r="B94" s="133" t="s">
        <v>141</v>
      </c>
      <c r="C94" s="133" t="s">
        <v>10431</v>
      </c>
      <c r="D94" s="116">
        <v>56</v>
      </c>
      <c r="E94" s="528">
        <v>56</v>
      </c>
      <c r="F94" s="216" t="str">
        <f t="shared" si="6"/>
        <v>Bouleanu Iulian</v>
      </c>
      <c r="G94" s="216"/>
      <c r="H94" s="216"/>
      <c r="I94" s="64"/>
      <c r="J94" s="64"/>
      <c r="K94" s="64"/>
      <c r="L94" s="64"/>
      <c r="M94" s="64"/>
      <c r="N94" s="64"/>
      <c r="O94" s="64"/>
      <c r="P94" s="64"/>
      <c r="Q94" s="64"/>
      <c r="R94" s="64"/>
      <c r="S94" s="64"/>
      <c r="T94" s="64"/>
      <c r="U94" s="64"/>
      <c r="V94" s="64"/>
      <c r="W94" s="64"/>
      <c r="X94" s="64"/>
      <c r="Y94" s="64"/>
      <c r="Z94" s="216"/>
    </row>
    <row r="95" spans="1:26" ht="15.75" customHeight="1">
      <c r="A95" s="134" t="s">
        <v>7610</v>
      </c>
      <c r="B95" s="133" t="s">
        <v>141</v>
      </c>
      <c r="C95" s="133" t="s">
        <v>10482</v>
      </c>
      <c r="D95" s="116">
        <v>200</v>
      </c>
      <c r="E95" s="528">
        <f t="shared" ref="E95:E97" si="7">D95</f>
        <v>200</v>
      </c>
      <c r="F95" s="216" t="s">
        <v>7610</v>
      </c>
      <c r="G95" s="1"/>
      <c r="H95" s="1"/>
      <c r="I95" s="216"/>
      <c r="J95" s="216"/>
      <c r="K95" s="216"/>
      <c r="L95" s="216"/>
      <c r="M95" s="216"/>
      <c r="N95" s="216"/>
      <c r="O95" s="216"/>
      <c r="P95" s="216"/>
      <c r="Q95" s="216"/>
      <c r="R95" s="216"/>
      <c r="S95" s="216"/>
      <c r="T95" s="216"/>
      <c r="U95" s="216"/>
      <c r="V95" s="216"/>
      <c r="W95" s="216"/>
      <c r="X95" s="216"/>
      <c r="Y95" s="216"/>
      <c r="Z95" s="216"/>
    </row>
    <row r="96" spans="1:26" ht="15.75" customHeight="1">
      <c r="A96" s="134" t="s">
        <v>7610</v>
      </c>
      <c r="B96" s="133" t="s">
        <v>141</v>
      </c>
      <c r="C96" s="133" t="s">
        <v>10483</v>
      </c>
      <c r="D96" s="116">
        <v>200</v>
      </c>
      <c r="E96" s="528">
        <f t="shared" si="7"/>
        <v>200</v>
      </c>
      <c r="F96" s="216" t="s">
        <v>7610</v>
      </c>
      <c r="G96" s="1"/>
      <c r="H96" s="1"/>
      <c r="I96" s="216"/>
      <c r="J96" s="216"/>
      <c r="K96" s="216"/>
      <c r="L96" s="216"/>
      <c r="M96" s="216"/>
      <c r="N96" s="216"/>
      <c r="O96" s="216"/>
      <c r="P96" s="216"/>
      <c r="Q96" s="216"/>
      <c r="R96" s="216"/>
      <c r="S96" s="216"/>
      <c r="T96" s="216"/>
      <c r="U96" s="216"/>
      <c r="V96" s="216"/>
      <c r="W96" s="216"/>
      <c r="X96" s="216"/>
      <c r="Y96" s="216"/>
      <c r="Z96" s="216"/>
    </row>
    <row r="97" spans="1:26" ht="15.75" customHeight="1">
      <c r="A97" s="134" t="s">
        <v>7610</v>
      </c>
      <c r="B97" s="133" t="s">
        <v>141</v>
      </c>
      <c r="C97" s="133" t="s">
        <v>10484</v>
      </c>
      <c r="D97" s="116">
        <v>196</v>
      </c>
      <c r="E97" s="528">
        <f t="shared" si="7"/>
        <v>196</v>
      </c>
      <c r="F97" s="216" t="s">
        <v>7610</v>
      </c>
      <c r="G97" s="1"/>
      <c r="H97" s="1"/>
      <c r="I97" s="216"/>
      <c r="J97" s="216"/>
      <c r="K97" s="216"/>
      <c r="L97" s="216"/>
      <c r="M97" s="216"/>
      <c r="N97" s="216"/>
      <c r="O97" s="216"/>
      <c r="P97" s="216"/>
      <c r="Q97" s="216"/>
      <c r="R97" s="216"/>
      <c r="S97" s="216"/>
      <c r="T97" s="216"/>
      <c r="U97" s="216"/>
      <c r="V97" s="216"/>
      <c r="W97" s="216"/>
      <c r="X97" s="216"/>
      <c r="Y97" s="216"/>
      <c r="Z97" s="216"/>
    </row>
    <row r="98" spans="1:26" ht="15.75" customHeight="1">
      <c r="A98" s="134" t="s">
        <v>7610</v>
      </c>
      <c r="B98" s="133" t="s">
        <v>141</v>
      </c>
      <c r="C98" s="134" t="s">
        <v>10431</v>
      </c>
      <c r="D98" s="99">
        <v>56</v>
      </c>
      <c r="E98" s="99" t="s">
        <v>10485</v>
      </c>
      <c r="F98" s="216" t="s">
        <v>7610</v>
      </c>
      <c r="G98" s="1"/>
      <c r="H98" s="1"/>
      <c r="I98" s="216"/>
      <c r="J98" s="216"/>
      <c r="K98" s="216"/>
      <c r="L98" s="216"/>
      <c r="M98" s="216"/>
      <c r="N98" s="216"/>
      <c r="O98" s="216"/>
      <c r="P98" s="216"/>
      <c r="Q98" s="216"/>
      <c r="R98" s="216"/>
      <c r="S98" s="216"/>
      <c r="T98" s="216"/>
      <c r="U98" s="216"/>
      <c r="V98" s="216"/>
      <c r="W98" s="216"/>
      <c r="X98" s="216"/>
      <c r="Y98" s="216"/>
      <c r="Z98" s="216"/>
    </row>
    <row r="99" spans="1:26" ht="15.75" customHeight="1">
      <c r="A99" s="134" t="s">
        <v>7610</v>
      </c>
      <c r="B99" s="133" t="s">
        <v>141</v>
      </c>
      <c r="C99" s="134" t="s">
        <v>10154</v>
      </c>
      <c r="D99" s="1158">
        <v>30</v>
      </c>
      <c r="E99" s="528">
        <v>30</v>
      </c>
      <c r="F99" s="216" t="s">
        <v>7610</v>
      </c>
      <c r="G99" s="1"/>
      <c r="H99" s="1"/>
      <c r="I99" s="216"/>
      <c r="J99" s="216"/>
      <c r="K99" s="216"/>
      <c r="L99" s="216"/>
      <c r="M99" s="216"/>
      <c r="N99" s="216"/>
      <c r="O99" s="216"/>
      <c r="P99" s="216"/>
      <c r="Q99" s="216"/>
      <c r="R99" s="216"/>
      <c r="S99" s="216"/>
      <c r="T99" s="216"/>
      <c r="U99" s="216"/>
      <c r="V99" s="216"/>
      <c r="W99" s="216"/>
      <c r="X99" s="216"/>
      <c r="Y99" s="216"/>
      <c r="Z99" s="216"/>
    </row>
    <row r="100" spans="1:26" ht="15.75" customHeight="1">
      <c r="A100" s="134" t="s">
        <v>2962</v>
      </c>
      <c r="B100" s="99" t="s">
        <v>141</v>
      </c>
      <c r="C100" s="133" t="s">
        <v>10431</v>
      </c>
      <c r="D100" s="116">
        <v>56</v>
      </c>
      <c r="E100" s="528">
        <v>56</v>
      </c>
      <c r="F100" s="216" t="str">
        <f t="shared" ref="F100:F150" si="8">A100</f>
        <v>Breazu Macarie</v>
      </c>
      <c r="G100" s="1"/>
      <c r="H100" s="1"/>
      <c r="I100" s="216"/>
      <c r="J100" s="216"/>
      <c r="K100" s="216"/>
      <c r="L100" s="216"/>
      <c r="M100" s="216"/>
      <c r="N100" s="216"/>
      <c r="O100" s="216"/>
      <c r="P100" s="216"/>
      <c r="Q100" s="216"/>
      <c r="R100" s="216"/>
      <c r="S100" s="216"/>
      <c r="T100" s="216"/>
      <c r="U100" s="216"/>
      <c r="V100" s="216"/>
      <c r="W100" s="216"/>
      <c r="X100" s="216"/>
      <c r="Y100" s="216"/>
      <c r="Z100" s="216"/>
    </row>
    <row r="101" spans="1:26" ht="15.75" customHeight="1">
      <c r="A101" s="134" t="s">
        <v>2962</v>
      </c>
      <c r="B101" s="99" t="s">
        <v>141</v>
      </c>
      <c r="C101" s="133" t="s">
        <v>10432</v>
      </c>
      <c r="D101" s="116">
        <v>200</v>
      </c>
      <c r="E101" s="528">
        <v>200</v>
      </c>
      <c r="F101" s="216" t="str">
        <f t="shared" si="8"/>
        <v>Breazu Macarie</v>
      </c>
      <c r="G101" s="1"/>
      <c r="H101" s="1"/>
      <c r="I101" s="216"/>
      <c r="J101" s="216"/>
      <c r="K101" s="216"/>
      <c r="L101" s="216"/>
      <c r="M101" s="216"/>
      <c r="N101" s="216"/>
      <c r="O101" s="216"/>
      <c r="P101" s="216"/>
      <c r="Q101" s="216"/>
      <c r="R101" s="216"/>
      <c r="S101" s="216"/>
      <c r="T101" s="216"/>
      <c r="U101" s="216"/>
      <c r="V101" s="216"/>
      <c r="W101" s="216"/>
      <c r="X101" s="216"/>
      <c r="Y101" s="216"/>
      <c r="Z101" s="216"/>
    </row>
    <row r="102" spans="1:26" ht="15.75" customHeight="1">
      <c r="A102" s="134" t="s">
        <v>2962</v>
      </c>
      <c r="B102" s="99" t="s">
        <v>141</v>
      </c>
      <c r="C102" s="133" t="s">
        <v>10486</v>
      </c>
      <c r="D102" s="116">
        <v>168</v>
      </c>
      <c r="E102" s="528">
        <v>168</v>
      </c>
      <c r="F102" s="216" t="str">
        <f t="shared" si="8"/>
        <v>Breazu Macarie</v>
      </c>
      <c r="G102" s="1"/>
      <c r="H102" s="1"/>
      <c r="I102" s="216"/>
      <c r="J102" s="216"/>
      <c r="K102" s="216"/>
      <c r="L102" s="216"/>
      <c r="M102" s="216"/>
      <c r="N102" s="216"/>
      <c r="O102" s="216"/>
      <c r="P102" s="216"/>
      <c r="Q102" s="216"/>
      <c r="R102" s="216"/>
      <c r="S102" s="216"/>
      <c r="T102" s="216"/>
      <c r="U102" s="216"/>
      <c r="V102" s="216"/>
      <c r="W102" s="216"/>
      <c r="X102" s="216"/>
      <c r="Y102" s="216"/>
      <c r="Z102" s="216"/>
    </row>
    <row r="103" spans="1:26" ht="15.75" customHeight="1">
      <c r="A103" s="438" t="s">
        <v>758</v>
      </c>
      <c r="B103" s="138" t="s">
        <v>141</v>
      </c>
      <c r="C103" s="138" t="s">
        <v>10437</v>
      </c>
      <c r="D103" s="1055">
        <v>56</v>
      </c>
      <c r="E103" s="1117">
        <v>56</v>
      </c>
      <c r="F103" s="216" t="str">
        <f t="shared" si="8"/>
        <v>Chis Radu</v>
      </c>
      <c r="G103" s="1"/>
      <c r="H103" s="1"/>
      <c r="I103" s="216"/>
      <c r="J103" s="216"/>
      <c r="K103" s="216"/>
      <c r="L103" s="216"/>
      <c r="M103" s="216"/>
      <c r="N103" s="216"/>
      <c r="O103" s="216"/>
      <c r="P103" s="216"/>
      <c r="Q103" s="216"/>
      <c r="R103" s="216"/>
      <c r="S103" s="216"/>
      <c r="T103" s="216"/>
      <c r="U103" s="216"/>
      <c r="V103" s="216"/>
      <c r="W103" s="216"/>
      <c r="X103" s="216"/>
      <c r="Y103" s="216"/>
      <c r="Z103" s="216"/>
    </row>
    <row r="104" spans="1:26" ht="15.75" customHeight="1">
      <c r="A104" s="438" t="s">
        <v>7169</v>
      </c>
      <c r="B104" s="138" t="s">
        <v>141</v>
      </c>
      <c r="C104" s="138" t="s">
        <v>10431</v>
      </c>
      <c r="D104" s="229">
        <v>56</v>
      </c>
      <c r="E104" s="1117">
        <v>56</v>
      </c>
      <c r="F104" s="216" t="str">
        <f t="shared" si="8"/>
        <v>Ciurea Stelian</v>
      </c>
      <c r="G104" s="1"/>
      <c r="H104" s="1"/>
      <c r="I104" s="216"/>
      <c r="J104" s="216"/>
      <c r="K104" s="216"/>
      <c r="L104" s="216"/>
      <c r="M104" s="216"/>
      <c r="N104" s="216"/>
      <c r="O104" s="216"/>
      <c r="P104" s="216"/>
      <c r="Q104" s="216"/>
      <c r="R104" s="216"/>
      <c r="S104" s="216"/>
      <c r="T104" s="216"/>
      <c r="U104" s="216"/>
      <c r="V104" s="216"/>
      <c r="W104" s="216"/>
      <c r="X104" s="216"/>
      <c r="Y104" s="216"/>
      <c r="Z104" s="216"/>
    </row>
    <row r="105" spans="1:26" ht="15.75" customHeight="1">
      <c r="A105" s="438" t="s">
        <v>7169</v>
      </c>
      <c r="B105" s="138" t="s">
        <v>141</v>
      </c>
      <c r="C105" s="138" t="s">
        <v>10487</v>
      </c>
      <c r="D105" s="229">
        <v>90</v>
      </c>
      <c r="E105" s="1117">
        <v>90</v>
      </c>
      <c r="F105" s="216" t="str">
        <f t="shared" si="8"/>
        <v>Ciurea Stelian</v>
      </c>
      <c r="G105" s="1"/>
      <c r="H105" s="1"/>
      <c r="I105" s="216"/>
      <c r="J105" s="216"/>
      <c r="K105" s="216"/>
      <c r="L105" s="216"/>
      <c r="M105" s="216"/>
      <c r="N105" s="216"/>
      <c r="O105" s="216"/>
      <c r="P105" s="216"/>
      <c r="Q105" s="216"/>
      <c r="R105" s="216"/>
      <c r="S105" s="216"/>
      <c r="T105" s="216"/>
      <c r="U105" s="216"/>
      <c r="V105" s="216"/>
      <c r="W105" s="216"/>
      <c r="X105" s="216"/>
      <c r="Y105" s="216"/>
      <c r="Z105" s="216"/>
    </row>
    <row r="106" spans="1:26" ht="15.75" customHeight="1">
      <c r="A106" s="134" t="s">
        <v>759</v>
      </c>
      <c r="B106" s="133" t="s">
        <v>141</v>
      </c>
      <c r="C106" s="133" t="s">
        <v>10437</v>
      </c>
      <c r="D106" s="100">
        <v>56</v>
      </c>
      <c r="E106" s="528">
        <f t="shared" ref="E106:E108" si="9">D106</f>
        <v>56</v>
      </c>
      <c r="F106" s="216" t="str">
        <f t="shared" si="8"/>
        <v>Cofaru Ileana Ioana</v>
      </c>
      <c r="G106" s="1"/>
      <c r="H106" s="1"/>
      <c r="I106" s="216"/>
      <c r="J106" s="216"/>
      <c r="K106" s="216"/>
      <c r="L106" s="216"/>
      <c r="M106" s="216"/>
      <c r="N106" s="216"/>
      <c r="O106" s="216"/>
      <c r="P106" s="216"/>
      <c r="Q106" s="216"/>
      <c r="R106" s="216"/>
      <c r="S106" s="216"/>
      <c r="T106" s="216"/>
      <c r="U106" s="216"/>
      <c r="V106" s="216"/>
      <c r="W106" s="216"/>
      <c r="X106" s="216"/>
      <c r="Y106" s="216"/>
      <c r="Z106" s="216"/>
    </row>
    <row r="107" spans="1:26" ht="15.75" customHeight="1">
      <c r="A107" s="134" t="s">
        <v>759</v>
      </c>
      <c r="B107" s="133" t="s">
        <v>141</v>
      </c>
      <c r="C107" s="133" t="s">
        <v>10438</v>
      </c>
      <c r="D107" s="116">
        <v>200</v>
      </c>
      <c r="E107" s="528">
        <f t="shared" si="9"/>
        <v>200</v>
      </c>
      <c r="F107" s="216" t="str">
        <f t="shared" si="8"/>
        <v>Cofaru Ileana Ioana</v>
      </c>
      <c r="G107" s="1"/>
      <c r="H107" s="1"/>
      <c r="I107" s="216"/>
      <c r="J107" s="216"/>
      <c r="K107" s="216"/>
      <c r="L107" s="216"/>
      <c r="M107" s="216"/>
      <c r="N107" s="216"/>
      <c r="O107" s="216"/>
      <c r="P107" s="216"/>
      <c r="Q107" s="216"/>
      <c r="R107" s="216"/>
      <c r="S107" s="216"/>
      <c r="T107" s="216"/>
      <c r="U107" s="216"/>
      <c r="V107" s="216"/>
      <c r="W107" s="216"/>
      <c r="X107" s="216"/>
      <c r="Y107" s="216"/>
      <c r="Z107" s="216"/>
    </row>
    <row r="108" spans="1:26" ht="15.75" customHeight="1">
      <c r="A108" s="134" t="s">
        <v>759</v>
      </c>
      <c r="B108" s="133" t="s">
        <v>141</v>
      </c>
      <c r="C108" s="133" t="s">
        <v>10488</v>
      </c>
      <c r="D108" s="100">
        <v>90</v>
      </c>
      <c r="E108" s="528">
        <f t="shared" si="9"/>
        <v>90</v>
      </c>
      <c r="F108" s="216" t="str">
        <f t="shared" si="8"/>
        <v>Cofaru Ileana Ioana</v>
      </c>
      <c r="G108" s="1"/>
      <c r="H108" s="1"/>
      <c r="I108" s="216"/>
      <c r="J108" s="216"/>
      <c r="K108" s="216"/>
      <c r="L108" s="216"/>
      <c r="M108" s="216"/>
      <c r="N108" s="216"/>
      <c r="O108" s="216"/>
      <c r="P108" s="216"/>
      <c r="Q108" s="216"/>
      <c r="R108" s="216"/>
      <c r="S108" s="216"/>
      <c r="T108" s="216"/>
      <c r="U108" s="216"/>
      <c r="V108" s="216"/>
      <c r="W108" s="216"/>
      <c r="X108" s="216"/>
      <c r="Y108" s="216"/>
      <c r="Z108" s="216"/>
    </row>
    <row r="109" spans="1:26" ht="15.75" customHeight="1">
      <c r="A109" s="134" t="s">
        <v>761</v>
      </c>
      <c r="B109" s="133" t="s">
        <v>141</v>
      </c>
      <c r="C109" s="133" t="s">
        <v>10431</v>
      </c>
      <c r="D109" s="116">
        <v>56</v>
      </c>
      <c r="E109" s="528">
        <v>56</v>
      </c>
      <c r="F109" s="216" t="str">
        <f t="shared" si="8"/>
        <v>Craciunas Gabriela</v>
      </c>
      <c r="G109" s="1"/>
      <c r="H109" s="1"/>
      <c r="I109" s="216"/>
      <c r="J109" s="216"/>
      <c r="K109" s="216"/>
      <c r="L109" s="216"/>
      <c r="M109" s="216"/>
      <c r="N109" s="216"/>
      <c r="O109" s="216"/>
      <c r="P109" s="216"/>
      <c r="Q109" s="216"/>
      <c r="R109" s="216"/>
      <c r="S109" s="216"/>
      <c r="T109" s="216"/>
      <c r="U109" s="216"/>
      <c r="V109" s="216"/>
      <c r="W109" s="216"/>
      <c r="X109" s="216"/>
      <c r="Y109" s="216"/>
      <c r="Z109" s="216"/>
    </row>
    <row r="110" spans="1:26" ht="15.75" customHeight="1">
      <c r="A110" s="134" t="s">
        <v>761</v>
      </c>
      <c r="B110" s="133" t="s">
        <v>141</v>
      </c>
      <c r="C110" s="133" t="s">
        <v>10489</v>
      </c>
      <c r="D110" s="116">
        <v>200</v>
      </c>
      <c r="E110" s="528">
        <v>200</v>
      </c>
      <c r="F110" s="216" t="str">
        <f t="shared" si="8"/>
        <v>Craciunas Gabriela</v>
      </c>
      <c r="G110" s="1"/>
      <c r="H110" s="1"/>
      <c r="I110" s="216"/>
      <c r="J110" s="216"/>
      <c r="K110" s="216"/>
      <c r="L110" s="216"/>
      <c r="M110" s="216"/>
      <c r="N110" s="216"/>
      <c r="O110" s="216"/>
      <c r="P110" s="216"/>
      <c r="Q110" s="216"/>
      <c r="R110" s="216"/>
      <c r="S110" s="216"/>
      <c r="T110" s="216"/>
      <c r="U110" s="216"/>
      <c r="V110" s="216"/>
      <c r="W110" s="216"/>
      <c r="X110" s="216"/>
      <c r="Y110" s="216"/>
      <c r="Z110" s="216"/>
    </row>
    <row r="111" spans="1:26" ht="15.75" customHeight="1">
      <c r="A111" s="134" t="s">
        <v>7612</v>
      </c>
      <c r="B111" s="133" t="s">
        <v>141</v>
      </c>
      <c r="C111" s="133" t="s">
        <v>10438</v>
      </c>
      <c r="D111" s="100">
        <v>200</v>
      </c>
      <c r="E111" s="528">
        <v>200</v>
      </c>
      <c r="F111" s="216" t="str">
        <f t="shared" si="8"/>
        <v>Craciunean Daniel-Cristian</v>
      </c>
      <c r="G111" s="1"/>
      <c r="H111" s="1"/>
      <c r="I111" s="216"/>
      <c r="J111" s="216"/>
      <c r="K111" s="216"/>
      <c r="L111" s="216"/>
      <c r="M111" s="216"/>
      <c r="N111" s="216"/>
      <c r="O111" s="216"/>
      <c r="P111" s="216"/>
      <c r="Q111" s="216"/>
      <c r="R111" s="216"/>
      <c r="S111" s="216"/>
      <c r="T111" s="216"/>
      <c r="U111" s="216"/>
      <c r="V111" s="216"/>
      <c r="W111" s="216"/>
      <c r="X111" s="216"/>
      <c r="Y111" s="216"/>
      <c r="Z111" s="216"/>
    </row>
    <row r="112" spans="1:26" ht="15.75" customHeight="1">
      <c r="A112" s="134" t="s">
        <v>7612</v>
      </c>
      <c r="B112" s="133" t="s">
        <v>141</v>
      </c>
      <c r="C112" s="133" t="s">
        <v>10437</v>
      </c>
      <c r="D112" s="116">
        <v>56</v>
      </c>
      <c r="E112" s="528">
        <v>56</v>
      </c>
      <c r="F112" s="216" t="str">
        <f t="shared" si="8"/>
        <v>Craciunean Daniel-Cristian</v>
      </c>
      <c r="G112" s="1"/>
      <c r="H112" s="1"/>
      <c r="I112" s="216"/>
      <c r="J112" s="216"/>
      <c r="K112" s="216"/>
      <c r="L112" s="216"/>
      <c r="M112" s="216"/>
      <c r="N112" s="216"/>
      <c r="O112" s="216"/>
      <c r="P112" s="216"/>
      <c r="Q112" s="216"/>
      <c r="R112" s="216"/>
      <c r="S112" s="216"/>
      <c r="T112" s="216"/>
      <c r="U112" s="216"/>
      <c r="V112" s="216"/>
      <c r="W112" s="216"/>
      <c r="X112" s="216"/>
      <c r="Y112" s="216"/>
      <c r="Z112" s="216"/>
    </row>
    <row r="113" spans="1:26" ht="15.75" customHeight="1">
      <c r="A113" s="134" t="s">
        <v>7612</v>
      </c>
      <c r="B113" s="133" t="s">
        <v>141</v>
      </c>
      <c r="C113" s="133" t="s">
        <v>10490</v>
      </c>
      <c r="D113" s="100">
        <v>90</v>
      </c>
      <c r="E113" s="528">
        <v>90</v>
      </c>
      <c r="F113" s="216" t="str">
        <f t="shared" si="8"/>
        <v>Craciunean Daniel-Cristian</v>
      </c>
      <c r="G113" s="1"/>
      <c r="H113" s="1"/>
      <c r="I113" s="216"/>
      <c r="J113" s="216"/>
      <c r="K113" s="216"/>
      <c r="L113" s="216"/>
      <c r="M113" s="216"/>
      <c r="N113" s="216"/>
      <c r="O113" s="216"/>
      <c r="P113" s="216"/>
      <c r="Q113" s="216"/>
      <c r="R113" s="216"/>
      <c r="S113" s="216"/>
      <c r="T113" s="216"/>
      <c r="U113" s="216"/>
      <c r="V113" s="216"/>
      <c r="W113" s="216"/>
      <c r="X113" s="216"/>
      <c r="Y113" s="216"/>
      <c r="Z113" s="216"/>
    </row>
    <row r="114" spans="1:26" ht="15.75" customHeight="1">
      <c r="A114" s="134" t="s">
        <v>10491</v>
      </c>
      <c r="B114" s="133" t="s">
        <v>141</v>
      </c>
      <c r="C114" s="133" t="s">
        <v>10431</v>
      </c>
      <c r="D114" s="116">
        <v>56</v>
      </c>
      <c r="E114" s="528">
        <v>56</v>
      </c>
      <c r="F114" s="216" t="str">
        <f t="shared" si="8"/>
        <v>Crețulescu Radu George</v>
      </c>
      <c r="G114" s="1"/>
      <c r="H114" s="1"/>
      <c r="I114" s="216"/>
      <c r="J114" s="216"/>
      <c r="K114" s="216"/>
      <c r="L114" s="216"/>
      <c r="M114" s="216"/>
      <c r="N114" s="216"/>
      <c r="O114" s="216"/>
      <c r="P114" s="216"/>
      <c r="Q114" s="216"/>
      <c r="R114" s="216"/>
      <c r="S114" s="216"/>
      <c r="T114" s="216"/>
      <c r="U114" s="216"/>
      <c r="V114" s="216"/>
      <c r="W114" s="216"/>
      <c r="X114" s="216"/>
      <c r="Y114" s="216"/>
      <c r="Z114" s="216"/>
    </row>
    <row r="115" spans="1:26" ht="15.75" customHeight="1">
      <c r="A115" s="134" t="s">
        <v>10491</v>
      </c>
      <c r="B115" s="133" t="s">
        <v>141</v>
      </c>
      <c r="C115" s="133" t="s">
        <v>10432</v>
      </c>
      <c r="D115" s="116">
        <v>200</v>
      </c>
      <c r="E115" s="528">
        <v>200</v>
      </c>
      <c r="F115" s="216" t="str">
        <f t="shared" si="8"/>
        <v>Crețulescu Radu George</v>
      </c>
      <c r="G115" s="1"/>
      <c r="H115" s="1"/>
      <c r="I115" s="216"/>
      <c r="J115" s="216"/>
      <c r="K115" s="216"/>
      <c r="L115" s="216"/>
      <c r="M115" s="216"/>
      <c r="N115" s="216"/>
      <c r="O115" s="216"/>
      <c r="P115" s="216"/>
      <c r="Q115" s="216"/>
      <c r="R115" s="216"/>
      <c r="S115" s="216"/>
      <c r="T115" s="216"/>
      <c r="U115" s="216"/>
      <c r="V115" s="216"/>
      <c r="W115" s="216"/>
      <c r="X115" s="216"/>
      <c r="Y115" s="216"/>
      <c r="Z115" s="216"/>
    </row>
    <row r="116" spans="1:26" ht="15.75" customHeight="1">
      <c r="A116" s="134" t="s">
        <v>10491</v>
      </c>
      <c r="B116" s="133" t="s">
        <v>141</v>
      </c>
      <c r="C116" s="133" t="s">
        <v>10492</v>
      </c>
      <c r="D116" s="116">
        <v>90</v>
      </c>
      <c r="E116" s="528">
        <v>90</v>
      </c>
      <c r="F116" s="216" t="str">
        <f t="shared" si="8"/>
        <v>Crețulescu Radu George</v>
      </c>
      <c r="G116" s="1"/>
      <c r="H116" s="1"/>
      <c r="I116" s="216"/>
      <c r="J116" s="216"/>
      <c r="K116" s="216"/>
      <c r="L116" s="216"/>
      <c r="M116" s="216"/>
      <c r="N116" s="216"/>
      <c r="O116" s="216"/>
      <c r="P116" s="216"/>
      <c r="Q116" s="216"/>
      <c r="R116" s="216"/>
      <c r="S116" s="216"/>
      <c r="T116" s="216"/>
      <c r="U116" s="216"/>
      <c r="V116" s="216"/>
      <c r="W116" s="216"/>
      <c r="X116" s="216"/>
      <c r="Y116" s="216"/>
      <c r="Z116" s="216"/>
    </row>
    <row r="117" spans="1:26" ht="15.75" customHeight="1">
      <c r="A117" s="438" t="s">
        <v>7613</v>
      </c>
      <c r="B117" s="183" t="s">
        <v>141</v>
      </c>
      <c r="C117" s="133" t="s">
        <v>10431</v>
      </c>
      <c r="D117" s="116">
        <v>56</v>
      </c>
      <c r="E117" s="528">
        <v>56</v>
      </c>
      <c r="F117" s="216" t="str">
        <f t="shared" si="8"/>
        <v>DOROBANȚIU Alexandru</v>
      </c>
      <c r="G117" s="1"/>
      <c r="H117" s="1"/>
      <c r="I117" s="216"/>
      <c r="J117" s="216"/>
      <c r="K117" s="216"/>
      <c r="L117" s="216"/>
      <c r="M117" s="216"/>
      <c r="N117" s="216"/>
      <c r="O117" s="216"/>
      <c r="P117" s="216"/>
      <c r="Q117" s="216"/>
      <c r="R117" s="216"/>
      <c r="S117" s="216"/>
      <c r="T117" s="216"/>
      <c r="U117" s="216"/>
      <c r="V117" s="216"/>
      <c r="W117" s="216"/>
      <c r="X117" s="216"/>
      <c r="Y117" s="216"/>
      <c r="Z117" s="216"/>
    </row>
    <row r="118" spans="1:26" ht="15.75" customHeight="1">
      <c r="A118" s="438" t="s">
        <v>7613</v>
      </c>
      <c r="B118" s="183" t="s">
        <v>141</v>
      </c>
      <c r="C118" s="133" t="s">
        <v>10432</v>
      </c>
      <c r="D118" s="116">
        <v>200</v>
      </c>
      <c r="E118" s="528">
        <v>200</v>
      </c>
      <c r="F118" s="216" t="str">
        <f t="shared" si="8"/>
        <v>DOROBANȚIU Alexandru</v>
      </c>
      <c r="G118" s="1"/>
      <c r="H118" s="1"/>
      <c r="I118" s="216"/>
      <c r="J118" s="216"/>
      <c r="K118" s="216"/>
      <c r="L118" s="216"/>
      <c r="M118" s="216"/>
      <c r="N118" s="216"/>
      <c r="O118" s="216"/>
      <c r="P118" s="216"/>
      <c r="Q118" s="216"/>
      <c r="R118" s="216"/>
      <c r="S118" s="216"/>
      <c r="T118" s="216"/>
      <c r="U118" s="216"/>
      <c r="V118" s="216"/>
      <c r="W118" s="216"/>
      <c r="X118" s="216"/>
      <c r="Y118" s="216"/>
      <c r="Z118" s="216"/>
    </row>
    <row r="119" spans="1:26" ht="15.75" customHeight="1">
      <c r="A119" s="438" t="s">
        <v>7613</v>
      </c>
      <c r="B119" s="183" t="s">
        <v>141</v>
      </c>
      <c r="C119" s="133" t="s">
        <v>10493</v>
      </c>
      <c r="D119" s="116">
        <v>90</v>
      </c>
      <c r="E119" s="528">
        <v>90</v>
      </c>
      <c r="F119" s="216" t="str">
        <f t="shared" si="8"/>
        <v>DOROBANȚIU Alexandru</v>
      </c>
      <c r="G119" s="1"/>
      <c r="H119" s="1"/>
      <c r="I119" s="216"/>
      <c r="J119" s="216"/>
      <c r="K119" s="216"/>
      <c r="L119" s="216"/>
      <c r="M119" s="216"/>
      <c r="N119" s="216"/>
      <c r="O119" s="216"/>
      <c r="P119" s="216"/>
      <c r="Q119" s="216"/>
      <c r="R119" s="216"/>
      <c r="S119" s="216"/>
      <c r="T119" s="216"/>
      <c r="U119" s="216"/>
      <c r="V119" s="216"/>
      <c r="W119" s="216"/>
      <c r="X119" s="216"/>
      <c r="Y119" s="216"/>
      <c r="Z119" s="216"/>
    </row>
    <row r="120" spans="1:26" ht="15.75" customHeight="1">
      <c r="A120" s="134" t="s">
        <v>7407</v>
      </c>
      <c r="B120" s="133" t="s">
        <v>141</v>
      </c>
      <c r="C120" s="133" t="s">
        <v>10422</v>
      </c>
      <c r="D120" s="100">
        <v>56</v>
      </c>
      <c r="E120" s="528">
        <f t="shared" ref="E120:E121" si="10">D120</f>
        <v>56</v>
      </c>
      <c r="F120" s="216" t="str">
        <f t="shared" si="8"/>
        <v>Prof.dr.ing. FLOREA Adrian</v>
      </c>
      <c r="G120" s="1"/>
      <c r="H120" s="1"/>
      <c r="I120" s="216"/>
      <c r="J120" s="216"/>
      <c r="K120" s="216"/>
      <c r="L120" s="216"/>
      <c r="M120" s="216"/>
      <c r="N120" s="216"/>
      <c r="O120" s="216"/>
      <c r="P120" s="216"/>
      <c r="Q120" s="216"/>
      <c r="R120" s="216"/>
      <c r="S120" s="216"/>
      <c r="T120" s="216"/>
      <c r="U120" s="216"/>
      <c r="V120" s="216"/>
      <c r="W120" s="216"/>
      <c r="X120" s="216"/>
      <c r="Y120" s="216"/>
      <c r="Z120" s="216"/>
    </row>
    <row r="121" spans="1:26" ht="15.75" customHeight="1">
      <c r="A121" s="134" t="s">
        <v>7407</v>
      </c>
      <c r="B121" s="133" t="s">
        <v>141</v>
      </c>
      <c r="C121" s="133" t="s">
        <v>10432</v>
      </c>
      <c r="D121" s="100">
        <v>200</v>
      </c>
      <c r="E121" s="528">
        <f t="shared" si="10"/>
        <v>200</v>
      </c>
      <c r="F121" s="216" t="str">
        <f t="shared" si="8"/>
        <v>Prof.dr.ing. FLOREA Adrian</v>
      </c>
      <c r="G121" s="1"/>
      <c r="H121" s="1"/>
      <c r="I121" s="216"/>
      <c r="J121" s="216"/>
      <c r="K121" s="216"/>
      <c r="L121" s="216"/>
      <c r="M121" s="216"/>
      <c r="N121" s="216"/>
      <c r="O121" s="216"/>
      <c r="P121" s="216"/>
      <c r="Q121" s="216"/>
      <c r="R121" s="216"/>
      <c r="S121" s="216"/>
      <c r="T121" s="216"/>
      <c r="U121" s="216"/>
      <c r="V121" s="216"/>
      <c r="W121" s="216"/>
      <c r="X121" s="216"/>
      <c r="Y121" s="216"/>
      <c r="Z121" s="216"/>
    </row>
    <row r="122" spans="1:26" ht="15.75" customHeight="1">
      <c r="A122" s="134" t="s">
        <v>829</v>
      </c>
      <c r="B122" s="133" t="s">
        <v>141</v>
      </c>
      <c r="C122" s="133" t="s">
        <v>10422</v>
      </c>
      <c r="D122" s="116">
        <v>56</v>
      </c>
      <c r="E122" s="528">
        <v>56</v>
      </c>
      <c r="F122" s="216" t="str">
        <f t="shared" si="8"/>
        <v>Gellert Arpad</v>
      </c>
      <c r="G122" s="1"/>
      <c r="H122" s="1"/>
      <c r="I122" s="216"/>
      <c r="J122" s="216"/>
      <c r="K122" s="216"/>
      <c r="L122" s="216"/>
      <c r="M122" s="216"/>
      <c r="N122" s="216"/>
      <c r="O122" s="216"/>
      <c r="P122" s="216"/>
      <c r="Q122" s="216"/>
      <c r="R122" s="216"/>
      <c r="S122" s="216"/>
      <c r="T122" s="216"/>
      <c r="U122" s="216"/>
      <c r="V122" s="216"/>
      <c r="W122" s="216"/>
      <c r="X122" s="216"/>
      <c r="Y122" s="216"/>
      <c r="Z122" s="216"/>
    </row>
    <row r="123" spans="1:26" ht="15.75" customHeight="1">
      <c r="A123" s="134" t="s">
        <v>829</v>
      </c>
      <c r="B123" s="133" t="s">
        <v>141</v>
      </c>
      <c r="C123" s="133" t="s">
        <v>10432</v>
      </c>
      <c r="D123" s="116">
        <v>200</v>
      </c>
      <c r="E123" s="528">
        <v>200</v>
      </c>
      <c r="F123" s="216" t="str">
        <f t="shared" si="8"/>
        <v>Gellert Arpad</v>
      </c>
      <c r="G123" s="1"/>
      <c r="H123" s="1"/>
      <c r="I123" s="216"/>
      <c r="J123" s="216"/>
      <c r="K123" s="216"/>
      <c r="L123" s="216"/>
      <c r="M123" s="216"/>
      <c r="N123" s="216"/>
      <c r="O123" s="216"/>
      <c r="P123" s="216"/>
      <c r="Q123" s="216"/>
      <c r="R123" s="216"/>
      <c r="S123" s="216"/>
      <c r="T123" s="216"/>
      <c r="U123" s="216"/>
      <c r="V123" s="216"/>
      <c r="W123" s="216"/>
      <c r="X123" s="216"/>
      <c r="Y123" s="216"/>
      <c r="Z123" s="216"/>
    </row>
    <row r="124" spans="1:26" ht="15.75" customHeight="1">
      <c r="A124" s="134" t="s">
        <v>829</v>
      </c>
      <c r="B124" s="133" t="s">
        <v>141</v>
      </c>
      <c r="C124" s="133" t="s">
        <v>10494</v>
      </c>
      <c r="D124" s="116">
        <v>168</v>
      </c>
      <c r="E124" s="528">
        <v>168</v>
      </c>
      <c r="F124" s="216" t="str">
        <f t="shared" si="8"/>
        <v>Gellert Arpad</v>
      </c>
      <c r="G124" s="1"/>
      <c r="H124" s="1"/>
      <c r="I124" s="216"/>
      <c r="J124" s="216"/>
      <c r="K124" s="216"/>
      <c r="L124" s="216"/>
      <c r="M124" s="216"/>
      <c r="N124" s="216"/>
      <c r="O124" s="216"/>
      <c r="P124" s="216"/>
      <c r="Q124" s="216"/>
      <c r="R124" s="216"/>
      <c r="S124" s="216"/>
      <c r="T124" s="216"/>
      <c r="U124" s="216"/>
      <c r="V124" s="216"/>
      <c r="W124" s="216"/>
      <c r="X124" s="216"/>
      <c r="Y124" s="216"/>
      <c r="Z124" s="216"/>
    </row>
    <row r="125" spans="1:26" ht="15.75" customHeight="1">
      <c r="A125" s="438" t="s">
        <v>7615</v>
      </c>
      <c r="B125" s="183" t="s">
        <v>141</v>
      </c>
      <c r="C125" s="133" t="s">
        <v>10495</v>
      </c>
      <c r="D125" s="100">
        <v>90</v>
      </c>
      <c r="E125" s="528">
        <f t="shared" ref="E125:E127" si="11">D125</f>
        <v>90</v>
      </c>
      <c r="F125" s="216" t="str">
        <f t="shared" si="8"/>
        <v>ILIE Constantin Beriliu</v>
      </c>
      <c r="G125" s="1"/>
      <c r="H125" s="1"/>
      <c r="I125" s="216"/>
      <c r="J125" s="216"/>
      <c r="K125" s="216"/>
      <c r="L125" s="216"/>
      <c r="M125" s="216"/>
      <c r="N125" s="216"/>
      <c r="O125" s="216"/>
      <c r="P125" s="216"/>
      <c r="Q125" s="216"/>
      <c r="R125" s="216"/>
      <c r="S125" s="216"/>
      <c r="T125" s="216"/>
      <c r="U125" s="216"/>
      <c r="V125" s="216"/>
      <c r="W125" s="216"/>
      <c r="X125" s="216"/>
      <c r="Y125" s="216"/>
      <c r="Z125" s="216"/>
    </row>
    <row r="126" spans="1:26" ht="15.75" customHeight="1">
      <c r="A126" s="438" t="s">
        <v>7615</v>
      </c>
      <c r="B126" s="183" t="s">
        <v>141</v>
      </c>
      <c r="C126" s="133" t="s">
        <v>10437</v>
      </c>
      <c r="D126" s="116">
        <v>56</v>
      </c>
      <c r="E126" s="528">
        <f t="shared" si="11"/>
        <v>56</v>
      </c>
      <c r="F126" s="216" t="str">
        <f t="shared" si="8"/>
        <v>ILIE Constantin Beriliu</v>
      </c>
      <c r="G126" s="1"/>
      <c r="H126" s="1"/>
      <c r="I126" s="216"/>
      <c r="J126" s="216"/>
      <c r="K126" s="216"/>
      <c r="L126" s="216"/>
      <c r="M126" s="216"/>
      <c r="N126" s="216"/>
      <c r="O126" s="216"/>
      <c r="P126" s="216"/>
      <c r="Q126" s="216"/>
      <c r="R126" s="216"/>
      <c r="S126" s="216"/>
      <c r="T126" s="216"/>
      <c r="U126" s="216"/>
      <c r="V126" s="216"/>
      <c r="W126" s="216"/>
      <c r="X126" s="216"/>
      <c r="Y126" s="216"/>
      <c r="Z126" s="216"/>
    </row>
    <row r="127" spans="1:26" ht="15.75" customHeight="1">
      <c r="A127" s="438" t="s">
        <v>7615</v>
      </c>
      <c r="B127" s="183" t="s">
        <v>141</v>
      </c>
      <c r="C127" s="133" t="s">
        <v>10438</v>
      </c>
      <c r="D127" s="100">
        <v>200</v>
      </c>
      <c r="E127" s="528">
        <f t="shared" si="11"/>
        <v>200</v>
      </c>
      <c r="F127" s="216" t="str">
        <f t="shared" si="8"/>
        <v>ILIE Constantin Beriliu</v>
      </c>
      <c r="G127" s="1"/>
      <c r="H127" s="1"/>
      <c r="I127" s="216"/>
      <c r="J127" s="216"/>
      <c r="K127" s="216"/>
      <c r="L127" s="216"/>
      <c r="M127" s="216"/>
      <c r="N127" s="216"/>
      <c r="O127" s="216"/>
      <c r="P127" s="216"/>
      <c r="Q127" s="216"/>
      <c r="R127" s="216"/>
      <c r="S127" s="216"/>
      <c r="T127" s="216"/>
      <c r="U127" s="216"/>
      <c r="V127" s="216"/>
      <c r="W127" s="216"/>
      <c r="X127" s="216"/>
      <c r="Y127" s="216"/>
      <c r="Z127" s="216"/>
    </row>
    <row r="128" spans="1:26" ht="15.75" customHeight="1">
      <c r="A128" s="134" t="s">
        <v>3249</v>
      </c>
      <c r="B128" s="133" t="s">
        <v>10496</v>
      </c>
      <c r="C128" s="133" t="s">
        <v>10437</v>
      </c>
      <c r="D128" s="100">
        <v>56</v>
      </c>
      <c r="E128" s="528">
        <v>56</v>
      </c>
      <c r="F128" s="216" t="str">
        <f t="shared" si="8"/>
        <v>Morariu Daniel</v>
      </c>
      <c r="G128" s="1"/>
      <c r="H128" s="1"/>
      <c r="I128" s="216"/>
      <c r="J128" s="216"/>
      <c r="K128" s="216"/>
      <c r="L128" s="216"/>
      <c r="M128" s="216"/>
      <c r="N128" s="216"/>
      <c r="O128" s="216"/>
      <c r="P128" s="216"/>
      <c r="Q128" s="216"/>
      <c r="R128" s="216"/>
      <c r="S128" s="216"/>
      <c r="T128" s="216"/>
      <c r="U128" s="216"/>
      <c r="V128" s="216"/>
      <c r="W128" s="216"/>
      <c r="X128" s="216"/>
      <c r="Y128" s="216"/>
      <c r="Z128" s="216"/>
    </row>
    <row r="129" spans="1:26" ht="15.75" customHeight="1">
      <c r="A129" s="134" t="s">
        <v>3249</v>
      </c>
      <c r="B129" s="133" t="s">
        <v>10496</v>
      </c>
      <c r="C129" s="133" t="s">
        <v>10497</v>
      </c>
      <c r="D129" s="116">
        <v>200</v>
      </c>
      <c r="E129" s="528">
        <v>200</v>
      </c>
      <c r="F129" s="216" t="str">
        <f t="shared" si="8"/>
        <v>Morariu Daniel</v>
      </c>
      <c r="G129" s="1"/>
      <c r="H129" s="1"/>
      <c r="I129" s="216"/>
      <c r="J129" s="216"/>
      <c r="K129" s="216"/>
      <c r="L129" s="216"/>
      <c r="M129" s="216"/>
      <c r="N129" s="216"/>
      <c r="O129" s="216"/>
      <c r="P129" s="216"/>
      <c r="Q129" s="216"/>
      <c r="R129" s="216"/>
      <c r="S129" s="216"/>
      <c r="T129" s="216"/>
      <c r="U129" s="216"/>
      <c r="V129" s="216"/>
      <c r="W129" s="216"/>
      <c r="X129" s="216"/>
      <c r="Y129" s="216"/>
      <c r="Z129" s="216"/>
    </row>
    <row r="130" spans="1:26" ht="15.75" customHeight="1">
      <c r="A130" s="134" t="s">
        <v>1261</v>
      </c>
      <c r="B130" s="133" t="s">
        <v>141</v>
      </c>
      <c r="C130" s="133" t="s">
        <v>10422</v>
      </c>
      <c r="D130" s="100">
        <v>56</v>
      </c>
      <c r="E130" s="528">
        <v>56</v>
      </c>
      <c r="F130" s="216" t="str">
        <f t="shared" si="8"/>
        <v>Neghină Cătălina</v>
      </c>
      <c r="G130" s="1"/>
      <c r="H130" s="1"/>
      <c r="I130" s="216"/>
      <c r="J130" s="216"/>
      <c r="K130" s="216"/>
      <c r="L130" s="216"/>
      <c r="M130" s="216"/>
      <c r="N130" s="216"/>
      <c r="O130" s="216"/>
      <c r="P130" s="216"/>
      <c r="Q130" s="216"/>
      <c r="R130" s="216"/>
      <c r="S130" s="216"/>
      <c r="T130" s="216"/>
      <c r="U130" s="216"/>
      <c r="V130" s="216"/>
      <c r="W130" s="216"/>
      <c r="X130" s="216"/>
      <c r="Y130" s="216"/>
      <c r="Z130" s="216"/>
    </row>
    <row r="131" spans="1:26" ht="15.75" customHeight="1">
      <c r="A131" s="134" t="s">
        <v>10498</v>
      </c>
      <c r="B131" s="133" t="s">
        <v>141</v>
      </c>
      <c r="C131" s="133" t="s">
        <v>10431</v>
      </c>
      <c r="D131" s="116">
        <v>56</v>
      </c>
      <c r="E131" s="528">
        <v>56</v>
      </c>
      <c r="F131" s="216" t="str">
        <f t="shared" si="8"/>
        <v>Zamfirescu Bala Ctin</v>
      </c>
      <c r="G131" s="1"/>
      <c r="H131" s="1"/>
      <c r="I131" s="216"/>
      <c r="J131" s="216"/>
      <c r="K131" s="216"/>
      <c r="L131" s="216"/>
      <c r="M131" s="216"/>
      <c r="N131" s="216"/>
      <c r="O131" s="216"/>
      <c r="P131" s="216"/>
      <c r="Q131" s="216"/>
      <c r="R131" s="216"/>
      <c r="S131" s="216"/>
      <c r="T131" s="216"/>
      <c r="U131" s="216"/>
      <c r="V131" s="216"/>
      <c r="W131" s="216"/>
      <c r="X131" s="216"/>
      <c r="Y131" s="216"/>
      <c r="Z131" s="216"/>
    </row>
    <row r="132" spans="1:26" ht="15.75" customHeight="1">
      <c r="A132" s="134" t="s">
        <v>10498</v>
      </c>
      <c r="B132" s="133" t="s">
        <v>141</v>
      </c>
      <c r="C132" s="133" t="s">
        <v>10432</v>
      </c>
      <c r="D132" s="116">
        <v>200</v>
      </c>
      <c r="E132" s="528">
        <v>200</v>
      </c>
      <c r="F132" s="216" t="str">
        <f t="shared" si="8"/>
        <v>Zamfirescu Bala Ctin</v>
      </c>
      <c r="G132" s="1"/>
      <c r="H132" s="1"/>
      <c r="I132" s="216"/>
      <c r="J132" s="216"/>
      <c r="K132" s="216"/>
      <c r="L132" s="216"/>
      <c r="M132" s="216"/>
      <c r="N132" s="216"/>
      <c r="O132" s="216"/>
      <c r="P132" s="216"/>
      <c r="Q132" s="216"/>
      <c r="R132" s="216"/>
      <c r="S132" s="216"/>
      <c r="T132" s="216"/>
      <c r="U132" s="216"/>
      <c r="V132" s="216"/>
      <c r="W132" s="216"/>
      <c r="X132" s="216"/>
      <c r="Y132" s="216"/>
      <c r="Z132" s="216"/>
    </row>
    <row r="133" spans="1:26" ht="15.75" customHeight="1">
      <c r="A133" s="134" t="s">
        <v>10498</v>
      </c>
      <c r="B133" s="133" t="s">
        <v>141</v>
      </c>
      <c r="C133" s="133" t="s">
        <v>10499</v>
      </c>
      <c r="D133" s="116">
        <v>196</v>
      </c>
      <c r="E133" s="528">
        <v>196</v>
      </c>
      <c r="F133" s="216" t="str">
        <f t="shared" si="8"/>
        <v>Zamfirescu Bala Ctin</v>
      </c>
      <c r="G133" s="1"/>
      <c r="H133" s="1"/>
      <c r="I133" s="216"/>
      <c r="J133" s="216"/>
      <c r="K133" s="216"/>
      <c r="L133" s="216"/>
      <c r="M133" s="216"/>
      <c r="N133" s="216"/>
      <c r="O133" s="216"/>
      <c r="P133" s="216"/>
      <c r="Q133" s="216"/>
      <c r="R133" s="216"/>
      <c r="S133" s="216"/>
      <c r="T133" s="216"/>
      <c r="U133" s="216"/>
      <c r="V133" s="216"/>
      <c r="W133" s="216"/>
      <c r="X133" s="216"/>
      <c r="Y133" s="216"/>
      <c r="Z133" s="216"/>
    </row>
    <row r="134" spans="1:26" ht="15.75" customHeight="1">
      <c r="A134" s="134" t="s">
        <v>1273</v>
      </c>
      <c r="B134" s="133" t="s">
        <v>141</v>
      </c>
      <c r="C134" s="133" t="s">
        <v>10431</v>
      </c>
      <c r="D134" s="100">
        <v>56</v>
      </c>
      <c r="E134" s="528">
        <v>56</v>
      </c>
      <c r="F134" s="216" t="str">
        <f t="shared" si="8"/>
        <v>Mihai Neghina</v>
      </c>
      <c r="G134" s="1"/>
      <c r="H134" s="1"/>
      <c r="I134" s="216"/>
      <c r="J134" s="216"/>
      <c r="K134" s="216"/>
      <c r="L134" s="216"/>
      <c r="M134" s="216"/>
      <c r="N134" s="216"/>
      <c r="O134" s="216"/>
      <c r="P134" s="216"/>
      <c r="Q134" s="216"/>
      <c r="R134" s="216"/>
      <c r="S134" s="216"/>
      <c r="T134" s="216"/>
      <c r="U134" s="216"/>
      <c r="V134" s="216"/>
      <c r="W134" s="216"/>
      <c r="X134" s="216"/>
      <c r="Y134" s="216"/>
      <c r="Z134" s="216"/>
    </row>
    <row r="135" spans="1:26" ht="15.75" customHeight="1">
      <c r="A135" s="134" t="s">
        <v>1273</v>
      </c>
      <c r="B135" s="133" t="s">
        <v>141</v>
      </c>
      <c r="C135" s="133" t="s">
        <v>10432</v>
      </c>
      <c r="D135" s="116">
        <v>200</v>
      </c>
      <c r="E135" s="528">
        <v>200</v>
      </c>
      <c r="F135" s="216" t="str">
        <f t="shared" si="8"/>
        <v>Mihai Neghina</v>
      </c>
      <c r="G135" s="1"/>
      <c r="H135" s="1"/>
      <c r="I135" s="216"/>
      <c r="J135" s="216"/>
      <c r="K135" s="216"/>
      <c r="L135" s="216"/>
      <c r="M135" s="216"/>
      <c r="N135" s="216"/>
      <c r="O135" s="216"/>
      <c r="P135" s="216"/>
      <c r="Q135" s="216"/>
      <c r="R135" s="216"/>
      <c r="S135" s="216"/>
      <c r="T135" s="216"/>
      <c r="U135" s="216"/>
      <c r="V135" s="216"/>
      <c r="W135" s="216"/>
      <c r="X135" s="216"/>
      <c r="Y135" s="216"/>
      <c r="Z135" s="216"/>
    </row>
    <row r="136" spans="1:26" ht="15.75" customHeight="1">
      <c r="A136" s="134" t="s">
        <v>1273</v>
      </c>
      <c r="B136" s="133" t="s">
        <v>141</v>
      </c>
      <c r="C136" s="133" t="s">
        <v>10500</v>
      </c>
      <c r="D136" s="100">
        <v>90</v>
      </c>
      <c r="E136" s="528">
        <v>90</v>
      </c>
      <c r="F136" s="216" t="str">
        <f t="shared" si="8"/>
        <v>Mihai Neghina</v>
      </c>
      <c r="G136" s="1"/>
      <c r="H136" s="1"/>
      <c r="I136" s="216"/>
      <c r="J136" s="216"/>
      <c r="K136" s="216"/>
      <c r="L136" s="216"/>
      <c r="M136" s="216"/>
      <c r="N136" s="216"/>
      <c r="O136" s="216"/>
      <c r="P136" s="216"/>
      <c r="Q136" s="216"/>
      <c r="R136" s="216"/>
      <c r="S136" s="216"/>
      <c r="T136" s="216"/>
      <c r="U136" s="216"/>
      <c r="V136" s="216"/>
      <c r="W136" s="216"/>
      <c r="X136" s="216"/>
      <c r="Y136" s="216"/>
      <c r="Z136" s="216"/>
    </row>
    <row r="137" spans="1:26" ht="15.75" customHeight="1">
      <c r="A137" s="134" t="s">
        <v>1273</v>
      </c>
      <c r="B137" s="133" t="s">
        <v>141</v>
      </c>
      <c r="C137" s="133" t="s">
        <v>10501</v>
      </c>
      <c r="D137" s="116">
        <v>168</v>
      </c>
      <c r="E137" s="528">
        <v>168</v>
      </c>
      <c r="F137" s="216" t="str">
        <f t="shared" si="8"/>
        <v>Mihai Neghina</v>
      </c>
      <c r="G137" s="1"/>
      <c r="H137" s="1"/>
      <c r="I137" s="216"/>
      <c r="J137" s="216"/>
      <c r="K137" s="216"/>
      <c r="L137" s="216"/>
      <c r="M137" s="216"/>
      <c r="N137" s="216"/>
      <c r="O137" s="216"/>
      <c r="P137" s="216"/>
      <c r="Q137" s="216"/>
      <c r="R137" s="216"/>
      <c r="S137" s="216"/>
      <c r="T137" s="216"/>
      <c r="U137" s="216"/>
      <c r="V137" s="216"/>
      <c r="W137" s="216"/>
      <c r="X137" s="216"/>
      <c r="Y137" s="216"/>
      <c r="Z137" s="216"/>
    </row>
    <row r="138" spans="1:26" ht="15.75" customHeight="1">
      <c r="A138" s="107" t="s">
        <v>3415</v>
      </c>
      <c r="B138" s="108" t="s">
        <v>141</v>
      </c>
      <c r="C138" s="133" t="s">
        <v>10422</v>
      </c>
      <c r="D138" s="100">
        <v>56</v>
      </c>
      <c r="E138" s="100">
        <v>56</v>
      </c>
      <c r="F138" s="216" t="str">
        <f t="shared" si="8"/>
        <v>Panu Mihai</v>
      </c>
      <c r="G138" s="1"/>
      <c r="H138" s="1"/>
      <c r="I138" s="216"/>
      <c r="J138" s="216"/>
      <c r="K138" s="216"/>
      <c r="L138" s="216"/>
      <c r="M138" s="216"/>
      <c r="N138" s="216"/>
      <c r="O138" s="216"/>
      <c r="P138" s="216"/>
      <c r="Q138" s="216"/>
      <c r="R138" s="216"/>
      <c r="S138" s="216"/>
      <c r="T138" s="216"/>
      <c r="U138" s="216"/>
      <c r="V138" s="216"/>
      <c r="W138" s="216"/>
      <c r="X138" s="216"/>
      <c r="Y138" s="216"/>
      <c r="Z138" s="216"/>
    </row>
    <row r="139" spans="1:26" ht="15.75" customHeight="1">
      <c r="A139" s="107" t="s">
        <v>3415</v>
      </c>
      <c r="B139" s="108" t="s">
        <v>141</v>
      </c>
      <c r="C139" s="133" t="s">
        <v>10432</v>
      </c>
      <c r="D139" s="116">
        <v>200</v>
      </c>
      <c r="E139" s="116">
        <v>200</v>
      </c>
      <c r="F139" s="216" t="str">
        <f t="shared" si="8"/>
        <v>Panu Mihai</v>
      </c>
      <c r="G139" s="1"/>
      <c r="H139" s="1"/>
      <c r="I139" s="216"/>
      <c r="J139" s="216"/>
      <c r="K139" s="216"/>
      <c r="L139" s="216"/>
      <c r="M139" s="216"/>
      <c r="N139" s="216"/>
      <c r="O139" s="216"/>
      <c r="P139" s="216"/>
      <c r="Q139" s="216"/>
      <c r="R139" s="216"/>
      <c r="S139" s="216"/>
      <c r="T139" s="216"/>
      <c r="U139" s="216"/>
      <c r="V139" s="216"/>
      <c r="W139" s="216"/>
      <c r="X139" s="216"/>
      <c r="Y139" s="216"/>
      <c r="Z139" s="216"/>
    </row>
    <row r="140" spans="1:26" ht="15.75" customHeight="1">
      <c r="A140" s="134" t="s">
        <v>3417</v>
      </c>
      <c r="B140" s="133" t="s">
        <v>141</v>
      </c>
      <c r="C140" s="133" t="s">
        <v>10431</v>
      </c>
      <c r="D140" s="116">
        <v>56</v>
      </c>
      <c r="E140" s="528">
        <v>56</v>
      </c>
      <c r="F140" s="216" t="str">
        <f t="shared" si="8"/>
        <v>Pitic Antoniu</v>
      </c>
      <c r="G140" s="1"/>
      <c r="H140" s="1"/>
      <c r="I140" s="216"/>
      <c r="J140" s="216"/>
      <c r="K140" s="216"/>
      <c r="L140" s="216"/>
      <c r="M140" s="216"/>
      <c r="N140" s="216"/>
      <c r="O140" s="216"/>
      <c r="P140" s="216"/>
      <c r="Q140" s="216"/>
      <c r="R140" s="216"/>
      <c r="S140" s="216"/>
      <c r="T140" s="216"/>
      <c r="U140" s="216"/>
      <c r="V140" s="216"/>
      <c r="W140" s="216"/>
      <c r="X140" s="216"/>
      <c r="Y140" s="216"/>
      <c r="Z140" s="216"/>
    </row>
    <row r="141" spans="1:26" ht="15.75" customHeight="1">
      <c r="A141" s="134" t="s">
        <v>3417</v>
      </c>
      <c r="B141" s="133" t="s">
        <v>141</v>
      </c>
      <c r="C141" s="133" t="s">
        <v>10432</v>
      </c>
      <c r="D141" s="116">
        <v>200</v>
      </c>
      <c r="E141" s="528">
        <v>200</v>
      </c>
      <c r="F141" s="216" t="str">
        <f t="shared" si="8"/>
        <v>Pitic Antoniu</v>
      </c>
      <c r="G141" s="1"/>
      <c r="H141" s="1"/>
      <c r="I141" s="216"/>
      <c r="J141" s="216"/>
      <c r="K141" s="216"/>
      <c r="L141" s="216"/>
      <c r="M141" s="216"/>
      <c r="N141" s="216"/>
      <c r="O141" s="216"/>
      <c r="P141" s="216"/>
      <c r="Q141" s="216"/>
      <c r="R141" s="216"/>
      <c r="S141" s="216"/>
      <c r="T141" s="216"/>
      <c r="U141" s="216"/>
      <c r="V141" s="216"/>
      <c r="W141" s="216"/>
      <c r="X141" s="216"/>
      <c r="Y141" s="216"/>
      <c r="Z141" s="216"/>
    </row>
    <row r="142" spans="1:26" ht="15.75" customHeight="1">
      <c r="A142" s="134" t="s">
        <v>3417</v>
      </c>
      <c r="B142" s="133" t="s">
        <v>141</v>
      </c>
      <c r="C142" s="133" t="s">
        <v>10502</v>
      </c>
      <c r="D142" s="116">
        <v>90</v>
      </c>
      <c r="E142" s="528">
        <v>90</v>
      </c>
      <c r="F142" s="216" t="str">
        <f t="shared" si="8"/>
        <v>Pitic Antoniu</v>
      </c>
      <c r="G142" s="1"/>
      <c r="H142" s="1"/>
      <c r="I142" s="216"/>
      <c r="J142" s="216"/>
      <c r="K142" s="216"/>
      <c r="L142" s="216"/>
      <c r="M142" s="216"/>
      <c r="N142" s="216"/>
      <c r="O142" s="216"/>
      <c r="P142" s="216"/>
      <c r="Q142" s="216"/>
      <c r="R142" s="216"/>
      <c r="S142" s="216"/>
      <c r="T142" s="216"/>
      <c r="U142" s="216"/>
      <c r="V142" s="216"/>
      <c r="W142" s="216"/>
      <c r="X142" s="216"/>
      <c r="Y142" s="216"/>
      <c r="Z142" s="216"/>
    </row>
    <row r="143" spans="1:26" ht="15.75" customHeight="1">
      <c r="A143" s="134" t="s">
        <v>906</v>
      </c>
      <c r="B143" s="133" t="s">
        <v>141</v>
      </c>
      <c r="C143" s="133" t="s">
        <v>10503</v>
      </c>
      <c r="D143" s="100">
        <v>56</v>
      </c>
      <c r="E143" s="528">
        <f>D143</f>
        <v>56</v>
      </c>
      <c r="F143" s="216" t="str">
        <f t="shared" si="8"/>
        <v>Vintan Maria</v>
      </c>
      <c r="G143" s="1"/>
      <c r="H143" s="1"/>
      <c r="I143" s="216"/>
      <c r="J143" s="216"/>
      <c r="K143" s="216"/>
      <c r="L143" s="216"/>
      <c r="M143" s="216"/>
      <c r="N143" s="216"/>
      <c r="O143" s="216"/>
      <c r="P143" s="216"/>
      <c r="Q143" s="216"/>
      <c r="R143" s="216"/>
      <c r="S143" s="216"/>
      <c r="T143" s="216"/>
      <c r="U143" s="216"/>
      <c r="V143" s="216"/>
      <c r="W143" s="216"/>
      <c r="X143" s="216"/>
      <c r="Y143" s="216"/>
      <c r="Z143" s="216"/>
    </row>
    <row r="144" spans="1:26" ht="15.75" customHeight="1">
      <c r="A144" s="134" t="s">
        <v>906</v>
      </c>
      <c r="B144" s="133" t="s">
        <v>141</v>
      </c>
      <c r="C144" s="133" t="s">
        <v>10504</v>
      </c>
      <c r="D144" s="116" t="s">
        <v>10505</v>
      </c>
      <c r="E144" s="528">
        <f>400</f>
        <v>400</v>
      </c>
      <c r="F144" s="216" t="str">
        <f t="shared" si="8"/>
        <v>Vintan Maria</v>
      </c>
      <c r="G144" s="1"/>
      <c r="H144" s="1"/>
      <c r="I144" s="216"/>
      <c r="J144" s="216"/>
      <c r="K144" s="216"/>
      <c r="L144" s="216"/>
      <c r="M144" s="216"/>
      <c r="N144" s="216"/>
      <c r="O144" s="216"/>
      <c r="P144" s="216"/>
      <c r="Q144" s="216"/>
      <c r="R144" s="216"/>
      <c r="S144" s="216"/>
      <c r="T144" s="216"/>
      <c r="U144" s="216"/>
      <c r="V144" s="216"/>
      <c r="W144" s="216"/>
      <c r="X144" s="216"/>
      <c r="Y144" s="216"/>
      <c r="Z144" s="216"/>
    </row>
    <row r="145" spans="1:26" ht="15.75" customHeight="1">
      <c r="A145" s="134" t="s">
        <v>906</v>
      </c>
      <c r="B145" s="133" t="s">
        <v>141</v>
      </c>
      <c r="C145" s="133" t="s">
        <v>10506</v>
      </c>
      <c r="D145" s="100" t="s">
        <v>10507</v>
      </c>
      <c r="E145" s="528">
        <v>168</v>
      </c>
      <c r="F145" s="216" t="str">
        <f t="shared" si="8"/>
        <v>Vintan Maria</v>
      </c>
      <c r="G145" s="1"/>
      <c r="H145" s="1"/>
      <c r="I145" s="216"/>
      <c r="J145" s="216"/>
      <c r="K145" s="216"/>
      <c r="L145" s="216"/>
      <c r="M145" s="216"/>
      <c r="N145" s="216"/>
      <c r="O145" s="216"/>
      <c r="P145" s="216"/>
      <c r="Q145" s="216"/>
      <c r="R145" s="216"/>
      <c r="S145" s="216"/>
      <c r="T145" s="216"/>
      <c r="U145" s="216"/>
      <c r="V145" s="216"/>
      <c r="W145" s="216"/>
      <c r="X145" s="216"/>
      <c r="Y145" s="216"/>
      <c r="Z145" s="216"/>
    </row>
    <row r="146" spans="1:26" ht="15.75" customHeight="1">
      <c r="A146" s="134" t="s">
        <v>3450</v>
      </c>
      <c r="B146" s="133" t="s">
        <v>141</v>
      </c>
      <c r="C146" s="133" t="s">
        <v>10431</v>
      </c>
      <c r="D146" s="116">
        <v>56</v>
      </c>
      <c r="E146" s="528">
        <v>56</v>
      </c>
      <c r="F146" s="216" t="str">
        <f t="shared" si="8"/>
        <v>Viorel Alina</v>
      </c>
      <c r="G146" s="1"/>
      <c r="H146" s="1"/>
      <c r="I146" s="216"/>
      <c r="J146" s="216"/>
      <c r="K146" s="216"/>
      <c r="L146" s="216"/>
      <c r="M146" s="216"/>
      <c r="N146" s="216"/>
      <c r="O146" s="216"/>
      <c r="P146" s="216"/>
      <c r="Q146" s="216"/>
      <c r="R146" s="216"/>
      <c r="S146" s="216"/>
      <c r="T146" s="216"/>
      <c r="U146" s="216"/>
      <c r="V146" s="216"/>
      <c r="W146" s="216"/>
      <c r="X146" s="216"/>
      <c r="Y146" s="216"/>
      <c r="Z146" s="216"/>
    </row>
    <row r="147" spans="1:26" ht="15.75" customHeight="1">
      <c r="A147" s="134" t="s">
        <v>3450</v>
      </c>
      <c r="B147" s="133" t="s">
        <v>141</v>
      </c>
      <c r="C147" s="133" t="s">
        <v>10432</v>
      </c>
      <c r="D147" s="116">
        <v>200</v>
      </c>
      <c r="E147" s="528">
        <v>200</v>
      </c>
      <c r="F147" s="216" t="str">
        <f t="shared" si="8"/>
        <v>Viorel Alina</v>
      </c>
      <c r="G147" s="1"/>
      <c r="H147" s="1"/>
      <c r="I147" s="216"/>
      <c r="J147" s="216"/>
      <c r="K147" s="216"/>
      <c r="L147" s="216"/>
      <c r="M147" s="216"/>
      <c r="N147" s="216"/>
      <c r="O147" s="216"/>
      <c r="P147" s="216"/>
      <c r="Q147" s="216"/>
      <c r="R147" s="216"/>
      <c r="S147" s="216"/>
      <c r="T147" s="216"/>
      <c r="U147" s="216"/>
      <c r="V147" s="216"/>
      <c r="W147" s="216"/>
      <c r="X147" s="216"/>
      <c r="Y147" s="216"/>
      <c r="Z147" s="216"/>
    </row>
    <row r="148" spans="1:26" ht="15.75" customHeight="1">
      <c r="A148" s="134" t="s">
        <v>1204</v>
      </c>
      <c r="B148" s="133" t="s">
        <v>141</v>
      </c>
      <c r="C148" s="133" t="s">
        <v>10431</v>
      </c>
      <c r="D148" s="116">
        <v>56</v>
      </c>
      <c r="E148" s="528">
        <v>56</v>
      </c>
      <c r="F148" s="216" t="str">
        <f t="shared" si="8"/>
        <v>Volovici Daniel</v>
      </c>
      <c r="G148" s="1"/>
      <c r="H148" s="1"/>
      <c r="I148" s="216"/>
      <c r="J148" s="216"/>
      <c r="K148" s="216"/>
      <c r="L148" s="216"/>
      <c r="M148" s="216"/>
      <c r="N148" s="216"/>
      <c r="O148" s="216"/>
      <c r="P148" s="216"/>
      <c r="Q148" s="216"/>
      <c r="R148" s="216"/>
      <c r="S148" s="216"/>
      <c r="T148" s="216"/>
      <c r="U148" s="216"/>
      <c r="V148" s="216"/>
      <c r="W148" s="216"/>
      <c r="X148" s="216"/>
      <c r="Y148" s="216"/>
      <c r="Z148" s="216"/>
    </row>
    <row r="149" spans="1:26" ht="15.75" customHeight="1">
      <c r="A149" s="134" t="s">
        <v>1204</v>
      </c>
      <c r="B149" s="133" t="s">
        <v>141</v>
      </c>
      <c r="C149" s="133" t="s">
        <v>10432</v>
      </c>
      <c r="D149" s="116">
        <v>200</v>
      </c>
      <c r="E149" s="528">
        <v>200</v>
      </c>
      <c r="F149" s="216" t="str">
        <f t="shared" si="8"/>
        <v>Volovici Daniel</v>
      </c>
      <c r="G149" s="1"/>
      <c r="H149" s="1"/>
      <c r="I149" s="216"/>
      <c r="J149" s="216"/>
      <c r="K149" s="216"/>
      <c r="L149" s="216"/>
      <c r="M149" s="216"/>
      <c r="N149" s="216"/>
      <c r="O149" s="216"/>
      <c r="P149" s="216"/>
      <c r="Q149" s="216"/>
      <c r="R149" s="216"/>
      <c r="S149" s="216"/>
      <c r="T149" s="216"/>
      <c r="U149" s="216"/>
      <c r="V149" s="216"/>
      <c r="W149" s="216"/>
      <c r="X149" s="216"/>
      <c r="Y149" s="216"/>
      <c r="Z149" s="216"/>
    </row>
    <row r="150" spans="1:26" ht="15.75" customHeight="1">
      <c r="A150" s="134" t="s">
        <v>1204</v>
      </c>
      <c r="B150" s="133" t="s">
        <v>141</v>
      </c>
      <c r="C150" s="133" t="s">
        <v>10508</v>
      </c>
      <c r="D150" s="116">
        <v>196</v>
      </c>
      <c r="E150" s="528">
        <v>196</v>
      </c>
      <c r="F150" s="216" t="str">
        <f t="shared" si="8"/>
        <v>Volovici Daniel</v>
      </c>
      <c r="G150" s="1"/>
      <c r="H150" s="1"/>
      <c r="I150" s="216"/>
      <c r="J150" s="216"/>
      <c r="K150" s="216"/>
      <c r="L150" s="216"/>
      <c r="M150" s="216"/>
      <c r="N150" s="216"/>
      <c r="O150" s="216"/>
      <c r="P150" s="216"/>
      <c r="Q150" s="216"/>
      <c r="R150" s="216"/>
      <c r="S150" s="216"/>
      <c r="T150" s="216"/>
      <c r="U150" s="216"/>
      <c r="V150" s="216"/>
      <c r="W150" s="216"/>
      <c r="X150" s="216"/>
      <c r="Y150" s="216"/>
      <c r="Z150" s="216"/>
    </row>
    <row r="151" spans="1:26" ht="15.75" customHeight="1">
      <c r="A151" s="134" t="s">
        <v>6654</v>
      </c>
      <c r="B151" s="133" t="s">
        <v>141</v>
      </c>
      <c r="C151" s="133" t="s">
        <v>10431</v>
      </c>
      <c r="D151" s="116">
        <v>56</v>
      </c>
      <c r="E151" s="528">
        <v>56</v>
      </c>
      <c r="F151" s="216" t="s">
        <v>6654</v>
      </c>
      <c r="G151" s="1"/>
      <c r="H151" s="1"/>
      <c r="I151" s="216"/>
      <c r="J151" s="216"/>
      <c r="K151" s="216"/>
      <c r="L151" s="216"/>
      <c r="M151" s="216"/>
      <c r="N151" s="216"/>
      <c r="O151" s="216"/>
      <c r="P151" s="216"/>
      <c r="Q151" s="216"/>
      <c r="R151" s="216"/>
      <c r="S151" s="216"/>
      <c r="T151" s="216"/>
      <c r="U151" s="216"/>
      <c r="V151" s="216"/>
      <c r="W151" s="216"/>
      <c r="X151" s="216"/>
      <c r="Y151" s="216"/>
      <c r="Z151" s="216"/>
    </row>
    <row r="152" spans="1:26" ht="15.75" customHeight="1">
      <c r="A152" s="134" t="s">
        <v>6654</v>
      </c>
      <c r="B152" s="133" t="s">
        <v>141</v>
      </c>
      <c r="C152" s="133" t="s">
        <v>10432</v>
      </c>
      <c r="D152" s="116">
        <v>200</v>
      </c>
      <c r="E152" s="528">
        <v>200</v>
      </c>
      <c r="F152" s="216" t="s">
        <v>6654</v>
      </c>
      <c r="G152" s="1"/>
      <c r="H152" s="1"/>
      <c r="I152" s="216"/>
      <c r="J152" s="216"/>
      <c r="K152" s="216"/>
      <c r="L152" s="216"/>
      <c r="M152" s="216"/>
      <c r="N152" s="216"/>
      <c r="O152" s="216"/>
      <c r="P152" s="216"/>
      <c r="Q152" s="216"/>
      <c r="R152" s="216"/>
      <c r="S152" s="216"/>
      <c r="T152" s="216"/>
      <c r="U152" s="216"/>
      <c r="V152" s="216"/>
      <c r="W152" s="216"/>
      <c r="X152" s="216"/>
      <c r="Y152" s="216"/>
      <c r="Z152" s="216"/>
    </row>
    <row r="153" spans="1:26" ht="15.75" customHeight="1">
      <c r="A153" s="134" t="s">
        <v>6654</v>
      </c>
      <c r="B153" s="133" t="s">
        <v>141</v>
      </c>
      <c r="C153" s="133" t="s">
        <v>10509</v>
      </c>
      <c r="D153" s="116">
        <v>90</v>
      </c>
      <c r="E153" s="528">
        <v>90</v>
      </c>
      <c r="F153" s="216" t="s">
        <v>6654</v>
      </c>
      <c r="G153" s="1"/>
      <c r="H153" s="1"/>
      <c r="I153" s="216"/>
      <c r="J153" s="216"/>
      <c r="K153" s="216"/>
      <c r="L153" s="216"/>
      <c r="M153" s="216"/>
      <c r="N153" s="216"/>
      <c r="O153" s="216"/>
      <c r="P153" s="216"/>
      <c r="Q153" s="216"/>
      <c r="R153" s="216"/>
      <c r="S153" s="216"/>
      <c r="T153" s="216"/>
      <c r="U153" s="216"/>
      <c r="V153" s="216"/>
      <c r="W153" s="216"/>
      <c r="X153" s="216"/>
      <c r="Y153" s="216"/>
      <c r="Z153" s="216"/>
    </row>
    <row r="154" spans="1:26" ht="15.75" customHeight="1">
      <c r="A154" s="134" t="s">
        <v>7619</v>
      </c>
      <c r="B154" s="108" t="s">
        <v>141</v>
      </c>
      <c r="C154" s="133" t="s">
        <v>10422</v>
      </c>
      <c r="D154" s="116">
        <v>56</v>
      </c>
      <c r="E154" s="116">
        <v>56</v>
      </c>
      <c r="F154" s="216" t="s">
        <v>7619</v>
      </c>
      <c r="G154" s="1"/>
      <c r="H154" s="1"/>
      <c r="I154" s="216"/>
      <c r="J154" s="216"/>
      <c r="K154" s="216"/>
      <c r="L154" s="216"/>
      <c r="M154" s="216"/>
      <c r="N154" s="216"/>
      <c r="O154" s="216"/>
      <c r="P154" s="216"/>
      <c r="Q154" s="216"/>
      <c r="R154" s="216"/>
      <c r="S154" s="216"/>
      <c r="T154" s="216"/>
      <c r="U154" s="216"/>
      <c r="V154" s="216"/>
      <c r="W154" s="216"/>
      <c r="X154" s="216"/>
      <c r="Y154" s="216"/>
      <c r="Z154" s="216"/>
    </row>
    <row r="155" spans="1:26" ht="15.75" customHeight="1">
      <c r="A155" s="134" t="s">
        <v>7619</v>
      </c>
      <c r="B155" s="108" t="s">
        <v>141</v>
      </c>
      <c r="C155" s="133" t="s">
        <v>10510</v>
      </c>
      <c r="D155" s="116">
        <v>90</v>
      </c>
      <c r="E155" s="116">
        <v>90</v>
      </c>
      <c r="F155" s="216" t="s">
        <v>7619</v>
      </c>
      <c r="G155" s="1"/>
      <c r="H155" s="1"/>
      <c r="I155" s="216"/>
      <c r="J155" s="216"/>
      <c r="K155" s="216"/>
      <c r="L155" s="216"/>
      <c r="M155" s="216"/>
      <c r="N155" s="216"/>
      <c r="O155" s="216"/>
      <c r="P155" s="216"/>
      <c r="Q155" s="216"/>
      <c r="R155" s="216"/>
      <c r="S155" s="216"/>
      <c r="T155" s="216"/>
      <c r="U155" s="216"/>
      <c r="V155" s="216"/>
      <c r="W155" s="216"/>
      <c r="X155" s="216"/>
      <c r="Y155" s="216"/>
      <c r="Z155" s="216"/>
    </row>
    <row r="156" spans="1:26" ht="15.75" customHeight="1">
      <c r="A156" s="134" t="s">
        <v>7619</v>
      </c>
      <c r="B156" s="108" t="s">
        <v>141</v>
      </c>
      <c r="C156" s="133" t="s">
        <v>10511</v>
      </c>
      <c r="D156" s="116">
        <v>168</v>
      </c>
      <c r="E156" s="528">
        <v>168</v>
      </c>
      <c r="F156" s="216" t="s">
        <v>7619</v>
      </c>
      <c r="G156" s="1"/>
      <c r="H156" s="1"/>
      <c r="I156" s="216"/>
      <c r="J156" s="216"/>
      <c r="K156" s="216"/>
      <c r="L156" s="216"/>
      <c r="M156" s="216"/>
      <c r="N156" s="216"/>
      <c r="O156" s="216"/>
      <c r="P156" s="216"/>
      <c r="Q156" s="216"/>
      <c r="R156" s="216"/>
      <c r="S156" s="216"/>
      <c r="T156" s="216"/>
      <c r="U156" s="216"/>
      <c r="V156" s="216"/>
      <c r="W156" s="216"/>
      <c r="X156" s="216"/>
      <c r="Y156" s="216"/>
      <c r="Z156" s="216"/>
    </row>
    <row r="157" spans="1:26" ht="15.75" customHeight="1">
      <c r="A157" s="134" t="s">
        <v>114</v>
      </c>
      <c r="B157" s="133" t="s">
        <v>105</v>
      </c>
      <c r="C157" s="133" t="s">
        <v>10512</v>
      </c>
      <c r="D157" s="100">
        <v>200</v>
      </c>
      <c r="E157" s="528">
        <v>200</v>
      </c>
      <c r="F157" s="338" t="s">
        <v>114</v>
      </c>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15.75" customHeight="1">
      <c r="A158" s="134" t="s">
        <v>114</v>
      </c>
      <c r="B158" s="133" t="s">
        <v>105</v>
      </c>
      <c r="C158" s="133" t="s">
        <v>10513</v>
      </c>
      <c r="D158" s="100">
        <v>200</v>
      </c>
      <c r="E158" s="528">
        <v>200</v>
      </c>
      <c r="F158" s="338" t="s">
        <v>114</v>
      </c>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15" customHeight="1">
      <c r="A159" s="134" t="s">
        <v>114</v>
      </c>
      <c r="B159" s="133" t="s">
        <v>105</v>
      </c>
      <c r="C159" s="133" t="s">
        <v>10514</v>
      </c>
      <c r="D159" s="100">
        <v>90</v>
      </c>
      <c r="E159" s="528">
        <v>90</v>
      </c>
      <c r="F159" s="338" t="s">
        <v>114</v>
      </c>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15" customHeight="1">
      <c r="A160" s="134" t="s">
        <v>114</v>
      </c>
      <c r="B160" s="133" t="s">
        <v>105</v>
      </c>
      <c r="C160" s="133" t="s">
        <v>10515</v>
      </c>
      <c r="D160" s="100">
        <v>90</v>
      </c>
      <c r="E160" s="528">
        <v>90</v>
      </c>
      <c r="F160" s="338" t="s">
        <v>114</v>
      </c>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15" customHeight="1">
      <c r="A161" s="134" t="s">
        <v>114</v>
      </c>
      <c r="B161" s="133" t="s">
        <v>105</v>
      </c>
      <c r="C161" s="133" t="s">
        <v>10431</v>
      </c>
      <c r="D161" s="100">
        <v>56</v>
      </c>
      <c r="E161" s="528">
        <v>56</v>
      </c>
      <c r="F161" s="338" t="s">
        <v>114</v>
      </c>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15" customHeight="1">
      <c r="A162" s="133" t="s">
        <v>139</v>
      </c>
      <c r="B162" s="133" t="s">
        <v>105</v>
      </c>
      <c r="C162" s="99" t="s">
        <v>10422</v>
      </c>
      <c r="D162" s="116">
        <v>56</v>
      </c>
      <c r="E162" s="528">
        <f t="shared" ref="E162:E171" si="12">D162</f>
        <v>56</v>
      </c>
      <c r="F162" s="338" t="s">
        <v>916</v>
      </c>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5" customHeight="1">
      <c r="A163" s="134" t="s">
        <v>6669</v>
      </c>
      <c r="B163" s="133" t="s">
        <v>105</v>
      </c>
      <c r="C163" s="133" t="s">
        <v>10422</v>
      </c>
      <c r="D163" s="116">
        <v>56</v>
      </c>
      <c r="E163" s="528">
        <f t="shared" si="12"/>
        <v>56</v>
      </c>
      <c r="F163" s="338" t="s">
        <v>931</v>
      </c>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5" customHeight="1">
      <c r="A164" s="134" t="s">
        <v>6669</v>
      </c>
      <c r="B164" s="133" t="s">
        <v>105</v>
      </c>
      <c r="C164" s="133" t="s">
        <v>10516</v>
      </c>
      <c r="D164" s="116">
        <v>200</v>
      </c>
      <c r="E164" s="528">
        <f t="shared" si="12"/>
        <v>200</v>
      </c>
      <c r="F164" s="338" t="s">
        <v>931</v>
      </c>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5" customHeight="1">
      <c r="A165" s="134" t="s">
        <v>6669</v>
      </c>
      <c r="B165" s="133" t="s">
        <v>105</v>
      </c>
      <c r="C165" s="133" t="s">
        <v>10517</v>
      </c>
      <c r="D165" s="116">
        <v>90</v>
      </c>
      <c r="E165" s="528">
        <f t="shared" si="12"/>
        <v>90</v>
      </c>
      <c r="F165" s="338" t="s">
        <v>931</v>
      </c>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5" customHeight="1">
      <c r="A166" s="134" t="s">
        <v>7245</v>
      </c>
      <c r="B166" s="133" t="s">
        <v>105</v>
      </c>
      <c r="C166" s="133" t="s">
        <v>10431</v>
      </c>
      <c r="D166" s="100">
        <v>56</v>
      </c>
      <c r="E166" s="528">
        <f t="shared" si="12"/>
        <v>56</v>
      </c>
      <c r="F166" s="338" t="s">
        <v>952</v>
      </c>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5" customHeight="1">
      <c r="A167" s="134" t="s">
        <v>7245</v>
      </c>
      <c r="B167" s="133" t="s">
        <v>105</v>
      </c>
      <c r="C167" s="133" t="s">
        <v>10518</v>
      </c>
      <c r="D167" s="116">
        <v>200</v>
      </c>
      <c r="E167" s="528">
        <f t="shared" si="12"/>
        <v>200</v>
      </c>
      <c r="F167" s="338" t="s">
        <v>952</v>
      </c>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5" customHeight="1">
      <c r="A168" s="134" t="s">
        <v>7245</v>
      </c>
      <c r="B168" s="133" t="s">
        <v>105</v>
      </c>
      <c r="C168" s="133" t="s">
        <v>10519</v>
      </c>
      <c r="D168" s="116">
        <v>200</v>
      </c>
      <c r="E168" s="528">
        <f t="shared" si="12"/>
        <v>200</v>
      </c>
      <c r="F168" s="338" t="s">
        <v>952</v>
      </c>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5" customHeight="1">
      <c r="A169" s="134" t="s">
        <v>7245</v>
      </c>
      <c r="B169" s="133" t="s">
        <v>105</v>
      </c>
      <c r="C169" s="133" t="s">
        <v>10520</v>
      </c>
      <c r="D169" s="100">
        <v>200</v>
      </c>
      <c r="E169" s="528">
        <f t="shared" si="12"/>
        <v>200</v>
      </c>
      <c r="F169" s="338" t="s">
        <v>952</v>
      </c>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5" customHeight="1">
      <c r="A170" s="134" t="s">
        <v>123</v>
      </c>
      <c r="B170" s="133" t="s">
        <v>105</v>
      </c>
      <c r="C170" s="133" t="s">
        <v>10521</v>
      </c>
      <c r="D170" s="116">
        <v>200</v>
      </c>
      <c r="E170" s="528">
        <f t="shared" si="12"/>
        <v>200</v>
      </c>
      <c r="F170" s="338" t="s">
        <v>123</v>
      </c>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5" customHeight="1">
      <c r="A171" s="134" t="s">
        <v>123</v>
      </c>
      <c r="B171" s="133" t="s">
        <v>105</v>
      </c>
      <c r="C171" s="133" t="s">
        <v>10431</v>
      </c>
      <c r="D171" s="116">
        <v>56</v>
      </c>
      <c r="E171" s="528">
        <f t="shared" si="12"/>
        <v>56</v>
      </c>
      <c r="F171" s="338" t="s">
        <v>123</v>
      </c>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5" customHeight="1">
      <c r="A172" s="134" t="s">
        <v>6722</v>
      </c>
      <c r="B172" s="133" t="s">
        <v>105</v>
      </c>
      <c r="C172" s="133" t="s">
        <v>10422</v>
      </c>
      <c r="D172" s="116">
        <v>56</v>
      </c>
      <c r="E172" s="528">
        <v>56</v>
      </c>
      <c r="F172" s="338" t="s">
        <v>104</v>
      </c>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5" customHeight="1">
      <c r="A173" s="134" t="s">
        <v>132</v>
      </c>
      <c r="B173" s="133" t="s">
        <v>105</v>
      </c>
      <c r="C173" s="133" t="s">
        <v>10522</v>
      </c>
      <c r="D173" s="116">
        <v>200</v>
      </c>
      <c r="E173" s="528">
        <f>D173</f>
        <v>200</v>
      </c>
      <c r="F173" s="338" t="s">
        <v>132</v>
      </c>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5" customHeight="1">
      <c r="A174" s="134" t="s">
        <v>132</v>
      </c>
      <c r="B174" s="133" t="s">
        <v>105</v>
      </c>
      <c r="C174" s="133" t="s">
        <v>10422</v>
      </c>
      <c r="D174" s="116">
        <v>56</v>
      </c>
      <c r="E174" s="528">
        <v>56</v>
      </c>
      <c r="F174" s="338" t="s">
        <v>132</v>
      </c>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5" customHeight="1">
      <c r="A175" s="134" t="s">
        <v>7262</v>
      </c>
      <c r="B175" s="133" t="s">
        <v>105</v>
      </c>
      <c r="C175" s="133" t="s">
        <v>10523</v>
      </c>
      <c r="D175" s="116">
        <v>200</v>
      </c>
      <c r="E175" s="528">
        <f t="shared" ref="E175:E176" si="13">D175</f>
        <v>200</v>
      </c>
      <c r="F175" s="338" t="s">
        <v>971</v>
      </c>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5" customHeight="1">
      <c r="A176" s="134" t="s">
        <v>7262</v>
      </c>
      <c r="B176" s="133" t="s">
        <v>105</v>
      </c>
      <c r="C176" s="133" t="s">
        <v>10457</v>
      </c>
      <c r="D176" s="116">
        <v>56</v>
      </c>
      <c r="E176" s="528">
        <f t="shared" si="13"/>
        <v>56</v>
      </c>
      <c r="F176" s="338" t="s">
        <v>971</v>
      </c>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5" customHeight="1">
      <c r="A177" s="134" t="s">
        <v>7628</v>
      </c>
      <c r="B177" s="133" t="s">
        <v>105</v>
      </c>
      <c r="C177" s="133" t="s">
        <v>10524</v>
      </c>
      <c r="D177" s="100">
        <v>200</v>
      </c>
      <c r="E177" s="528">
        <v>200</v>
      </c>
      <c r="F177" s="338" t="s">
        <v>124</v>
      </c>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5" customHeight="1">
      <c r="A178" s="134" t="s">
        <v>7628</v>
      </c>
      <c r="B178" s="133" t="s">
        <v>105</v>
      </c>
      <c r="C178" s="133" t="s">
        <v>10525</v>
      </c>
      <c r="D178" s="116">
        <v>90</v>
      </c>
      <c r="E178" s="528">
        <v>90</v>
      </c>
      <c r="F178" s="338" t="s">
        <v>124</v>
      </c>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5" customHeight="1">
      <c r="A179" s="134" t="s">
        <v>7628</v>
      </c>
      <c r="B179" s="133" t="s">
        <v>105</v>
      </c>
      <c r="C179" s="133" t="s">
        <v>10437</v>
      </c>
      <c r="D179" s="116">
        <v>56</v>
      </c>
      <c r="E179" s="528">
        <v>56</v>
      </c>
      <c r="F179" s="338" t="s">
        <v>124</v>
      </c>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5" customHeight="1">
      <c r="A180" s="134" t="s">
        <v>7263</v>
      </c>
      <c r="B180" s="133" t="s">
        <v>105</v>
      </c>
      <c r="C180" s="133" t="s">
        <v>10526</v>
      </c>
      <c r="D180" s="100">
        <v>200</v>
      </c>
      <c r="E180" s="528">
        <v>200</v>
      </c>
      <c r="F180" s="338" t="s">
        <v>125</v>
      </c>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5" customHeight="1">
      <c r="A181" s="134" t="s">
        <v>7263</v>
      </c>
      <c r="B181" s="133" t="s">
        <v>105</v>
      </c>
      <c r="C181" s="133" t="s">
        <v>10527</v>
      </c>
      <c r="D181" s="116">
        <v>90</v>
      </c>
      <c r="E181" s="528">
        <v>90</v>
      </c>
      <c r="F181" s="338" t="s">
        <v>125</v>
      </c>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5" customHeight="1">
      <c r="A182" s="134" t="s">
        <v>7263</v>
      </c>
      <c r="B182" s="133" t="s">
        <v>968</v>
      </c>
      <c r="C182" s="133" t="s">
        <v>10437</v>
      </c>
      <c r="D182" s="100">
        <v>56</v>
      </c>
      <c r="E182" s="528">
        <v>56</v>
      </c>
      <c r="F182" s="338" t="s">
        <v>125</v>
      </c>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5" customHeight="1">
      <c r="A183" s="134" t="s">
        <v>7266</v>
      </c>
      <c r="B183" s="99" t="s">
        <v>105</v>
      </c>
      <c r="C183" s="133" t="s">
        <v>10528</v>
      </c>
      <c r="D183" s="116">
        <v>200</v>
      </c>
      <c r="E183" s="528">
        <v>200</v>
      </c>
      <c r="F183" s="338" t="s">
        <v>118</v>
      </c>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5" customHeight="1">
      <c r="A184" s="134" t="s">
        <v>7266</v>
      </c>
      <c r="B184" s="99" t="s">
        <v>105</v>
      </c>
      <c r="C184" s="133" t="s">
        <v>10529</v>
      </c>
      <c r="D184" s="116">
        <v>56</v>
      </c>
      <c r="E184" s="528">
        <v>56</v>
      </c>
      <c r="F184" s="338" t="s">
        <v>118</v>
      </c>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5" customHeight="1">
      <c r="A185" s="134" t="s">
        <v>7266</v>
      </c>
      <c r="B185" s="99" t="s">
        <v>105</v>
      </c>
      <c r="C185" s="133" t="s">
        <v>10530</v>
      </c>
      <c r="D185" s="116">
        <v>90</v>
      </c>
      <c r="E185" s="528">
        <v>90</v>
      </c>
      <c r="F185" s="338" t="s">
        <v>118</v>
      </c>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5" customHeight="1">
      <c r="A186" s="134" t="s">
        <v>7632</v>
      </c>
      <c r="B186" s="133" t="s">
        <v>105</v>
      </c>
      <c r="C186" s="133" t="s">
        <v>10431</v>
      </c>
      <c r="D186" s="116">
        <v>56</v>
      </c>
      <c r="E186" s="528">
        <f t="shared" ref="E186:E190" si="14">D186</f>
        <v>56</v>
      </c>
      <c r="F186" s="338" t="s">
        <v>126</v>
      </c>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5" customHeight="1">
      <c r="A187" s="134" t="s">
        <v>7632</v>
      </c>
      <c r="B187" s="133" t="s">
        <v>105</v>
      </c>
      <c r="C187" s="133" t="s">
        <v>10531</v>
      </c>
      <c r="D187" s="116">
        <v>200</v>
      </c>
      <c r="E187" s="528">
        <f t="shared" si="14"/>
        <v>200</v>
      </c>
      <c r="F187" s="338" t="s">
        <v>126</v>
      </c>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5" customHeight="1">
      <c r="A188" s="134" t="s">
        <v>7632</v>
      </c>
      <c r="B188" s="133" t="s">
        <v>105</v>
      </c>
      <c r="C188" s="133" t="s">
        <v>10532</v>
      </c>
      <c r="D188" s="116">
        <v>200</v>
      </c>
      <c r="E188" s="528">
        <f t="shared" si="14"/>
        <v>200</v>
      </c>
      <c r="F188" s="338" t="s">
        <v>126</v>
      </c>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5" customHeight="1">
      <c r="A189" s="134" t="s">
        <v>7632</v>
      </c>
      <c r="B189" s="133" t="s">
        <v>105</v>
      </c>
      <c r="C189" s="133" t="s">
        <v>10533</v>
      </c>
      <c r="D189" s="116">
        <v>90</v>
      </c>
      <c r="E189" s="528">
        <f t="shared" si="14"/>
        <v>90</v>
      </c>
      <c r="F189" s="338" t="s">
        <v>126</v>
      </c>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5" customHeight="1">
      <c r="A190" s="134" t="s">
        <v>7632</v>
      </c>
      <c r="B190" s="133" t="s">
        <v>105</v>
      </c>
      <c r="C190" s="133" t="s">
        <v>10534</v>
      </c>
      <c r="D190" s="116">
        <v>90</v>
      </c>
      <c r="E190" s="528">
        <f t="shared" si="14"/>
        <v>90</v>
      </c>
      <c r="F190" s="338" t="s">
        <v>126</v>
      </c>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5" customHeight="1">
      <c r="A191" s="134" t="s">
        <v>127</v>
      </c>
      <c r="B191" s="133" t="s">
        <v>3753</v>
      </c>
      <c r="C191" s="133" t="s">
        <v>10437</v>
      </c>
      <c r="D191" s="100">
        <v>56</v>
      </c>
      <c r="E191" s="528">
        <v>56</v>
      </c>
      <c r="F191" s="338" t="s">
        <v>127</v>
      </c>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5" customHeight="1">
      <c r="A192" s="134" t="s">
        <v>107</v>
      </c>
      <c r="B192" s="133" t="s">
        <v>105</v>
      </c>
      <c r="C192" s="133" t="s">
        <v>10431</v>
      </c>
      <c r="D192" s="100">
        <v>56</v>
      </c>
      <c r="E192" s="528">
        <v>56</v>
      </c>
      <c r="F192" s="338" t="s">
        <v>107</v>
      </c>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5" customHeight="1">
      <c r="A193" s="134" t="s">
        <v>7635</v>
      </c>
      <c r="B193" s="99" t="s">
        <v>105</v>
      </c>
      <c r="C193" s="133" t="s">
        <v>10529</v>
      </c>
      <c r="D193" s="116">
        <v>56</v>
      </c>
      <c r="E193" s="528">
        <v>56</v>
      </c>
      <c r="F193" s="338" t="s">
        <v>128</v>
      </c>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5" customHeight="1">
      <c r="A194" s="134" t="s">
        <v>109</v>
      </c>
      <c r="B194" s="133" t="s">
        <v>105</v>
      </c>
      <c r="C194" s="133" t="s">
        <v>10431</v>
      </c>
      <c r="D194" s="100">
        <v>56</v>
      </c>
      <c r="E194" s="528">
        <v>56</v>
      </c>
      <c r="F194" s="338" t="s">
        <v>109</v>
      </c>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5" customHeight="1">
      <c r="A195" s="134" t="s">
        <v>9232</v>
      </c>
      <c r="B195" s="133" t="s">
        <v>105</v>
      </c>
      <c r="C195" s="133" t="s">
        <v>10535</v>
      </c>
      <c r="D195" s="116">
        <v>200</v>
      </c>
      <c r="E195" s="528">
        <f t="shared" ref="E195:E199" si="15">D195</f>
        <v>200</v>
      </c>
      <c r="F195" s="338" t="s">
        <v>119</v>
      </c>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5" customHeight="1">
      <c r="A196" s="134" t="s">
        <v>9232</v>
      </c>
      <c r="B196" s="133" t="s">
        <v>105</v>
      </c>
      <c r="C196" s="133" t="s">
        <v>10536</v>
      </c>
      <c r="D196" s="116">
        <v>200</v>
      </c>
      <c r="E196" s="528">
        <f t="shared" si="15"/>
        <v>200</v>
      </c>
      <c r="F196" s="338" t="s">
        <v>119</v>
      </c>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5" customHeight="1">
      <c r="A197" s="134" t="s">
        <v>9232</v>
      </c>
      <c r="B197" s="133" t="s">
        <v>105</v>
      </c>
      <c r="C197" s="133" t="s">
        <v>10437</v>
      </c>
      <c r="D197" s="116">
        <v>56</v>
      </c>
      <c r="E197" s="528">
        <f t="shared" si="15"/>
        <v>56</v>
      </c>
      <c r="F197" s="338" t="s">
        <v>119</v>
      </c>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5" customHeight="1">
      <c r="A198" s="134" t="s">
        <v>9232</v>
      </c>
      <c r="B198" s="133" t="s">
        <v>105</v>
      </c>
      <c r="C198" s="133" t="s">
        <v>10537</v>
      </c>
      <c r="D198" s="116">
        <f>12*14</f>
        <v>168</v>
      </c>
      <c r="E198" s="528">
        <f t="shared" si="15"/>
        <v>168</v>
      </c>
      <c r="F198" s="338" t="s">
        <v>119</v>
      </c>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5" customHeight="1">
      <c r="A199" s="134" t="s">
        <v>9232</v>
      </c>
      <c r="B199" s="133" t="s">
        <v>105</v>
      </c>
      <c r="C199" s="133" t="s">
        <v>10538</v>
      </c>
      <c r="D199" s="116">
        <f>10*14</f>
        <v>140</v>
      </c>
      <c r="E199" s="528">
        <f t="shared" si="15"/>
        <v>140</v>
      </c>
      <c r="F199" s="338" t="s">
        <v>119</v>
      </c>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5" customHeight="1">
      <c r="A200" s="134" t="s">
        <v>7428</v>
      </c>
      <c r="B200" s="586" t="s">
        <v>105</v>
      </c>
      <c r="C200" s="386" t="s">
        <v>10503</v>
      </c>
      <c r="D200" s="6">
        <v>56</v>
      </c>
      <c r="E200" s="6">
        <v>56</v>
      </c>
      <c r="F200" s="338" t="s">
        <v>129</v>
      </c>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5" customHeight="1">
      <c r="A201" s="134" t="s">
        <v>7428</v>
      </c>
      <c r="B201" s="133" t="s">
        <v>105</v>
      </c>
      <c r="C201" s="1151" t="s">
        <v>10539</v>
      </c>
      <c r="D201" s="286">
        <v>200</v>
      </c>
      <c r="E201" s="286">
        <v>200</v>
      </c>
      <c r="F201" s="338" t="s">
        <v>129</v>
      </c>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5" customHeight="1">
      <c r="A202" s="134" t="s">
        <v>7428</v>
      </c>
      <c r="B202" s="133" t="s">
        <v>105</v>
      </c>
      <c r="C202" s="133" t="s">
        <v>10540</v>
      </c>
      <c r="D202" s="116">
        <v>90</v>
      </c>
      <c r="E202" s="116">
        <v>90</v>
      </c>
      <c r="F202" s="338" t="s">
        <v>129</v>
      </c>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5" customHeight="1">
      <c r="A203" s="134" t="s">
        <v>110</v>
      </c>
      <c r="B203" s="99" t="s">
        <v>105</v>
      </c>
      <c r="C203" s="133" t="s">
        <v>10541</v>
      </c>
      <c r="D203" s="116">
        <v>56</v>
      </c>
      <c r="E203" s="528">
        <f>D203</f>
        <v>56</v>
      </c>
      <c r="F203" s="338" t="s">
        <v>110</v>
      </c>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5.75" customHeight="1">
      <c r="A204" s="134" t="s">
        <v>110</v>
      </c>
      <c r="B204" s="99" t="s">
        <v>105</v>
      </c>
      <c r="C204" s="133" t="s">
        <v>10542</v>
      </c>
      <c r="D204" s="116">
        <v>168</v>
      </c>
      <c r="E204" s="528">
        <v>168</v>
      </c>
      <c r="F204" s="338" t="s">
        <v>110</v>
      </c>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5" customHeight="1">
      <c r="A205" s="134" t="s">
        <v>7639</v>
      </c>
      <c r="B205" s="133" t="s">
        <v>105</v>
      </c>
      <c r="C205" s="133" t="s">
        <v>10543</v>
      </c>
      <c r="D205" s="116">
        <v>200</v>
      </c>
      <c r="E205" s="528">
        <f t="shared" ref="E205:E207" si="16">D205</f>
        <v>200</v>
      </c>
      <c r="F205" s="338" t="s">
        <v>1005</v>
      </c>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5" customHeight="1">
      <c r="A206" s="134" t="s">
        <v>7639</v>
      </c>
      <c r="B206" s="133" t="s">
        <v>105</v>
      </c>
      <c r="C206" s="133" t="s">
        <v>10544</v>
      </c>
      <c r="D206" s="116">
        <v>200</v>
      </c>
      <c r="E206" s="528">
        <f t="shared" si="16"/>
        <v>200</v>
      </c>
      <c r="F206" s="338" t="s">
        <v>1005</v>
      </c>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5" customHeight="1">
      <c r="A207" s="134" t="s">
        <v>7639</v>
      </c>
      <c r="B207" s="133" t="s">
        <v>105</v>
      </c>
      <c r="C207" s="133" t="s">
        <v>10545</v>
      </c>
      <c r="D207" s="116">
        <f>90</f>
        <v>90</v>
      </c>
      <c r="E207" s="528">
        <f t="shared" si="16"/>
        <v>90</v>
      </c>
      <c r="F207" s="338" t="s">
        <v>1005</v>
      </c>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5" customHeight="1">
      <c r="A208" s="134" t="s">
        <v>7639</v>
      </c>
      <c r="B208" s="133" t="s">
        <v>105</v>
      </c>
      <c r="C208" s="133" t="s">
        <v>10422</v>
      </c>
      <c r="D208" s="116">
        <v>56</v>
      </c>
      <c r="E208" s="528">
        <v>56</v>
      </c>
      <c r="F208" s="338" t="s">
        <v>1005</v>
      </c>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5" customHeight="1">
      <c r="A209" s="134" t="s">
        <v>130</v>
      </c>
      <c r="B209" s="133" t="s">
        <v>105</v>
      </c>
      <c r="C209" s="133" t="s">
        <v>10546</v>
      </c>
      <c r="D209" s="100">
        <v>200</v>
      </c>
      <c r="E209" s="528">
        <v>200</v>
      </c>
      <c r="F209" s="338" t="s">
        <v>130</v>
      </c>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5" customHeight="1">
      <c r="A210" s="134" t="s">
        <v>130</v>
      </c>
      <c r="B210" s="133" t="s">
        <v>105</v>
      </c>
      <c r="C210" s="133" t="s">
        <v>10431</v>
      </c>
      <c r="D210" s="116">
        <v>56</v>
      </c>
      <c r="E210" s="528">
        <v>56</v>
      </c>
      <c r="F210" s="338" t="s">
        <v>130</v>
      </c>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5" customHeight="1">
      <c r="A211" s="134" t="s">
        <v>138</v>
      </c>
      <c r="B211" s="133" t="s">
        <v>105</v>
      </c>
      <c r="C211" s="133" t="s">
        <v>10422</v>
      </c>
      <c r="D211" s="116">
        <v>56</v>
      </c>
      <c r="E211" s="528">
        <f t="shared" ref="E211:E216" si="17">D211</f>
        <v>56</v>
      </c>
      <c r="F211" s="338" t="s">
        <v>138</v>
      </c>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5" customHeight="1">
      <c r="A212" s="134" t="s">
        <v>138</v>
      </c>
      <c r="B212" s="133" t="s">
        <v>105</v>
      </c>
      <c r="C212" s="133" t="s">
        <v>10547</v>
      </c>
      <c r="D212" s="116">
        <v>200</v>
      </c>
      <c r="E212" s="528">
        <f t="shared" si="17"/>
        <v>200</v>
      </c>
      <c r="F212" s="338" t="s">
        <v>138</v>
      </c>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5" customHeight="1">
      <c r="A213" s="134" t="s">
        <v>138</v>
      </c>
      <c r="B213" s="133" t="s">
        <v>105</v>
      </c>
      <c r="C213" s="133" t="s">
        <v>10548</v>
      </c>
      <c r="D213" s="116">
        <v>200</v>
      </c>
      <c r="E213" s="528">
        <f t="shared" si="17"/>
        <v>200</v>
      </c>
      <c r="F213" s="338" t="s">
        <v>138</v>
      </c>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5" customHeight="1">
      <c r="A214" s="134" t="s">
        <v>111</v>
      </c>
      <c r="B214" s="133" t="s">
        <v>105</v>
      </c>
      <c r="C214" s="133" t="s">
        <v>10549</v>
      </c>
      <c r="D214" s="116">
        <v>200</v>
      </c>
      <c r="E214" s="528">
        <f t="shared" si="17"/>
        <v>200</v>
      </c>
      <c r="F214" s="338" t="s">
        <v>111</v>
      </c>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5" customHeight="1">
      <c r="A215" s="134" t="s">
        <v>111</v>
      </c>
      <c r="B215" s="133" t="s">
        <v>105</v>
      </c>
      <c r="C215" s="133" t="s">
        <v>10550</v>
      </c>
      <c r="D215" s="116">
        <v>56</v>
      </c>
      <c r="E215" s="528">
        <f t="shared" si="17"/>
        <v>56</v>
      </c>
      <c r="F215" s="338" t="s">
        <v>111</v>
      </c>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5" customHeight="1">
      <c r="A216" s="447" t="s">
        <v>7640</v>
      </c>
      <c r="B216" s="162" t="s">
        <v>105</v>
      </c>
      <c r="C216" s="162" t="s">
        <v>10551</v>
      </c>
      <c r="D216" s="737">
        <v>56</v>
      </c>
      <c r="E216" s="1204">
        <f t="shared" si="17"/>
        <v>56</v>
      </c>
      <c r="F216" s="338" t="s">
        <v>112</v>
      </c>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5" customHeight="1">
      <c r="A217" s="134" t="s">
        <v>120</v>
      </c>
      <c r="B217" s="133" t="s">
        <v>105</v>
      </c>
      <c r="C217" s="133" t="s">
        <v>10552</v>
      </c>
      <c r="D217" s="100">
        <v>200</v>
      </c>
      <c r="E217" s="528">
        <v>200</v>
      </c>
      <c r="F217" s="338" t="s">
        <v>120</v>
      </c>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5" customHeight="1">
      <c r="A218" s="134" t="s">
        <v>120</v>
      </c>
      <c r="B218" s="133" t="s">
        <v>105</v>
      </c>
      <c r="C218" s="133" t="s">
        <v>10553</v>
      </c>
      <c r="D218" s="116">
        <v>200</v>
      </c>
      <c r="E218" s="528">
        <v>200</v>
      </c>
      <c r="F218" s="338" t="s">
        <v>120</v>
      </c>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5" customHeight="1">
      <c r="A219" s="134" t="s">
        <v>120</v>
      </c>
      <c r="B219" s="133" t="s">
        <v>105</v>
      </c>
      <c r="C219" s="133" t="s">
        <v>10554</v>
      </c>
      <c r="D219" s="116" t="s">
        <v>10555</v>
      </c>
      <c r="E219" s="528">
        <v>90</v>
      </c>
      <c r="F219" s="338" t="s">
        <v>120</v>
      </c>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5" customHeight="1">
      <c r="A220" s="134" t="s">
        <v>120</v>
      </c>
      <c r="B220" s="133" t="s">
        <v>105</v>
      </c>
      <c r="C220" s="133" t="s">
        <v>10556</v>
      </c>
      <c r="D220" s="116" t="s">
        <v>10557</v>
      </c>
      <c r="E220" s="528">
        <v>168</v>
      </c>
      <c r="F220" s="338" t="s">
        <v>120</v>
      </c>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5" customHeight="1">
      <c r="A221" s="134" t="s">
        <v>120</v>
      </c>
      <c r="B221" s="133" t="s">
        <v>105</v>
      </c>
      <c r="C221" s="133" t="s">
        <v>10558</v>
      </c>
      <c r="D221" s="116">
        <v>56</v>
      </c>
      <c r="E221" s="528">
        <v>56</v>
      </c>
      <c r="F221" s="338" t="s">
        <v>120</v>
      </c>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5" customHeight="1">
      <c r="A222" s="134" t="s">
        <v>10559</v>
      </c>
      <c r="B222" s="133" t="s">
        <v>8972</v>
      </c>
      <c r="C222" s="133" t="s">
        <v>10558</v>
      </c>
      <c r="D222" s="116">
        <v>56</v>
      </c>
      <c r="E222" s="528">
        <v>56</v>
      </c>
      <c r="F222" s="338" t="s">
        <v>113</v>
      </c>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5" customHeight="1">
      <c r="A223" s="134" t="s">
        <v>7297</v>
      </c>
      <c r="B223" s="133" t="s">
        <v>105</v>
      </c>
      <c r="C223" s="133" t="s">
        <v>10560</v>
      </c>
      <c r="D223" s="116">
        <v>200</v>
      </c>
      <c r="E223" s="528">
        <v>200</v>
      </c>
      <c r="F223" s="338" t="s">
        <v>133</v>
      </c>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5" customHeight="1">
      <c r="A224" s="134" t="s">
        <v>7297</v>
      </c>
      <c r="B224" s="133" t="s">
        <v>105</v>
      </c>
      <c r="C224" s="133" t="s">
        <v>10561</v>
      </c>
      <c r="D224" s="116">
        <v>56</v>
      </c>
      <c r="E224" s="528">
        <v>56</v>
      </c>
      <c r="F224" s="338" t="s">
        <v>133</v>
      </c>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5" customHeight="1">
      <c r="A225" s="134" t="s">
        <v>7297</v>
      </c>
      <c r="B225" s="133" t="s">
        <v>105</v>
      </c>
      <c r="C225" s="133" t="s">
        <v>10487</v>
      </c>
      <c r="D225" s="116">
        <v>90</v>
      </c>
      <c r="E225" s="528">
        <v>90</v>
      </c>
      <c r="F225" s="338" t="s">
        <v>133</v>
      </c>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5" customHeight="1">
      <c r="A226" s="134" t="s">
        <v>134</v>
      </c>
      <c r="B226" s="133" t="s">
        <v>105</v>
      </c>
      <c r="C226" s="133" t="s">
        <v>10562</v>
      </c>
      <c r="D226" s="116">
        <v>200</v>
      </c>
      <c r="E226" s="528">
        <v>200</v>
      </c>
      <c r="F226" s="338" t="s">
        <v>134</v>
      </c>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5" customHeight="1">
      <c r="A227" s="134" t="s">
        <v>134</v>
      </c>
      <c r="B227" s="133" t="s">
        <v>105</v>
      </c>
      <c r="C227" s="133" t="s">
        <v>10563</v>
      </c>
      <c r="D227" s="116">
        <v>56</v>
      </c>
      <c r="E227" s="528">
        <v>56</v>
      </c>
      <c r="F227" s="338" t="s">
        <v>134</v>
      </c>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5.75" customHeight="1"/>
    <row r="229" spans="1:26" ht="15" customHeight="1">
      <c r="A229" s="332" t="s">
        <v>169</v>
      </c>
      <c r="E229" s="1116">
        <f>SUM(E11:E227)</f>
        <v>28166</v>
      </c>
    </row>
    <row r="230" spans="1:26" ht="15.75" customHeight="1"/>
    <row r="231" spans="1:26" ht="15" customHeight="1">
      <c r="A231" s="1231" t="s">
        <v>1156</v>
      </c>
      <c r="B231" s="1232"/>
      <c r="C231" s="1232"/>
      <c r="D231" s="1232"/>
      <c r="E231" s="1232"/>
      <c r="F231" s="1232"/>
      <c r="G231" s="1232"/>
      <c r="H231" s="1233"/>
    </row>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E8"/>
    <mergeCell ref="A231:H231"/>
    <mergeCell ref="A2:E2"/>
    <mergeCell ref="A4:E4"/>
    <mergeCell ref="A5:E5"/>
    <mergeCell ref="A6:E6"/>
    <mergeCell ref="A7:E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58.265625" customWidth="1"/>
    <col min="4" max="4" width="17.73046875" customWidth="1"/>
    <col min="5" max="5" width="26.3984375" customWidth="1"/>
    <col min="6" max="8" width="13.73046875" customWidth="1"/>
    <col min="9" max="25" width="8" customWidth="1"/>
  </cols>
  <sheetData>
    <row r="1" spans="1:25" ht="14.25">
      <c r="A1" s="64"/>
      <c r="B1" s="64"/>
      <c r="C1" s="65"/>
      <c r="D1" s="65"/>
      <c r="E1" s="65"/>
      <c r="F1" s="1"/>
      <c r="G1" s="1"/>
      <c r="H1" s="1"/>
    </row>
    <row r="2" spans="1:25" ht="15.75" customHeight="1">
      <c r="A2" s="1234" t="s">
        <v>10564</v>
      </c>
      <c r="B2" s="1227"/>
      <c r="C2" s="1227"/>
      <c r="D2" s="1227"/>
      <c r="E2" s="1228"/>
      <c r="F2" s="1114"/>
      <c r="G2" s="1114"/>
      <c r="H2" s="1114"/>
      <c r="I2" s="69"/>
      <c r="J2" s="69"/>
      <c r="K2" s="69"/>
      <c r="L2" s="69"/>
      <c r="M2" s="69"/>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14.25" customHeight="1">
      <c r="A4" s="1244" t="s">
        <v>10565</v>
      </c>
      <c r="B4" s="1227"/>
      <c r="C4" s="1227"/>
      <c r="D4" s="1227"/>
      <c r="E4" s="1228"/>
      <c r="F4" s="1114"/>
      <c r="G4" s="1114"/>
      <c r="H4" s="1114"/>
      <c r="I4" s="69"/>
      <c r="J4" s="69"/>
      <c r="K4" s="69"/>
      <c r="L4" s="69"/>
      <c r="M4" s="69"/>
      <c r="N4" s="69"/>
      <c r="O4" s="69"/>
      <c r="P4" s="69"/>
      <c r="Q4" s="69"/>
      <c r="R4" s="69"/>
      <c r="S4" s="69"/>
      <c r="T4" s="69"/>
      <c r="U4" s="69"/>
      <c r="V4" s="69"/>
      <c r="W4" s="69"/>
      <c r="X4" s="69"/>
      <c r="Y4" s="69"/>
    </row>
    <row r="5" spans="1:25" ht="17.25" customHeight="1">
      <c r="A5" s="1244" t="s">
        <v>10566</v>
      </c>
      <c r="B5" s="1227"/>
      <c r="C5" s="1227"/>
      <c r="D5" s="1227"/>
      <c r="E5" s="1228"/>
      <c r="F5" s="1114"/>
      <c r="G5" s="1114"/>
      <c r="H5" s="1114"/>
      <c r="I5" s="69"/>
      <c r="J5" s="69"/>
      <c r="K5" s="69"/>
      <c r="L5" s="69"/>
      <c r="M5" s="69"/>
      <c r="N5" s="69"/>
      <c r="O5" s="69"/>
      <c r="P5" s="69"/>
      <c r="Q5" s="69"/>
      <c r="R5" s="69"/>
      <c r="S5" s="69"/>
      <c r="T5" s="69"/>
      <c r="U5" s="69"/>
      <c r="V5" s="69"/>
      <c r="W5" s="69"/>
      <c r="X5" s="69"/>
      <c r="Y5" s="69"/>
    </row>
    <row r="6" spans="1:25" ht="19.5" customHeight="1">
      <c r="A6" s="1244" t="s">
        <v>10567</v>
      </c>
      <c r="B6" s="1227"/>
      <c r="C6" s="1227"/>
      <c r="D6" s="1227"/>
      <c r="E6" s="1228"/>
      <c r="F6" s="1114"/>
      <c r="G6" s="1114"/>
      <c r="H6" s="1114"/>
      <c r="I6" s="69"/>
      <c r="J6" s="69"/>
      <c r="K6" s="69"/>
      <c r="L6" s="69"/>
      <c r="M6" s="69"/>
      <c r="N6" s="69"/>
      <c r="O6" s="69"/>
      <c r="P6" s="69"/>
      <c r="Q6" s="69"/>
      <c r="R6" s="69"/>
      <c r="S6" s="69"/>
      <c r="T6" s="69"/>
      <c r="U6" s="69"/>
      <c r="V6" s="69"/>
      <c r="W6" s="69"/>
      <c r="X6" s="69"/>
      <c r="Y6" s="69"/>
    </row>
    <row r="7" spans="1:25" ht="164.25" customHeight="1">
      <c r="A7" s="1258" t="s">
        <v>10568</v>
      </c>
      <c r="B7" s="1227"/>
      <c r="C7" s="1227"/>
      <c r="D7" s="1227"/>
      <c r="E7" s="1228"/>
      <c r="F7" s="1114"/>
      <c r="G7" s="1114"/>
      <c r="H7" s="1114"/>
      <c r="I7" s="69"/>
      <c r="J7" s="69"/>
      <c r="K7" s="69"/>
      <c r="L7" s="69"/>
      <c r="M7" s="69"/>
      <c r="N7" s="69"/>
      <c r="O7" s="69"/>
      <c r="P7" s="69"/>
      <c r="Q7" s="69"/>
      <c r="R7" s="69"/>
      <c r="S7" s="69"/>
      <c r="T7" s="69"/>
      <c r="U7" s="69"/>
      <c r="V7" s="69"/>
      <c r="W7" s="69"/>
      <c r="X7" s="69"/>
      <c r="Y7" s="69"/>
    </row>
    <row r="8" spans="1:25" ht="14.25">
      <c r="A8" s="77"/>
      <c r="B8" s="77"/>
      <c r="C8" s="78"/>
      <c r="D8" s="78"/>
      <c r="E8" s="78"/>
      <c r="F8" s="77"/>
      <c r="G8" s="77"/>
      <c r="H8" s="77"/>
      <c r="I8" s="69"/>
      <c r="J8" s="69"/>
      <c r="K8" s="69"/>
      <c r="L8" s="69"/>
      <c r="M8" s="69"/>
      <c r="N8" s="69"/>
      <c r="O8" s="69"/>
      <c r="P8" s="69"/>
      <c r="Q8" s="69"/>
      <c r="R8" s="69"/>
      <c r="S8" s="69"/>
      <c r="T8" s="69"/>
      <c r="U8" s="69"/>
      <c r="V8" s="69"/>
      <c r="W8" s="69"/>
      <c r="X8" s="69"/>
      <c r="Y8" s="69"/>
    </row>
    <row r="9" spans="1:25" ht="55.5" customHeight="1">
      <c r="A9" s="377" t="s">
        <v>4419</v>
      </c>
      <c r="B9" s="83" t="s">
        <v>7</v>
      </c>
      <c r="C9" s="83" t="s">
        <v>10569</v>
      </c>
      <c r="D9" s="350" t="s">
        <v>206</v>
      </c>
      <c r="E9" s="350" t="s">
        <v>210</v>
      </c>
      <c r="F9" s="336" t="s">
        <v>211</v>
      </c>
      <c r="I9" s="69"/>
      <c r="J9" s="69"/>
      <c r="K9" s="69"/>
      <c r="L9" s="69"/>
      <c r="M9" s="69"/>
      <c r="N9" s="69"/>
      <c r="O9" s="69"/>
      <c r="P9" s="69"/>
      <c r="Q9" s="69"/>
      <c r="R9" s="69"/>
      <c r="S9" s="69"/>
      <c r="T9" s="69"/>
      <c r="U9" s="69"/>
      <c r="V9" s="69"/>
      <c r="W9" s="69"/>
      <c r="X9" s="69"/>
      <c r="Y9" s="69"/>
    </row>
    <row r="10" spans="1:25" ht="15.75" customHeight="1">
      <c r="A10" s="134" t="s">
        <v>7647</v>
      </c>
      <c r="B10" s="133" t="s">
        <v>51</v>
      </c>
      <c r="C10" s="133" t="s">
        <v>10570</v>
      </c>
      <c r="D10" s="100">
        <v>30</v>
      </c>
      <c r="E10" s="528">
        <v>30</v>
      </c>
      <c r="F10" s="338" t="s">
        <v>221</v>
      </c>
    </row>
    <row r="11" spans="1:25" ht="15" customHeight="1">
      <c r="A11" s="134" t="s">
        <v>1315</v>
      </c>
      <c r="B11" s="133" t="s">
        <v>51</v>
      </c>
      <c r="C11" s="133" t="s">
        <v>10571</v>
      </c>
      <c r="D11" s="100">
        <v>8</v>
      </c>
      <c r="E11" s="528">
        <v>8</v>
      </c>
      <c r="F11" s="338" t="s">
        <v>1315</v>
      </c>
    </row>
    <row r="12" spans="1:25" ht="15" customHeight="1">
      <c r="A12" s="134" t="s">
        <v>1315</v>
      </c>
      <c r="B12" s="133" t="s">
        <v>105</v>
      </c>
      <c r="C12" s="133" t="s">
        <v>10572</v>
      </c>
      <c r="D12" s="116">
        <v>8</v>
      </c>
      <c r="E12" s="528">
        <v>8</v>
      </c>
      <c r="F12" s="338" t="s">
        <v>1315</v>
      </c>
    </row>
    <row r="13" spans="1:25" ht="15" customHeight="1">
      <c r="A13" s="134" t="s">
        <v>7371</v>
      </c>
      <c r="B13" s="133" t="s">
        <v>51</v>
      </c>
      <c r="C13" s="133" t="s">
        <v>10573</v>
      </c>
      <c r="D13" s="116">
        <v>60</v>
      </c>
      <c r="E13" s="528">
        <v>60</v>
      </c>
      <c r="F13" s="338" t="s">
        <v>7371</v>
      </c>
    </row>
    <row r="14" spans="1:25" ht="15" customHeight="1">
      <c r="A14" s="134" t="s">
        <v>7371</v>
      </c>
      <c r="B14" s="133" t="s">
        <v>51</v>
      </c>
      <c r="C14" s="133" t="s">
        <v>10574</v>
      </c>
      <c r="D14" s="116">
        <v>100</v>
      </c>
      <c r="E14" s="528">
        <v>100</v>
      </c>
      <c r="F14" s="338" t="s">
        <v>7371</v>
      </c>
    </row>
    <row r="15" spans="1:25" ht="15" customHeight="1">
      <c r="A15" s="134" t="s">
        <v>7371</v>
      </c>
      <c r="B15" s="133" t="s">
        <v>51</v>
      </c>
      <c r="C15" s="133" t="s">
        <v>10575</v>
      </c>
      <c r="D15" s="116">
        <v>80</v>
      </c>
      <c r="E15" s="528">
        <v>80</v>
      </c>
      <c r="F15" s="338" t="s">
        <v>7371</v>
      </c>
    </row>
    <row r="16" spans="1:25" ht="15" customHeight="1">
      <c r="A16" s="134" t="s">
        <v>7371</v>
      </c>
      <c r="B16" s="133" t="s">
        <v>51</v>
      </c>
      <c r="C16" s="133" t="s">
        <v>10576</v>
      </c>
      <c r="D16" s="116">
        <v>10</v>
      </c>
      <c r="E16" s="528">
        <v>10</v>
      </c>
      <c r="F16" s="338" t="s">
        <v>7371</v>
      </c>
    </row>
    <row r="17" spans="1:6" ht="15" customHeight="1">
      <c r="A17" s="1205" t="s">
        <v>6237</v>
      </c>
      <c r="B17" s="1206" t="s">
        <v>51</v>
      </c>
      <c r="C17" s="469" t="s">
        <v>10577</v>
      </c>
      <c r="D17" s="178" t="s">
        <v>10578</v>
      </c>
      <c r="E17" s="1120">
        <v>10</v>
      </c>
      <c r="F17" s="338" t="s">
        <v>1339</v>
      </c>
    </row>
    <row r="18" spans="1:6" ht="15" customHeight="1">
      <c r="A18" s="134" t="s">
        <v>7554</v>
      </c>
      <c r="B18" s="133" t="s">
        <v>51</v>
      </c>
      <c r="C18" s="133" t="s">
        <v>10579</v>
      </c>
      <c r="D18" s="100">
        <v>30</v>
      </c>
      <c r="E18" s="528">
        <v>30</v>
      </c>
      <c r="F18" s="338" t="s">
        <v>1359</v>
      </c>
    </row>
    <row r="19" spans="1:6" ht="15" customHeight="1">
      <c r="A19" s="134" t="s">
        <v>7554</v>
      </c>
      <c r="B19" s="133" t="s">
        <v>51</v>
      </c>
      <c r="C19" s="133" t="s">
        <v>10580</v>
      </c>
      <c r="D19" s="100">
        <v>10</v>
      </c>
      <c r="E19" s="528">
        <v>10</v>
      </c>
      <c r="F19" s="338" t="s">
        <v>1359</v>
      </c>
    </row>
    <row r="20" spans="1:6" ht="15" customHeight="1">
      <c r="A20" s="1170" t="s">
        <v>6254</v>
      </c>
      <c r="B20" s="1170" t="s">
        <v>51</v>
      </c>
      <c r="C20" s="133" t="s">
        <v>10577</v>
      </c>
      <c r="D20" s="100" t="s">
        <v>10578</v>
      </c>
      <c r="E20" s="528">
        <v>10</v>
      </c>
      <c r="F20" s="338" t="s">
        <v>249</v>
      </c>
    </row>
    <row r="21" spans="1:6" ht="15" customHeight="1">
      <c r="A21" s="1170" t="s">
        <v>6254</v>
      </c>
      <c r="B21" s="1170" t="s">
        <v>51</v>
      </c>
      <c r="C21" s="133" t="s">
        <v>10581</v>
      </c>
      <c r="D21" s="116">
        <v>10</v>
      </c>
      <c r="E21" s="528">
        <v>10</v>
      </c>
      <c r="F21" s="338" t="s">
        <v>249</v>
      </c>
    </row>
    <row r="22" spans="1:6" ht="15" customHeight="1">
      <c r="A22" s="134" t="s">
        <v>4471</v>
      </c>
      <c r="B22" s="133" t="s">
        <v>51</v>
      </c>
      <c r="C22" s="133" t="s">
        <v>10582</v>
      </c>
      <c r="D22" s="116">
        <v>20</v>
      </c>
      <c r="E22" s="528">
        <v>20</v>
      </c>
      <c r="F22" s="338" t="s">
        <v>4471</v>
      </c>
    </row>
    <row r="23" spans="1:6" ht="15" customHeight="1">
      <c r="A23" s="134" t="s">
        <v>4471</v>
      </c>
      <c r="B23" s="133" t="s">
        <v>51</v>
      </c>
      <c r="C23" s="133" t="s">
        <v>10583</v>
      </c>
      <c r="D23" s="116">
        <v>10</v>
      </c>
      <c r="E23" s="528">
        <v>10</v>
      </c>
      <c r="F23" s="338" t="s">
        <v>4471</v>
      </c>
    </row>
    <row r="24" spans="1:6" ht="15" customHeight="1">
      <c r="A24" s="134" t="s">
        <v>4471</v>
      </c>
      <c r="B24" s="133" t="s">
        <v>51</v>
      </c>
      <c r="C24" s="133" t="s">
        <v>10584</v>
      </c>
      <c r="D24" s="116">
        <v>10</v>
      </c>
      <c r="E24" s="528">
        <v>10</v>
      </c>
      <c r="F24" s="338" t="s">
        <v>4471</v>
      </c>
    </row>
    <row r="25" spans="1:6" ht="15" customHeight="1">
      <c r="A25" s="134" t="s">
        <v>4471</v>
      </c>
      <c r="B25" s="1207" t="s">
        <v>51</v>
      </c>
      <c r="C25" s="133" t="s">
        <v>10585</v>
      </c>
      <c r="D25" s="116">
        <v>10</v>
      </c>
      <c r="E25" s="528">
        <v>5</v>
      </c>
      <c r="F25" s="338" t="s">
        <v>4471</v>
      </c>
    </row>
    <row r="26" spans="1:6" ht="15" customHeight="1">
      <c r="A26" s="134" t="s">
        <v>4471</v>
      </c>
      <c r="B26" s="133" t="s">
        <v>51</v>
      </c>
      <c r="C26" s="133" t="s">
        <v>10586</v>
      </c>
      <c r="D26" s="116">
        <v>10</v>
      </c>
      <c r="E26" s="528">
        <v>5</v>
      </c>
      <c r="F26" s="338" t="s">
        <v>4471</v>
      </c>
    </row>
    <row r="27" spans="1:6" ht="15" customHeight="1">
      <c r="A27" s="134" t="s">
        <v>7562</v>
      </c>
      <c r="B27" s="133" t="s">
        <v>51</v>
      </c>
      <c r="C27" s="133" t="s">
        <v>10587</v>
      </c>
      <c r="D27" s="100">
        <v>30</v>
      </c>
      <c r="E27" s="100">
        <v>30</v>
      </c>
      <c r="F27" s="338" t="s">
        <v>7563</v>
      </c>
    </row>
    <row r="28" spans="1:6" ht="15" customHeight="1">
      <c r="A28" s="134" t="s">
        <v>7562</v>
      </c>
      <c r="B28" s="133" t="s">
        <v>51</v>
      </c>
      <c r="C28" s="133" t="s">
        <v>10588</v>
      </c>
      <c r="D28" s="116">
        <v>40</v>
      </c>
      <c r="E28" s="116">
        <v>40</v>
      </c>
      <c r="F28" s="338" t="s">
        <v>7563</v>
      </c>
    </row>
    <row r="29" spans="1:6" ht="15" customHeight="1">
      <c r="A29" s="134" t="s">
        <v>7565</v>
      </c>
      <c r="B29" s="133" t="s">
        <v>51</v>
      </c>
      <c r="C29" s="133" t="s">
        <v>10589</v>
      </c>
      <c r="D29" s="100">
        <v>10</v>
      </c>
      <c r="E29" s="528">
        <f t="shared" ref="E29:E33" si="0">D29</f>
        <v>10</v>
      </c>
      <c r="F29" s="338" t="s">
        <v>1869</v>
      </c>
    </row>
    <row r="30" spans="1:6" ht="15" customHeight="1">
      <c r="A30" s="134" t="s">
        <v>7565</v>
      </c>
      <c r="B30" s="133" t="s">
        <v>51</v>
      </c>
      <c r="C30" s="133" t="s">
        <v>10590</v>
      </c>
      <c r="D30" s="100">
        <v>10</v>
      </c>
      <c r="E30" s="528">
        <f t="shared" si="0"/>
        <v>10</v>
      </c>
      <c r="F30" s="338" t="s">
        <v>1869</v>
      </c>
    </row>
    <row r="31" spans="1:6" ht="15" customHeight="1">
      <c r="A31" s="134" t="s">
        <v>7565</v>
      </c>
      <c r="B31" s="133" t="s">
        <v>51</v>
      </c>
      <c r="C31" s="133" t="s">
        <v>10591</v>
      </c>
      <c r="D31" s="100">
        <v>10</v>
      </c>
      <c r="E31" s="528">
        <f t="shared" si="0"/>
        <v>10</v>
      </c>
      <c r="F31" s="338" t="s">
        <v>1869</v>
      </c>
    </row>
    <row r="32" spans="1:6" ht="15" customHeight="1">
      <c r="A32" s="134" t="s">
        <v>7565</v>
      </c>
      <c r="B32" s="133" t="s">
        <v>51</v>
      </c>
      <c r="C32" s="133" t="s">
        <v>10592</v>
      </c>
      <c r="D32" s="100">
        <v>10</v>
      </c>
      <c r="E32" s="528">
        <f t="shared" si="0"/>
        <v>10</v>
      </c>
      <c r="F32" s="338" t="s">
        <v>1869</v>
      </c>
    </row>
    <row r="33" spans="1:6" ht="15" customHeight="1">
      <c r="A33" s="134" t="s">
        <v>7565</v>
      </c>
      <c r="B33" s="133" t="s">
        <v>51</v>
      </c>
      <c r="C33" s="133" t="s">
        <v>10593</v>
      </c>
      <c r="D33" s="100">
        <v>10</v>
      </c>
      <c r="E33" s="528">
        <f t="shared" si="0"/>
        <v>10</v>
      </c>
      <c r="F33" s="338" t="s">
        <v>1869</v>
      </c>
    </row>
    <row r="34" spans="1:6" ht="15" customHeight="1">
      <c r="A34" s="134" t="s">
        <v>409</v>
      </c>
      <c r="B34" s="133" t="s">
        <v>401</v>
      </c>
      <c r="C34" s="133" t="s">
        <v>10594</v>
      </c>
      <c r="D34" s="100">
        <v>30</v>
      </c>
      <c r="E34" s="528">
        <v>30</v>
      </c>
      <c r="F34" s="338" t="s">
        <v>409</v>
      </c>
    </row>
    <row r="35" spans="1:6" ht="15" customHeight="1">
      <c r="A35" s="134" t="s">
        <v>466</v>
      </c>
      <c r="B35" s="133" t="s">
        <v>401</v>
      </c>
      <c r="C35" s="133" t="s">
        <v>10595</v>
      </c>
      <c r="D35" s="100">
        <v>100</v>
      </c>
      <c r="E35" s="528">
        <v>100</v>
      </c>
      <c r="F35" s="338" t="s">
        <v>466</v>
      </c>
    </row>
    <row r="36" spans="1:6" ht="15" customHeight="1">
      <c r="A36" s="134" t="s">
        <v>10596</v>
      </c>
      <c r="B36" s="133" t="s">
        <v>401</v>
      </c>
      <c r="C36" s="133" t="s">
        <v>10597</v>
      </c>
      <c r="D36" s="116">
        <v>10</v>
      </c>
      <c r="E36" s="528">
        <v>10</v>
      </c>
      <c r="F36" s="338" t="s">
        <v>466</v>
      </c>
    </row>
    <row r="37" spans="1:6" ht="15" customHeight="1">
      <c r="A37" s="134" t="s">
        <v>466</v>
      </c>
      <c r="B37" s="133" t="s">
        <v>401</v>
      </c>
      <c r="C37" s="133" t="s">
        <v>10598</v>
      </c>
      <c r="D37" s="100">
        <v>20</v>
      </c>
      <c r="E37" s="528">
        <v>20</v>
      </c>
      <c r="F37" s="338" t="s">
        <v>466</v>
      </c>
    </row>
    <row r="38" spans="1:6" ht="15" customHeight="1">
      <c r="A38" s="77"/>
      <c r="B38" s="77"/>
      <c r="C38" s="78"/>
      <c r="D38" s="78"/>
      <c r="E38" s="78"/>
      <c r="F38" s="338" t="s">
        <v>7657</v>
      </c>
    </row>
    <row r="39" spans="1:6" ht="15" customHeight="1">
      <c r="A39" s="134" t="s">
        <v>10599</v>
      </c>
      <c r="B39" s="133"/>
      <c r="C39" s="133" t="s">
        <v>10600</v>
      </c>
      <c r="D39" s="100">
        <v>10</v>
      </c>
      <c r="E39" s="528">
        <v>5</v>
      </c>
    </row>
    <row r="40" spans="1:6" ht="15" customHeight="1">
      <c r="A40" s="134" t="s">
        <v>10599</v>
      </c>
      <c r="B40" s="133"/>
      <c r="C40" s="133" t="s">
        <v>10601</v>
      </c>
      <c r="D40" s="116">
        <v>10</v>
      </c>
      <c r="E40" s="528">
        <v>5</v>
      </c>
    </row>
    <row r="41" spans="1:6" ht="15" customHeight="1">
      <c r="A41" s="134" t="s">
        <v>10599</v>
      </c>
      <c r="B41" s="133"/>
      <c r="C41" s="133" t="s">
        <v>10602</v>
      </c>
      <c r="D41" s="100">
        <v>10</v>
      </c>
      <c r="E41" s="528">
        <v>5</v>
      </c>
    </row>
    <row r="42" spans="1:6" ht="15" customHeight="1">
      <c r="A42" s="134" t="s">
        <v>8030</v>
      </c>
      <c r="B42" s="133" t="s">
        <v>51</v>
      </c>
      <c r="C42" s="469" t="s">
        <v>10603</v>
      </c>
      <c r="D42" s="259">
        <v>30</v>
      </c>
      <c r="E42" s="1120">
        <f>D42</f>
        <v>30</v>
      </c>
      <c r="F42" s="338" t="s">
        <v>7571</v>
      </c>
    </row>
    <row r="43" spans="1:6" ht="15" customHeight="1">
      <c r="A43" s="134" t="s">
        <v>8030</v>
      </c>
      <c r="B43" s="133" t="s">
        <v>51</v>
      </c>
      <c r="C43" s="133" t="s">
        <v>10604</v>
      </c>
      <c r="D43" s="116">
        <v>10</v>
      </c>
      <c r="E43" s="528">
        <v>10</v>
      </c>
      <c r="F43" s="338" t="s">
        <v>7571</v>
      </c>
    </row>
    <row r="44" spans="1:6" ht="15" customHeight="1">
      <c r="A44" s="134" t="s">
        <v>8030</v>
      </c>
      <c r="B44" s="133" t="s">
        <v>51</v>
      </c>
      <c r="C44" s="133" t="s">
        <v>10605</v>
      </c>
      <c r="D44" s="116">
        <v>10</v>
      </c>
      <c r="E44" s="528">
        <v>10</v>
      </c>
      <c r="F44" s="338" t="s">
        <v>7571</v>
      </c>
    </row>
    <row r="45" spans="1:6" ht="15" customHeight="1">
      <c r="A45" s="134" t="s">
        <v>8030</v>
      </c>
      <c r="B45" s="133" t="s">
        <v>51</v>
      </c>
      <c r="C45" s="133" t="s">
        <v>10606</v>
      </c>
      <c r="D45" s="116">
        <v>10</v>
      </c>
      <c r="E45" s="528">
        <v>10</v>
      </c>
      <c r="F45" s="338" t="s">
        <v>7571</v>
      </c>
    </row>
    <row r="46" spans="1:6" ht="15" customHeight="1">
      <c r="A46" s="134" t="s">
        <v>8030</v>
      </c>
      <c r="B46" s="133" t="s">
        <v>51</v>
      </c>
      <c r="C46" s="133" t="s">
        <v>10607</v>
      </c>
      <c r="D46" s="116">
        <v>8</v>
      </c>
      <c r="E46" s="528">
        <v>8</v>
      </c>
      <c r="F46" s="338" t="s">
        <v>7571</v>
      </c>
    </row>
    <row r="47" spans="1:6" ht="15" customHeight="1">
      <c r="A47" s="134" t="s">
        <v>8030</v>
      </c>
      <c r="B47" s="133" t="s">
        <v>51</v>
      </c>
      <c r="C47" s="133" t="s">
        <v>10608</v>
      </c>
      <c r="D47" s="116">
        <v>8</v>
      </c>
      <c r="E47" s="528">
        <v>8</v>
      </c>
      <c r="F47" s="338" t="s">
        <v>7571</v>
      </c>
    </row>
    <row r="48" spans="1:6" ht="15" customHeight="1">
      <c r="A48" s="134" t="s">
        <v>8030</v>
      </c>
      <c r="B48" s="133" t="s">
        <v>51</v>
      </c>
      <c r="C48" s="133" t="s">
        <v>10609</v>
      </c>
      <c r="D48" s="116">
        <v>8</v>
      </c>
      <c r="E48" s="528">
        <v>8</v>
      </c>
      <c r="F48" s="338" t="s">
        <v>7571</v>
      </c>
    </row>
    <row r="49" spans="1:6" ht="15" customHeight="1">
      <c r="A49" s="134" t="s">
        <v>8030</v>
      </c>
      <c r="B49" s="133" t="s">
        <v>51</v>
      </c>
      <c r="C49" s="133" t="s">
        <v>10610</v>
      </c>
      <c r="D49" s="116">
        <v>8</v>
      </c>
      <c r="E49" s="528">
        <v>8</v>
      </c>
      <c r="F49" s="338" t="s">
        <v>7571</v>
      </c>
    </row>
    <row r="50" spans="1:6" ht="15" customHeight="1">
      <c r="A50" s="134" t="s">
        <v>8030</v>
      </c>
      <c r="B50" s="133" t="s">
        <v>51</v>
      </c>
      <c r="C50" s="133" t="s">
        <v>10611</v>
      </c>
      <c r="D50" s="116">
        <v>60</v>
      </c>
      <c r="E50" s="528">
        <v>30</v>
      </c>
      <c r="F50" s="338" t="s">
        <v>7571</v>
      </c>
    </row>
    <row r="51" spans="1:6" ht="15" customHeight="1">
      <c r="A51" s="134" t="s">
        <v>6435</v>
      </c>
      <c r="B51" s="133" t="s">
        <v>51</v>
      </c>
      <c r="C51" s="133" t="s">
        <v>10612</v>
      </c>
      <c r="D51" s="100">
        <v>10</v>
      </c>
      <c r="E51" s="528">
        <v>20</v>
      </c>
      <c r="F51" s="338" t="s">
        <v>2358</v>
      </c>
    </row>
    <row r="52" spans="1:6" ht="15" customHeight="1">
      <c r="A52" s="134" t="s">
        <v>10613</v>
      </c>
      <c r="B52" s="133" t="s">
        <v>51</v>
      </c>
      <c r="C52" s="133" t="s">
        <v>10614</v>
      </c>
      <c r="D52" s="100">
        <v>30</v>
      </c>
      <c r="E52" s="528">
        <f t="shared" ref="E52:E57" si="1">D52</f>
        <v>30</v>
      </c>
      <c r="F52" s="338" t="s">
        <v>7578</v>
      </c>
    </row>
    <row r="53" spans="1:6" ht="15" customHeight="1">
      <c r="A53" s="134" t="s">
        <v>10613</v>
      </c>
      <c r="B53" s="133" t="s">
        <v>51</v>
      </c>
      <c r="C53" s="133" t="s">
        <v>10615</v>
      </c>
      <c r="D53" s="116">
        <v>10</v>
      </c>
      <c r="E53" s="528">
        <f t="shared" si="1"/>
        <v>10</v>
      </c>
      <c r="F53" s="338" t="s">
        <v>7578</v>
      </c>
    </row>
    <row r="54" spans="1:6" ht="15" customHeight="1">
      <c r="A54" s="134" t="s">
        <v>10613</v>
      </c>
      <c r="B54" s="133" t="s">
        <v>51</v>
      </c>
      <c r="C54" s="133" t="s">
        <v>10616</v>
      </c>
      <c r="D54" s="116">
        <v>10</v>
      </c>
      <c r="E54" s="528">
        <f t="shared" si="1"/>
        <v>10</v>
      </c>
      <c r="F54" s="338" t="s">
        <v>7578</v>
      </c>
    </row>
    <row r="55" spans="1:6" ht="15" customHeight="1">
      <c r="A55" s="134" t="s">
        <v>10613</v>
      </c>
      <c r="B55" s="133" t="s">
        <v>51</v>
      </c>
      <c r="C55" s="133" t="s">
        <v>10617</v>
      </c>
      <c r="D55" s="116">
        <v>10</v>
      </c>
      <c r="E55" s="528">
        <f t="shared" si="1"/>
        <v>10</v>
      </c>
      <c r="F55" s="338" t="s">
        <v>7578</v>
      </c>
    </row>
    <row r="56" spans="1:6" ht="15" customHeight="1">
      <c r="A56" s="134" t="s">
        <v>10613</v>
      </c>
      <c r="B56" s="133" t="s">
        <v>51</v>
      </c>
      <c r="C56" s="133" t="s">
        <v>10618</v>
      </c>
      <c r="D56" s="116">
        <v>10</v>
      </c>
      <c r="E56" s="528">
        <f t="shared" si="1"/>
        <v>10</v>
      </c>
      <c r="F56" s="338" t="s">
        <v>7578</v>
      </c>
    </row>
    <row r="57" spans="1:6" ht="15" customHeight="1">
      <c r="A57" s="134" t="s">
        <v>10613</v>
      </c>
      <c r="B57" s="133" t="s">
        <v>51</v>
      </c>
      <c r="C57" s="133" t="s">
        <v>10619</v>
      </c>
      <c r="D57" s="116">
        <v>10</v>
      </c>
      <c r="E57" s="528">
        <f t="shared" si="1"/>
        <v>10</v>
      </c>
      <c r="F57" s="338" t="s">
        <v>7578</v>
      </c>
    </row>
    <row r="58" spans="1:6" ht="15" customHeight="1">
      <c r="A58" s="162" t="s">
        <v>10620</v>
      </c>
      <c r="B58" s="162" t="s">
        <v>51</v>
      </c>
      <c r="C58" s="162" t="s">
        <v>10621</v>
      </c>
      <c r="D58" s="163" t="s">
        <v>10622</v>
      </c>
      <c r="E58" s="483">
        <v>40</v>
      </c>
      <c r="F58" s="338" t="s">
        <v>2372</v>
      </c>
    </row>
    <row r="59" spans="1:6" ht="15" customHeight="1">
      <c r="A59" s="447" t="s">
        <v>2372</v>
      </c>
      <c r="B59" s="162" t="s">
        <v>51</v>
      </c>
      <c r="C59" s="162" t="s">
        <v>10623</v>
      </c>
      <c r="D59" s="163" t="s">
        <v>10624</v>
      </c>
      <c r="E59" s="483">
        <v>30</v>
      </c>
      <c r="F59" s="338" t="s">
        <v>2372</v>
      </c>
    </row>
    <row r="60" spans="1:6" ht="15" customHeight="1">
      <c r="A60" s="447" t="s">
        <v>2372</v>
      </c>
      <c r="B60" s="162" t="s">
        <v>51</v>
      </c>
      <c r="C60" s="162" t="s">
        <v>10625</v>
      </c>
      <c r="D60" s="163">
        <v>60</v>
      </c>
      <c r="E60" s="483">
        <v>60</v>
      </c>
      <c r="F60" s="338" t="s">
        <v>2372</v>
      </c>
    </row>
    <row r="61" spans="1:6" ht="15" customHeight="1">
      <c r="A61" s="162" t="s">
        <v>10626</v>
      </c>
      <c r="B61" s="162" t="s">
        <v>51</v>
      </c>
      <c r="C61" s="162" t="s">
        <v>10627</v>
      </c>
      <c r="D61" s="737">
        <v>50</v>
      </c>
      <c r="E61" s="483">
        <v>50</v>
      </c>
      <c r="F61" s="338" t="s">
        <v>2372</v>
      </c>
    </row>
    <row r="62" spans="1:6" ht="15" customHeight="1">
      <c r="A62" s="162" t="s">
        <v>10628</v>
      </c>
      <c r="B62" s="162" t="s">
        <v>51</v>
      </c>
      <c r="C62" s="162" t="s">
        <v>10629</v>
      </c>
      <c r="D62" s="737">
        <v>5</v>
      </c>
      <c r="E62" s="483">
        <v>5</v>
      </c>
      <c r="F62" s="338" t="s">
        <v>2372</v>
      </c>
    </row>
    <row r="63" spans="1:6" ht="15" customHeight="1">
      <c r="A63" s="447" t="s">
        <v>2372</v>
      </c>
      <c r="B63" s="162" t="s">
        <v>51</v>
      </c>
      <c r="C63" s="162" t="s">
        <v>10630</v>
      </c>
      <c r="D63" s="737">
        <v>10</v>
      </c>
      <c r="E63" s="483">
        <v>10</v>
      </c>
      <c r="F63" s="338" t="s">
        <v>2372</v>
      </c>
    </row>
    <row r="64" spans="1:6" ht="15" customHeight="1">
      <c r="A64" s="134" t="s">
        <v>7097</v>
      </c>
      <c r="B64" s="133" t="s">
        <v>51</v>
      </c>
      <c r="C64" s="133" t="s">
        <v>10631</v>
      </c>
      <c r="D64" s="100">
        <v>30</v>
      </c>
      <c r="E64" s="528">
        <f t="shared" ref="E64:E65" si="2">D64</f>
        <v>30</v>
      </c>
      <c r="F64" s="338" t="s">
        <v>2392</v>
      </c>
    </row>
    <row r="65" spans="1:6" ht="15" customHeight="1">
      <c r="A65" s="134" t="s">
        <v>7097</v>
      </c>
      <c r="B65" s="133" t="s">
        <v>51</v>
      </c>
      <c r="C65" s="133" t="s">
        <v>10632</v>
      </c>
      <c r="D65" s="100">
        <f>(6/2+1+9)*10</f>
        <v>130</v>
      </c>
      <c r="E65" s="528">
        <f t="shared" si="2"/>
        <v>130</v>
      </c>
      <c r="F65" s="338" t="s">
        <v>2392</v>
      </c>
    </row>
    <row r="66" spans="1:6" ht="15" customHeight="1">
      <c r="A66" s="134" t="s">
        <v>4888</v>
      </c>
      <c r="B66" s="133" t="s">
        <v>51</v>
      </c>
      <c r="C66" s="133" t="s">
        <v>10633</v>
      </c>
      <c r="D66" s="100">
        <v>8</v>
      </c>
      <c r="E66" s="528">
        <v>8</v>
      </c>
      <c r="F66" s="338" t="s">
        <v>2399</v>
      </c>
    </row>
    <row r="67" spans="1:6" ht="15" customHeight="1">
      <c r="A67" s="134" t="s">
        <v>4888</v>
      </c>
      <c r="B67" s="133" t="s">
        <v>51</v>
      </c>
      <c r="C67" s="133" t="s">
        <v>10634</v>
      </c>
      <c r="D67" s="116">
        <v>8</v>
      </c>
      <c r="E67" s="528">
        <v>8</v>
      </c>
      <c r="F67" s="338" t="s">
        <v>2399</v>
      </c>
    </row>
    <row r="68" spans="1:6" ht="15" customHeight="1">
      <c r="A68" s="134" t="s">
        <v>488</v>
      </c>
      <c r="B68" s="133" t="s">
        <v>401</v>
      </c>
      <c r="C68" s="133" t="s">
        <v>10635</v>
      </c>
      <c r="D68" s="100">
        <v>20</v>
      </c>
      <c r="E68" s="528">
        <v>20</v>
      </c>
      <c r="F68" s="338" t="s">
        <v>488</v>
      </c>
    </row>
    <row r="69" spans="1:6" ht="15" customHeight="1">
      <c r="A69" s="256" t="s">
        <v>10636</v>
      </c>
      <c r="B69" s="469" t="s">
        <v>51</v>
      </c>
      <c r="C69" s="469" t="s">
        <v>10637</v>
      </c>
      <c r="D69" s="178">
        <v>30</v>
      </c>
      <c r="E69" s="1120">
        <f t="shared" ref="E69:E78" si="3">D69</f>
        <v>30</v>
      </c>
      <c r="F69" s="338" t="s">
        <v>2513</v>
      </c>
    </row>
    <row r="70" spans="1:6" ht="15" customHeight="1">
      <c r="A70" s="134" t="s">
        <v>2513</v>
      </c>
      <c r="B70" s="133" t="s">
        <v>51</v>
      </c>
      <c r="C70" s="690" t="s">
        <v>10638</v>
      </c>
      <c r="D70" s="100">
        <v>10</v>
      </c>
      <c r="E70" s="528">
        <f t="shared" si="3"/>
        <v>10</v>
      </c>
      <c r="F70" s="338" t="s">
        <v>2513</v>
      </c>
    </row>
    <row r="71" spans="1:6" ht="15" customHeight="1">
      <c r="A71" s="134" t="s">
        <v>2513</v>
      </c>
      <c r="B71" s="133" t="s">
        <v>51</v>
      </c>
      <c r="C71" s="690" t="s">
        <v>10639</v>
      </c>
      <c r="D71" s="100">
        <v>10</v>
      </c>
      <c r="E71" s="528">
        <f t="shared" si="3"/>
        <v>10</v>
      </c>
      <c r="F71" s="338" t="s">
        <v>2513</v>
      </c>
    </row>
    <row r="72" spans="1:6" ht="15" customHeight="1">
      <c r="A72" s="134" t="s">
        <v>2513</v>
      </c>
      <c r="B72" s="133" t="s">
        <v>51</v>
      </c>
      <c r="C72" s="690" t="s">
        <v>10640</v>
      </c>
      <c r="D72" s="100">
        <v>10</v>
      </c>
      <c r="E72" s="528">
        <f t="shared" si="3"/>
        <v>10</v>
      </c>
      <c r="F72" s="338" t="s">
        <v>2513</v>
      </c>
    </row>
    <row r="73" spans="1:6" ht="15" customHeight="1">
      <c r="A73" s="134" t="s">
        <v>2513</v>
      </c>
      <c r="B73" s="133" t="s">
        <v>51</v>
      </c>
      <c r="C73" s="690" t="s">
        <v>10641</v>
      </c>
      <c r="D73" s="100">
        <v>10</v>
      </c>
      <c r="E73" s="528">
        <f t="shared" si="3"/>
        <v>10</v>
      </c>
      <c r="F73" s="338" t="s">
        <v>2513</v>
      </c>
    </row>
    <row r="74" spans="1:6" ht="15" customHeight="1">
      <c r="A74" s="284" t="s">
        <v>2513</v>
      </c>
      <c r="B74" s="1151" t="s">
        <v>51</v>
      </c>
      <c r="C74" s="1151" t="s">
        <v>10642</v>
      </c>
      <c r="D74" s="188">
        <v>10</v>
      </c>
      <c r="E74" s="942">
        <f t="shared" si="3"/>
        <v>10</v>
      </c>
      <c r="F74" s="338" t="s">
        <v>2513</v>
      </c>
    </row>
    <row r="75" spans="1:6" ht="15" customHeight="1">
      <c r="A75" s="284" t="s">
        <v>2513</v>
      </c>
      <c r="B75" s="1151" t="s">
        <v>51</v>
      </c>
      <c r="C75" s="1151" t="s">
        <v>10643</v>
      </c>
      <c r="D75" s="188">
        <v>10</v>
      </c>
      <c r="E75" s="942">
        <f t="shared" si="3"/>
        <v>10</v>
      </c>
      <c r="F75" s="338" t="s">
        <v>2513</v>
      </c>
    </row>
    <row r="76" spans="1:6" ht="15" customHeight="1">
      <c r="A76" s="284" t="s">
        <v>2513</v>
      </c>
      <c r="B76" s="1151" t="s">
        <v>51</v>
      </c>
      <c r="C76" s="1151" t="s">
        <v>10644</v>
      </c>
      <c r="D76" s="188">
        <v>10</v>
      </c>
      <c r="E76" s="942">
        <f t="shared" si="3"/>
        <v>10</v>
      </c>
      <c r="F76" s="338" t="s">
        <v>2513</v>
      </c>
    </row>
    <row r="77" spans="1:6" ht="15" customHeight="1">
      <c r="A77" s="284" t="s">
        <v>2513</v>
      </c>
      <c r="B77" s="1151" t="s">
        <v>51</v>
      </c>
      <c r="C77" s="1151" t="s">
        <v>10645</v>
      </c>
      <c r="D77" s="188">
        <v>10</v>
      </c>
      <c r="E77" s="942">
        <f t="shared" si="3"/>
        <v>10</v>
      </c>
      <c r="F77" s="338" t="s">
        <v>2513</v>
      </c>
    </row>
    <row r="78" spans="1:6" ht="15" customHeight="1">
      <c r="A78" s="284" t="s">
        <v>2513</v>
      </c>
      <c r="B78" s="1151" t="s">
        <v>51</v>
      </c>
      <c r="C78" s="1151" t="s">
        <v>10646</v>
      </c>
      <c r="D78" s="188">
        <v>8</v>
      </c>
      <c r="E78" s="942">
        <f t="shared" si="3"/>
        <v>8</v>
      </c>
      <c r="F78" s="338" t="s">
        <v>2513</v>
      </c>
    </row>
    <row r="79" spans="1:6" ht="15" customHeight="1">
      <c r="A79" s="134" t="s">
        <v>10647</v>
      </c>
      <c r="B79" s="133" t="s">
        <v>51</v>
      </c>
      <c r="C79" s="133" t="s">
        <v>10648</v>
      </c>
      <c r="D79" s="100">
        <v>10</v>
      </c>
      <c r="E79" s="528">
        <f t="shared" ref="E79:E92" si="4">D79/2</f>
        <v>5</v>
      </c>
      <c r="F79" s="338" t="s">
        <v>2513</v>
      </c>
    </row>
    <row r="80" spans="1:6" ht="15" customHeight="1">
      <c r="A80" s="134" t="s">
        <v>10647</v>
      </c>
      <c r="B80" s="133" t="s">
        <v>51</v>
      </c>
      <c r="C80" s="133" t="s">
        <v>10649</v>
      </c>
      <c r="D80" s="100">
        <v>10</v>
      </c>
      <c r="E80" s="528">
        <f t="shared" si="4"/>
        <v>5</v>
      </c>
      <c r="F80" s="338" t="s">
        <v>2513</v>
      </c>
    </row>
    <row r="81" spans="1:6" ht="15" customHeight="1">
      <c r="A81" s="134" t="s">
        <v>10647</v>
      </c>
      <c r="B81" s="133" t="s">
        <v>51</v>
      </c>
      <c r="C81" s="133" t="s">
        <v>10650</v>
      </c>
      <c r="D81" s="100">
        <v>10</v>
      </c>
      <c r="E81" s="528">
        <f t="shared" si="4"/>
        <v>5</v>
      </c>
      <c r="F81" s="338" t="s">
        <v>2513</v>
      </c>
    </row>
    <row r="82" spans="1:6" ht="15" customHeight="1">
      <c r="A82" s="134" t="s">
        <v>10647</v>
      </c>
      <c r="B82" s="133" t="s">
        <v>51</v>
      </c>
      <c r="C82" s="133" t="s">
        <v>10651</v>
      </c>
      <c r="D82" s="100">
        <v>10</v>
      </c>
      <c r="E82" s="528">
        <f t="shared" si="4"/>
        <v>5</v>
      </c>
      <c r="F82" s="338" t="s">
        <v>2513</v>
      </c>
    </row>
    <row r="83" spans="1:6" ht="15" customHeight="1">
      <c r="A83" s="134" t="s">
        <v>10647</v>
      </c>
      <c r="B83" s="133" t="s">
        <v>51</v>
      </c>
      <c r="C83" s="133" t="s">
        <v>10652</v>
      </c>
      <c r="D83" s="100">
        <v>10</v>
      </c>
      <c r="E83" s="528">
        <f t="shared" si="4"/>
        <v>5</v>
      </c>
      <c r="F83" s="338" t="s">
        <v>2513</v>
      </c>
    </row>
    <row r="84" spans="1:6" ht="15" customHeight="1">
      <c r="A84" s="134" t="s">
        <v>10647</v>
      </c>
      <c r="B84" s="133" t="s">
        <v>51</v>
      </c>
      <c r="C84" s="133" t="s">
        <v>10653</v>
      </c>
      <c r="D84" s="100">
        <v>10</v>
      </c>
      <c r="E84" s="528">
        <f t="shared" si="4"/>
        <v>5</v>
      </c>
      <c r="F84" s="338" t="s">
        <v>2513</v>
      </c>
    </row>
    <row r="85" spans="1:6" ht="15" customHeight="1">
      <c r="A85" s="134" t="s">
        <v>10647</v>
      </c>
      <c r="B85" s="133" t="s">
        <v>51</v>
      </c>
      <c r="C85" s="133" t="s">
        <v>10654</v>
      </c>
      <c r="D85" s="100">
        <v>10</v>
      </c>
      <c r="E85" s="528">
        <f t="shared" si="4"/>
        <v>5</v>
      </c>
      <c r="F85" s="338" t="s">
        <v>2513</v>
      </c>
    </row>
    <row r="86" spans="1:6" ht="15" customHeight="1">
      <c r="A86" s="134" t="s">
        <v>10647</v>
      </c>
      <c r="B86" s="133" t="s">
        <v>51</v>
      </c>
      <c r="C86" s="133" t="s">
        <v>10655</v>
      </c>
      <c r="D86" s="100">
        <v>10</v>
      </c>
      <c r="E86" s="528">
        <f t="shared" si="4"/>
        <v>5</v>
      </c>
      <c r="F86" s="338" t="s">
        <v>2513</v>
      </c>
    </row>
    <row r="87" spans="1:6" ht="15" customHeight="1">
      <c r="A87" s="134" t="s">
        <v>10647</v>
      </c>
      <c r="B87" s="133" t="s">
        <v>51</v>
      </c>
      <c r="C87" s="133" t="s">
        <v>10656</v>
      </c>
      <c r="D87" s="100">
        <v>50</v>
      </c>
      <c r="E87" s="528">
        <f t="shared" si="4"/>
        <v>25</v>
      </c>
      <c r="F87" s="338" t="s">
        <v>2513</v>
      </c>
    </row>
    <row r="88" spans="1:6" ht="15" customHeight="1">
      <c r="A88" s="134" t="s">
        <v>10647</v>
      </c>
      <c r="B88" s="133" t="s">
        <v>51</v>
      </c>
      <c r="C88" s="133" t="s">
        <v>10657</v>
      </c>
      <c r="D88" s="100">
        <v>50</v>
      </c>
      <c r="E88" s="528">
        <f t="shared" si="4"/>
        <v>25</v>
      </c>
      <c r="F88" s="338" t="s">
        <v>2513</v>
      </c>
    </row>
    <row r="89" spans="1:6" ht="15" customHeight="1">
      <c r="A89" s="134" t="s">
        <v>10647</v>
      </c>
      <c r="B89" s="133" t="s">
        <v>51</v>
      </c>
      <c r="C89" s="133" t="s">
        <v>10658</v>
      </c>
      <c r="D89" s="100">
        <v>50</v>
      </c>
      <c r="E89" s="528">
        <f t="shared" si="4"/>
        <v>25</v>
      </c>
      <c r="F89" s="338" t="s">
        <v>2513</v>
      </c>
    </row>
    <row r="90" spans="1:6" ht="15" customHeight="1">
      <c r="A90" s="134" t="s">
        <v>10647</v>
      </c>
      <c r="B90" s="133" t="s">
        <v>51</v>
      </c>
      <c r="C90" s="133" t="s">
        <v>10659</v>
      </c>
      <c r="D90" s="100">
        <v>50</v>
      </c>
      <c r="E90" s="528">
        <f t="shared" si="4"/>
        <v>25</v>
      </c>
      <c r="F90" s="338" t="s">
        <v>2513</v>
      </c>
    </row>
    <row r="91" spans="1:6" ht="15" customHeight="1">
      <c r="A91" s="134" t="s">
        <v>10647</v>
      </c>
      <c r="B91" s="133" t="s">
        <v>51</v>
      </c>
      <c r="C91" s="133" t="s">
        <v>10660</v>
      </c>
      <c r="D91" s="100">
        <v>50</v>
      </c>
      <c r="E91" s="528">
        <f t="shared" si="4"/>
        <v>25</v>
      </c>
      <c r="F91" s="338" t="s">
        <v>2513</v>
      </c>
    </row>
    <row r="92" spans="1:6" ht="15" customHeight="1">
      <c r="A92" s="134" t="s">
        <v>10647</v>
      </c>
      <c r="B92" s="133" t="s">
        <v>51</v>
      </c>
      <c r="C92" s="133" t="s">
        <v>10661</v>
      </c>
      <c r="D92" s="100">
        <v>50</v>
      </c>
      <c r="E92" s="528">
        <f t="shared" si="4"/>
        <v>25</v>
      </c>
      <c r="F92" s="338" t="s">
        <v>2513</v>
      </c>
    </row>
    <row r="93" spans="1:6" ht="15" customHeight="1">
      <c r="A93" s="162" t="s">
        <v>7584</v>
      </c>
      <c r="B93" s="162" t="s">
        <v>401</v>
      </c>
      <c r="C93" s="133" t="s">
        <v>10662</v>
      </c>
      <c r="D93" s="737">
        <v>10</v>
      </c>
      <c r="E93" s="483">
        <v>40</v>
      </c>
      <c r="F93" s="338" t="s">
        <v>4565</v>
      </c>
    </row>
    <row r="94" spans="1:6" ht="15" customHeight="1">
      <c r="A94" s="162" t="s">
        <v>7584</v>
      </c>
      <c r="B94" s="162" t="s">
        <v>401</v>
      </c>
      <c r="C94" s="133" t="s">
        <v>10663</v>
      </c>
      <c r="D94" s="737">
        <v>30</v>
      </c>
      <c r="E94" s="483">
        <v>30</v>
      </c>
      <c r="F94" s="338" t="s">
        <v>4565</v>
      </c>
    </row>
    <row r="95" spans="1:6" ht="15" customHeight="1">
      <c r="A95" s="162" t="s">
        <v>7584</v>
      </c>
      <c r="B95" s="162" t="s">
        <v>401</v>
      </c>
      <c r="C95" s="133" t="s">
        <v>10664</v>
      </c>
      <c r="D95" s="737">
        <v>8</v>
      </c>
      <c r="E95" s="483">
        <v>16</v>
      </c>
      <c r="F95" s="338" t="s">
        <v>4565</v>
      </c>
    </row>
    <row r="96" spans="1:6" ht="15" customHeight="1">
      <c r="A96" s="134" t="s">
        <v>7587</v>
      </c>
      <c r="B96" s="133" t="s">
        <v>51</v>
      </c>
      <c r="C96" s="133" t="s">
        <v>10665</v>
      </c>
      <c r="D96" s="100">
        <v>8</v>
      </c>
      <c r="E96" s="528">
        <v>8</v>
      </c>
      <c r="F96" s="338" t="s">
        <v>7589</v>
      </c>
    </row>
    <row r="97" spans="1:26" ht="15" customHeight="1">
      <c r="A97" s="134" t="s">
        <v>10666</v>
      </c>
      <c r="B97" s="133" t="s">
        <v>51</v>
      </c>
      <c r="C97" s="133" t="s">
        <v>10667</v>
      </c>
      <c r="D97" s="100">
        <v>10</v>
      </c>
      <c r="E97" s="528">
        <v>50</v>
      </c>
      <c r="F97" s="338" t="s">
        <v>2514</v>
      </c>
    </row>
    <row r="98" spans="1:26" ht="15" customHeight="1">
      <c r="A98" s="134" t="s">
        <v>10666</v>
      </c>
      <c r="B98" s="133" t="s">
        <v>51</v>
      </c>
      <c r="C98" s="133" t="s">
        <v>10668</v>
      </c>
      <c r="D98" s="737">
        <v>30</v>
      </c>
      <c r="E98" s="483">
        <v>30</v>
      </c>
      <c r="F98" s="338" t="s">
        <v>2514</v>
      </c>
    </row>
    <row r="99" spans="1:26" ht="15" customHeight="1">
      <c r="A99" s="134" t="s">
        <v>7599</v>
      </c>
      <c r="B99" s="133" t="s">
        <v>51</v>
      </c>
      <c r="C99" s="133" t="s">
        <v>10669</v>
      </c>
      <c r="D99" s="100">
        <v>10</v>
      </c>
      <c r="E99" s="528">
        <f t="shared" ref="E99:E103" si="5">D99</f>
        <v>10</v>
      </c>
      <c r="F99" s="338" t="s">
        <v>7600</v>
      </c>
    </row>
    <row r="100" spans="1:26" ht="15" customHeight="1">
      <c r="A100" s="134" t="s">
        <v>7599</v>
      </c>
      <c r="B100" s="133" t="s">
        <v>51</v>
      </c>
      <c r="C100" s="133" t="s">
        <v>10670</v>
      </c>
      <c r="D100" s="116">
        <v>10</v>
      </c>
      <c r="E100" s="528">
        <f t="shared" si="5"/>
        <v>10</v>
      </c>
      <c r="F100" s="338" t="s">
        <v>7600</v>
      </c>
    </row>
    <row r="101" spans="1:26" ht="15" customHeight="1">
      <c r="A101" s="134" t="s">
        <v>7599</v>
      </c>
      <c r="B101" s="133" t="s">
        <v>51</v>
      </c>
      <c r="C101" s="133" t="s">
        <v>10671</v>
      </c>
      <c r="D101" s="100">
        <v>10</v>
      </c>
      <c r="E101" s="528">
        <f t="shared" si="5"/>
        <v>10</v>
      </c>
      <c r="F101" s="338" t="s">
        <v>7600</v>
      </c>
    </row>
    <row r="102" spans="1:26" ht="15" customHeight="1">
      <c r="A102" s="134" t="s">
        <v>7599</v>
      </c>
      <c r="B102" s="133" t="s">
        <v>51</v>
      </c>
      <c r="C102" s="133" t="s">
        <v>10672</v>
      </c>
      <c r="D102" s="116">
        <v>10</v>
      </c>
      <c r="E102" s="528">
        <f t="shared" si="5"/>
        <v>10</v>
      </c>
      <c r="F102" s="338" t="s">
        <v>7600</v>
      </c>
    </row>
    <row r="103" spans="1:26" ht="15" customHeight="1">
      <c r="A103" s="134" t="s">
        <v>7599</v>
      </c>
      <c r="B103" s="133" t="s">
        <v>51</v>
      </c>
      <c r="C103" s="133" t="s">
        <v>10673</v>
      </c>
      <c r="D103" s="116">
        <v>30</v>
      </c>
      <c r="E103" s="528">
        <f t="shared" si="5"/>
        <v>30</v>
      </c>
      <c r="F103" s="338" t="s">
        <v>7600</v>
      </c>
    </row>
    <row r="104" spans="1:26" ht="15" customHeight="1">
      <c r="A104" s="134" t="s">
        <v>547</v>
      </c>
      <c r="B104" s="133" t="s">
        <v>51</v>
      </c>
      <c r="C104" s="133" t="s">
        <v>10674</v>
      </c>
      <c r="D104" s="100" t="s">
        <v>10675</v>
      </c>
      <c r="E104" s="528">
        <v>90</v>
      </c>
      <c r="F104" s="338" t="s">
        <v>547</v>
      </c>
    </row>
    <row r="105" spans="1:26" ht="15" customHeight="1">
      <c r="A105" s="134" t="s">
        <v>7604</v>
      </c>
      <c r="B105" s="133" t="s">
        <v>51</v>
      </c>
      <c r="C105" s="133" t="s">
        <v>10665</v>
      </c>
      <c r="D105" s="100">
        <f>8*4</f>
        <v>32</v>
      </c>
      <c r="E105" s="528">
        <v>32</v>
      </c>
      <c r="F105" s="338" t="s">
        <v>7606</v>
      </c>
    </row>
    <row r="106" spans="1:26" ht="15" customHeight="1">
      <c r="A106" s="134" t="s">
        <v>592</v>
      </c>
      <c r="B106" s="133" t="s">
        <v>51</v>
      </c>
      <c r="C106" s="133" t="s">
        <v>10676</v>
      </c>
      <c r="D106" s="100">
        <v>30</v>
      </c>
      <c r="E106" s="528">
        <v>30</v>
      </c>
      <c r="F106" s="338" t="s">
        <v>592</v>
      </c>
    </row>
    <row r="107" spans="1:26" ht="15" customHeight="1">
      <c r="A107" s="134" t="s">
        <v>7607</v>
      </c>
      <c r="B107" s="133" t="s">
        <v>51</v>
      </c>
      <c r="C107" s="133" t="s">
        <v>10677</v>
      </c>
      <c r="D107" s="100">
        <v>100</v>
      </c>
      <c r="E107" s="528">
        <v>100</v>
      </c>
      <c r="F107" s="338" t="s">
        <v>608</v>
      </c>
    </row>
    <row r="108" spans="1:26" ht="15" customHeight="1">
      <c r="A108" s="134" t="s">
        <v>7148</v>
      </c>
      <c r="B108" s="162" t="s">
        <v>401</v>
      </c>
      <c r="C108" s="133" t="s">
        <v>10678</v>
      </c>
      <c r="D108" s="737">
        <v>10</v>
      </c>
      <c r="E108" s="483">
        <v>40</v>
      </c>
      <c r="F108" s="338" t="s">
        <v>2783</v>
      </c>
    </row>
    <row r="109" spans="1:26" ht="15" customHeight="1">
      <c r="A109" s="134" t="s">
        <v>7148</v>
      </c>
      <c r="B109" s="162" t="s">
        <v>401</v>
      </c>
      <c r="C109" s="133" t="s">
        <v>10664</v>
      </c>
      <c r="D109" s="737">
        <v>8</v>
      </c>
      <c r="E109" s="483">
        <v>16</v>
      </c>
      <c r="F109" s="338" t="s">
        <v>2783</v>
      </c>
    </row>
    <row r="110" spans="1:26" ht="15" customHeight="1">
      <c r="A110" s="1203" t="s">
        <v>7148</v>
      </c>
      <c r="B110" s="1208" t="s">
        <v>401</v>
      </c>
      <c r="C110" s="1135" t="s">
        <v>10679</v>
      </c>
      <c r="D110" s="1209">
        <v>50</v>
      </c>
      <c r="E110" s="1210">
        <v>50</v>
      </c>
      <c r="F110" s="338" t="s">
        <v>2783</v>
      </c>
    </row>
    <row r="111" spans="1:26" ht="15.75" customHeight="1">
      <c r="A111" s="134" t="s">
        <v>7401</v>
      </c>
      <c r="B111" s="134" t="s">
        <v>141</v>
      </c>
      <c r="C111" s="133" t="s">
        <v>10680</v>
      </c>
      <c r="D111" s="116">
        <v>30</v>
      </c>
      <c r="E111" s="528">
        <v>30</v>
      </c>
      <c r="F111" s="216" t="s">
        <v>7401</v>
      </c>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5.75" customHeight="1">
      <c r="A112" s="134" t="s">
        <v>7401</v>
      </c>
      <c r="B112" s="134" t="s">
        <v>141</v>
      </c>
      <c r="C112" s="133" t="s">
        <v>10681</v>
      </c>
      <c r="D112" s="116">
        <v>30</v>
      </c>
      <c r="E112" s="528">
        <v>30</v>
      </c>
      <c r="F112" s="216" t="s">
        <v>7401</v>
      </c>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5.75" customHeight="1">
      <c r="A113" s="134" t="s">
        <v>730</v>
      </c>
      <c r="B113" s="144" t="s">
        <v>141</v>
      </c>
      <c r="C113" s="1" t="s">
        <v>10682</v>
      </c>
      <c r="D113" s="100">
        <v>30</v>
      </c>
      <c r="E113" s="528">
        <v>30</v>
      </c>
      <c r="F113" s="216" t="str">
        <f>A113</f>
        <v>Bogdan Mihai</v>
      </c>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5.75" customHeight="1">
      <c r="A114" s="134" t="s">
        <v>2825</v>
      </c>
      <c r="B114" s="133" t="s">
        <v>141</v>
      </c>
      <c r="C114" s="133" t="s">
        <v>10683</v>
      </c>
      <c r="D114" s="116">
        <v>30</v>
      </c>
      <c r="E114" s="528">
        <v>30</v>
      </c>
      <c r="F114" s="216" t="s">
        <v>2825</v>
      </c>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5.75" customHeight="1">
      <c r="A115" s="134" t="s">
        <v>2825</v>
      </c>
      <c r="B115" s="133" t="s">
        <v>141</v>
      </c>
      <c r="C115" s="133" t="s">
        <v>10684</v>
      </c>
      <c r="D115" s="116">
        <v>30</v>
      </c>
      <c r="E115" s="528">
        <f>D115</f>
        <v>30</v>
      </c>
      <c r="F115" s="216" t="s">
        <v>2825</v>
      </c>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5.75" customHeight="1">
      <c r="A116" s="134" t="s">
        <v>2825</v>
      </c>
      <c r="B116" s="133" t="s">
        <v>141</v>
      </c>
      <c r="C116" s="133" t="s">
        <v>10685</v>
      </c>
      <c r="D116" s="116">
        <v>10</v>
      </c>
      <c r="E116" s="528">
        <v>10</v>
      </c>
      <c r="F116" s="216" t="s">
        <v>2825</v>
      </c>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5.75" customHeight="1">
      <c r="A117" s="134" t="s">
        <v>2825</v>
      </c>
      <c r="B117" s="133" t="s">
        <v>141</v>
      </c>
      <c r="C117" s="133" t="s">
        <v>10686</v>
      </c>
      <c r="D117" s="116">
        <v>10</v>
      </c>
      <c r="E117" s="528">
        <v>10</v>
      </c>
      <c r="F117" s="216" t="s">
        <v>2825</v>
      </c>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5.75" customHeight="1">
      <c r="A118" s="134" t="s">
        <v>7610</v>
      </c>
      <c r="B118" s="134" t="s">
        <v>141</v>
      </c>
      <c r="C118" s="133" t="s">
        <v>10687</v>
      </c>
      <c r="D118" s="100">
        <v>30</v>
      </c>
      <c r="E118" s="528">
        <v>30</v>
      </c>
      <c r="F118" s="216" t="str">
        <f t="shared" ref="F118:F148" si="6">A118</f>
        <v xml:space="preserve">Brad Remus </v>
      </c>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5.75" customHeight="1">
      <c r="A119" s="134" t="s">
        <v>2962</v>
      </c>
      <c r="B119" s="134" t="s">
        <v>141</v>
      </c>
      <c r="C119" s="133" t="s">
        <v>10680</v>
      </c>
      <c r="D119" s="116">
        <v>30</v>
      </c>
      <c r="E119" s="528">
        <v>30</v>
      </c>
      <c r="F119" s="216" t="str">
        <f t="shared" si="6"/>
        <v>Breazu Macarie</v>
      </c>
      <c r="G119" s="1"/>
      <c r="H119" s="1"/>
      <c r="I119" s="216"/>
      <c r="J119" s="216"/>
      <c r="K119" s="216"/>
      <c r="L119" s="216"/>
      <c r="M119" s="216"/>
      <c r="N119" s="216"/>
      <c r="O119" s="216"/>
      <c r="P119" s="216"/>
      <c r="Q119" s="216"/>
      <c r="R119" s="216"/>
      <c r="S119" s="216"/>
      <c r="T119" s="216"/>
      <c r="U119" s="216"/>
      <c r="V119" s="216"/>
      <c r="W119" s="216"/>
      <c r="X119" s="216"/>
      <c r="Y119" s="216"/>
      <c r="Z119" s="216"/>
    </row>
    <row r="120" spans="1:26" ht="15.75" customHeight="1">
      <c r="A120" s="438" t="s">
        <v>758</v>
      </c>
      <c r="B120" s="438" t="s">
        <v>141</v>
      </c>
      <c r="C120" s="138" t="s">
        <v>10688</v>
      </c>
      <c r="D120" s="229">
        <v>30</v>
      </c>
      <c r="E120" s="1117">
        <v>30</v>
      </c>
      <c r="F120" s="216" t="str">
        <f t="shared" si="6"/>
        <v>Chis Radu</v>
      </c>
      <c r="G120" s="1"/>
      <c r="H120" s="1"/>
      <c r="I120" s="216"/>
      <c r="J120" s="216"/>
      <c r="K120" s="216"/>
      <c r="L120" s="216"/>
      <c r="M120" s="216"/>
      <c r="N120" s="216"/>
      <c r="O120" s="216"/>
      <c r="P120" s="216"/>
      <c r="Q120" s="216"/>
      <c r="R120" s="216"/>
      <c r="S120" s="216"/>
      <c r="T120" s="216"/>
      <c r="U120" s="216"/>
      <c r="V120" s="216"/>
      <c r="W120" s="216"/>
      <c r="X120" s="216"/>
      <c r="Y120" s="216"/>
      <c r="Z120" s="216"/>
    </row>
    <row r="121" spans="1:26" ht="15" customHeight="1">
      <c r="A121" s="438" t="s">
        <v>7169</v>
      </c>
      <c r="B121" s="138" t="s">
        <v>141</v>
      </c>
      <c r="C121" s="138" t="s">
        <v>10689</v>
      </c>
      <c r="D121" s="229">
        <v>30</v>
      </c>
      <c r="E121" s="1117">
        <v>30</v>
      </c>
      <c r="F121" s="216" t="str">
        <f t="shared" si="6"/>
        <v>Ciurea Stelian</v>
      </c>
      <c r="G121" s="216"/>
      <c r="H121" s="216"/>
      <c r="I121" s="64"/>
      <c r="J121" s="64"/>
      <c r="K121" s="64"/>
      <c r="L121" s="64"/>
      <c r="M121" s="64"/>
      <c r="N121" s="64"/>
      <c r="O121" s="64"/>
      <c r="P121" s="64"/>
      <c r="Q121" s="64"/>
      <c r="R121" s="64"/>
      <c r="S121" s="64"/>
      <c r="T121" s="64"/>
      <c r="U121" s="64"/>
      <c r="V121" s="64"/>
      <c r="W121" s="64"/>
      <c r="X121" s="64"/>
      <c r="Y121" s="64"/>
      <c r="Z121" s="216"/>
    </row>
    <row r="122" spans="1:26" ht="15.75" customHeight="1">
      <c r="A122" s="134" t="s">
        <v>7669</v>
      </c>
      <c r="B122" s="133" t="s">
        <v>141</v>
      </c>
      <c r="C122" s="133" t="s">
        <v>10690</v>
      </c>
      <c r="D122" s="100">
        <v>30</v>
      </c>
      <c r="E122" s="528">
        <v>30</v>
      </c>
      <c r="F122" s="216" t="str">
        <f t="shared" si="6"/>
        <v xml:space="preserve">Cofaru Ileana Ioana </v>
      </c>
      <c r="G122" s="1"/>
      <c r="H122" s="1"/>
      <c r="I122" s="216"/>
      <c r="J122" s="216"/>
      <c r="K122" s="216"/>
      <c r="L122" s="216"/>
      <c r="M122" s="216"/>
      <c r="N122" s="216"/>
      <c r="O122" s="216"/>
      <c r="P122" s="216"/>
      <c r="Q122" s="216"/>
      <c r="R122" s="216"/>
      <c r="S122" s="216"/>
      <c r="T122" s="216"/>
      <c r="U122" s="216"/>
      <c r="V122" s="216"/>
      <c r="W122" s="216"/>
      <c r="X122" s="216"/>
      <c r="Y122" s="216"/>
      <c r="Z122" s="216"/>
    </row>
    <row r="123" spans="1:26" ht="15.75" customHeight="1">
      <c r="A123" s="134" t="s">
        <v>7669</v>
      </c>
      <c r="B123" s="133" t="s">
        <v>141</v>
      </c>
      <c r="C123" s="133" t="s">
        <v>10691</v>
      </c>
      <c r="D123" s="116">
        <v>10</v>
      </c>
      <c r="E123" s="528">
        <v>10</v>
      </c>
      <c r="F123" s="216" t="str">
        <f t="shared" si="6"/>
        <v xml:space="preserve">Cofaru Ileana Ioana </v>
      </c>
      <c r="G123" s="1"/>
      <c r="H123" s="1"/>
      <c r="I123" s="216"/>
      <c r="J123" s="216"/>
      <c r="K123" s="216"/>
      <c r="L123" s="216"/>
      <c r="M123" s="216"/>
      <c r="N123" s="216"/>
      <c r="O123" s="216"/>
      <c r="P123" s="216"/>
      <c r="Q123" s="216"/>
      <c r="R123" s="216"/>
      <c r="S123" s="216"/>
      <c r="T123" s="216"/>
      <c r="U123" s="216"/>
      <c r="V123" s="216"/>
      <c r="W123" s="216"/>
      <c r="X123" s="216"/>
      <c r="Y123" s="216"/>
      <c r="Z123" s="216"/>
    </row>
    <row r="124" spans="1:26" ht="15.75" customHeight="1">
      <c r="A124" s="134" t="s">
        <v>761</v>
      </c>
      <c r="B124" s="133" t="s">
        <v>141</v>
      </c>
      <c r="C124" s="133" t="s">
        <v>10692</v>
      </c>
      <c r="D124" s="100">
        <v>30</v>
      </c>
      <c r="E124" s="528">
        <v>20</v>
      </c>
      <c r="F124" s="216" t="str">
        <f t="shared" si="6"/>
        <v>Craciunas Gabriela</v>
      </c>
      <c r="G124" s="1"/>
      <c r="H124" s="1"/>
      <c r="I124" s="216"/>
      <c r="J124" s="216"/>
      <c r="K124" s="216"/>
      <c r="L124" s="216"/>
      <c r="M124" s="216"/>
      <c r="N124" s="216"/>
      <c r="O124" s="216"/>
      <c r="P124" s="216"/>
      <c r="Q124" s="216"/>
      <c r="R124" s="216"/>
      <c r="S124" s="216"/>
      <c r="T124" s="216"/>
      <c r="U124" s="216"/>
      <c r="V124" s="216"/>
      <c r="W124" s="216"/>
      <c r="X124" s="216"/>
      <c r="Y124" s="216"/>
      <c r="Z124" s="216"/>
    </row>
    <row r="125" spans="1:26" ht="15.75" customHeight="1">
      <c r="A125" s="134" t="s">
        <v>7404</v>
      </c>
      <c r="B125" s="133" t="s">
        <v>141</v>
      </c>
      <c r="C125" s="133" t="s">
        <v>10680</v>
      </c>
      <c r="D125" s="116">
        <v>30</v>
      </c>
      <c r="E125" s="528">
        <v>30</v>
      </c>
      <c r="F125" s="216" t="str">
        <f t="shared" si="6"/>
        <v>Crețulescu Radu</v>
      </c>
      <c r="G125" s="1"/>
      <c r="H125" s="1"/>
      <c r="I125" s="216"/>
      <c r="J125" s="216"/>
      <c r="K125" s="216"/>
      <c r="L125" s="216"/>
      <c r="M125" s="216"/>
      <c r="N125" s="216"/>
      <c r="O125" s="216"/>
      <c r="P125" s="216"/>
      <c r="Q125" s="216"/>
      <c r="R125" s="216"/>
      <c r="S125" s="216"/>
      <c r="T125" s="216"/>
      <c r="U125" s="216"/>
      <c r="V125" s="216"/>
      <c r="W125" s="216"/>
      <c r="X125" s="216"/>
      <c r="Y125" s="216"/>
      <c r="Z125" s="216"/>
    </row>
    <row r="126" spans="1:26" ht="15.75" customHeight="1">
      <c r="A126" s="438" t="s">
        <v>7613</v>
      </c>
      <c r="B126" s="183" t="s">
        <v>141</v>
      </c>
      <c r="C126" s="133" t="s">
        <v>10693</v>
      </c>
      <c r="D126" s="100">
        <v>30</v>
      </c>
      <c r="E126" s="528">
        <v>30</v>
      </c>
      <c r="F126" s="216" t="str">
        <f t="shared" si="6"/>
        <v>DOROBANȚIU Alexandru</v>
      </c>
      <c r="G126" s="1"/>
      <c r="H126" s="1"/>
      <c r="I126" s="216"/>
      <c r="J126" s="216"/>
      <c r="K126" s="216"/>
      <c r="L126" s="216"/>
      <c r="M126" s="216"/>
      <c r="N126" s="216"/>
      <c r="O126" s="216"/>
      <c r="P126" s="216"/>
      <c r="Q126" s="216"/>
      <c r="R126" s="216"/>
      <c r="S126" s="216"/>
      <c r="T126" s="216"/>
      <c r="U126" s="216"/>
      <c r="V126" s="216"/>
      <c r="W126" s="216"/>
      <c r="X126" s="216"/>
      <c r="Y126" s="216"/>
      <c r="Z126" s="216"/>
    </row>
    <row r="127" spans="1:26" ht="15.75" customHeight="1">
      <c r="A127" s="438" t="s">
        <v>7613</v>
      </c>
      <c r="B127" s="183" t="s">
        <v>141</v>
      </c>
      <c r="C127" s="133" t="s">
        <v>10694</v>
      </c>
      <c r="D127" s="116">
        <v>30</v>
      </c>
      <c r="E127" s="528">
        <v>30</v>
      </c>
      <c r="F127" s="216" t="str">
        <f t="shared" si="6"/>
        <v>DOROBANȚIU Alexandru</v>
      </c>
      <c r="G127" s="1"/>
      <c r="H127" s="1"/>
      <c r="I127" s="216"/>
      <c r="J127" s="216"/>
      <c r="K127" s="216"/>
      <c r="L127" s="216"/>
      <c r="M127" s="216"/>
      <c r="N127" s="216"/>
      <c r="O127" s="216"/>
      <c r="P127" s="216"/>
      <c r="Q127" s="216"/>
      <c r="R127" s="216"/>
      <c r="S127" s="216"/>
      <c r="T127" s="216"/>
      <c r="U127" s="216"/>
      <c r="V127" s="216"/>
      <c r="W127" s="216"/>
      <c r="X127" s="216"/>
      <c r="Y127" s="216"/>
      <c r="Z127" s="216"/>
    </row>
    <row r="128" spans="1:26" ht="15.75" customHeight="1">
      <c r="A128" s="438" t="s">
        <v>7613</v>
      </c>
      <c r="B128" s="183" t="s">
        <v>141</v>
      </c>
      <c r="C128" s="133" t="s">
        <v>10695</v>
      </c>
      <c r="D128" s="100">
        <v>10</v>
      </c>
      <c r="E128" s="528">
        <v>10</v>
      </c>
      <c r="F128" s="216" t="str">
        <f t="shared" si="6"/>
        <v>DOROBANȚIU Alexandru</v>
      </c>
      <c r="G128" s="1"/>
      <c r="H128" s="1"/>
      <c r="I128" s="216"/>
      <c r="J128" s="216"/>
      <c r="K128" s="216"/>
      <c r="L128" s="216"/>
      <c r="M128" s="216"/>
      <c r="N128" s="216"/>
      <c r="O128" s="216"/>
      <c r="P128" s="216"/>
      <c r="Q128" s="216"/>
      <c r="R128" s="216"/>
      <c r="S128" s="216"/>
      <c r="T128" s="216"/>
      <c r="U128" s="216"/>
      <c r="V128" s="216"/>
      <c r="W128" s="216"/>
      <c r="X128" s="216"/>
      <c r="Y128" s="216"/>
      <c r="Z128" s="216"/>
    </row>
    <row r="129" spans="1:26" ht="15.75" customHeight="1">
      <c r="A129" s="438" t="s">
        <v>7613</v>
      </c>
      <c r="B129" s="183" t="s">
        <v>141</v>
      </c>
      <c r="C129" s="133" t="s">
        <v>10696</v>
      </c>
      <c r="D129" s="100">
        <v>10</v>
      </c>
      <c r="E129" s="528">
        <v>10</v>
      </c>
      <c r="F129" s="216" t="str">
        <f t="shared" si="6"/>
        <v>DOROBANȚIU Alexandru</v>
      </c>
      <c r="G129" s="1"/>
      <c r="H129" s="1"/>
      <c r="I129" s="216"/>
      <c r="J129" s="216"/>
      <c r="K129" s="216"/>
      <c r="L129" s="216"/>
      <c r="M129" s="216"/>
      <c r="N129" s="216"/>
      <c r="O129" s="216"/>
      <c r="P129" s="216"/>
      <c r="Q129" s="216"/>
      <c r="R129" s="216"/>
      <c r="S129" s="216"/>
      <c r="T129" s="216"/>
      <c r="U129" s="216"/>
      <c r="V129" s="216"/>
      <c r="W129" s="216"/>
      <c r="X129" s="216"/>
      <c r="Y129" s="216"/>
      <c r="Z129" s="216"/>
    </row>
    <row r="130" spans="1:26" ht="15.75" customHeight="1">
      <c r="A130" s="134" t="s">
        <v>7407</v>
      </c>
      <c r="B130" s="133" t="s">
        <v>141</v>
      </c>
      <c r="C130" s="133" t="s">
        <v>10697</v>
      </c>
      <c r="D130" s="100">
        <f>4*10</f>
        <v>40</v>
      </c>
      <c r="E130" s="528">
        <v>40</v>
      </c>
      <c r="F130" s="216" t="str">
        <f t="shared" si="6"/>
        <v>Prof.dr.ing. FLOREA Adrian</v>
      </c>
      <c r="G130" s="1"/>
      <c r="H130" s="1"/>
      <c r="I130" s="216"/>
      <c r="J130" s="216"/>
      <c r="K130" s="216"/>
      <c r="L130" s="216"/>
      <c r="M130" s="216"/>
      <c r="N130" s="216"/>
      <c r="O130" s="216"/>
      <c r="P130" s="216"/>
      <c r="Q130" s="216"/>
      <c r="R130" s="216"/>
      <c r="S130" s="216"/>
      <c r="T130" s="216"/>
      <c r="U130" s="216"/>
      <c r="V130" s="216"/>
      <c r="W130" s="216"/>
      <c r="X130" s="216"/>
      <c r="Y130" s="216"/>
      <c r="Z130" s="216"/>
    </row>
    <row r="131" spans="1:26" ht="15.75" customHeight="1">
      <c r="A131" s="134" t="s">
        <v>7407</v>
      </c>
      <c r="B131" s="133" t="s">
        <v>141</v>
      </c>
      <c r="C131" s="133" t="s">
        <v>10688</v>
      </c>
      <c r="D131" s="116">
        <v>60</v>
      </c>
      <c r="E131" s="528">
        <v>60</v>
      </c>
      <c r="F131" s="216" t="str">
        <f t="shared" si="6"/>
        <v>Prof.dr.ing. FLOREA Adrian</v>
      </c>
      <c r="G131" s="1"/>
      <c r="H131" s="1"/>
      <c r="I131" s="216"/>
      <c r="J131" s="216"/>
      <c r="K131" s="216"/>
      <c r="L131" s="216"/>
      <c r="M131" s="216"/>
      <c r="N131" s="216"/>
      <c r="O131" s="216"/>
      <c r="P131" s="216"/>
      <c r="Q131" s="216"/>
      <c r="R131" s="216"/>
      <c r="S131" s="216"/>
      <c r="T131" s="216"/>
      <c r="U131" s="216"/>
      <c r="V131" s="216"/>
      <c r="W131" s="216"/>
      <c r="X131" s="216"/>
      <c r="Y131" s="216"/>
      <c r="Z131" s="216"/>
    </row>
    <row r="132" spans="1:26" ht="15.75" customHeight="1">
      <c r="A132" s="134" t="s">
        <v>829</v>
      </c>
      <c r="B132" s="133" t="s">
        <v>141</v>
      </c>
      <c r="C132" s="133" t="s">
        <v>10698</v>
      </c>
      <c r="D132" s="116">
        <v>30</v>
      </c>
      <c r="E132" s="528">
        <v>30</v>
      </c>
      <c r="F132" s="216" t="str">
        <f t="shared" si="6"/>
        <v>Gellert Arpad</v>
      </c>
      <c r="G132" s="1"/>
      <c r="H132" s="1"/>
      <c r="I132" s="216"/>
      <c r="J132" s="216"/>
      <c r="K132" s="216"/>
      <c r="L132" s="216"/>
      <c r="M132" s="216"/>
      <c r="N132" s="216"/>
      <c r="O132" s="216"/>
      <c r="P132" s="216"/>
      <c r="Q132" s="216"/>
      <c r="R132" s="216"/>
      <c r="S132" s="216"/>
      <c r="T132" s="216"/>
      <c r="U132" s="216"/>
      <c r="V132" s="216"/>
      <c r="W132" s="216"/>
      <c r="X132" s="216"/>
      <c r="Y132" s="216"/>
      <c r="Z132" s="216"/>
    </row>
    <row r="133" spans="1:26" ht="15.75" customHeight="1">
      <c r="A133" s="134" t="s">
        <v>829</v>
      </c>
      <c r="B133" s="133" t="s">
        <v>141</v>
      </c>
      <c r="C133" s="133" t="s">
        <v>10699</v>
      </c>
      <c r="D133" s="116">
        <v>30</v>
      </c>
      <c r="E133" s="528">
        <v>30</v>
      </c>
      <c r="F133" s="216" t="str">
        <f t="shared" si="6"/>
        <v>Gellert Arpad</v>
      </c>
      <c r="G133" s="1"/>
      <c r="H133" s="1"/>
      <c r="I133" s="216"/>
      <c r="J133" s="216"/>
      <c r="K133" s="216"/>
      <c r="L133" s="216"/>
      <c r="M133" s="216"/>
      <c r="N133" s="216"/>
      <c r="O133" s="216"/>
      <c r="P133" s="216"/>
      <c r="Q133" s="216"/>
      <c r="R133" s="216"/>
      <c r="S133" s="216"/>
      <c r="T133" s="216"/>
      <c r="U133" s="216"/>
      <c r="V133" s="216"/>
      <c r="W133" s="216"/>
      <c r="X133" s="216"/>
      <c r="Y133" s="216"/>
      <c r="Z133" s="216"/>
    </row>
    <row r="134" spans="1:26" ht="15.75" customHeight="1">
      <c r="A134" s="438" t="s">
        <v>7615</v>
      </c>
      <c r="B134" s="183" t="s">
        <v>141</v>
      </c>
      <c r="C134" s="133" t="s">
        <v>10700</v>
      </c>
      <c r="D134" s="100">
        <v>30</v>
      </c>
      <c r="E134" s="528">
        <f t="shared" ref="E134:E139" si="7">D134</f>
        <v>30</v>
      </c>
      <c r="F134" s="216" t="str">
        <f t="shared" si="6"/>
        <v>ILIE Constantin Beriliu</v>
      </c>
      <c r="G134" s="1"/>
      <c r="H134" s="1"/>
      <c r="I134" s="216"/>
      <c r="J134" s="216"/>
      <c r="K134" s="216"/>
      <c r="L134" s="216"/>
      <c r="M134" s="216"/>
      <c r="N134" s="216"/>
      <c r="O134" s="216"/>
      <c r="P134" s="216"/>
      <c r="Q134" s="216"/>
      <c r="R134" s="216"/>
      <c r="S134" s="216"/>
      <c r="T134" s="216"/>
      <c r="U134" s="216"/>
      <c r="V134" s="216"/>
      <c r="W134" s="216"/>
      <c r="X134" s="216"/>
      <c r="Y134" s="216"/>
      <c r="Z134" s="216"/>
    </row>
    <row r="135" spans="1:26" ht="15.75" customHeight="1">
      <c r="A135" s="438" t="s">
        <v>7615</v>
      </c>
      <c r="B135" s="183" t="s">
        <v>141</v>
      </c>
      <c r="C135" s="133" t="s">
        <v>10701</v>
      </c>
      <c r="D135" s="116">
        <v>10</v>
      </c>
      <c r="E135" s="528">
        <f t="shared" si="7"/>
        <v>10</v>
      </c>
      <c r="F135" s="216" t="str">
        <f t="shared" si="6"/>
        <v>ILIE Constantin Beriliu</v>
      </c>
      <c r="G135" s="1"/>
      <c r="H135" s="1"/>
      <c r="I135" s="216"/>
      <c r="J135" s="216"/>
      <c r="K135" s="216"/>
      <c r="L135" s="216"/>
      <c r="M135" s="216"/>
      <c r="N135" s="216"/>
      <c r="O135" s="216"/>
      <c r="P135" s="216"/>
      <c r="Q135" s="216"/>
      <c r="R135" s="216"/>
      <c r="S135" s="216"/>
      <c r="T135" s="216"/>
      <c r="U135" s="216"/>
      <c r="V135" s="216"/>
      <c r="W135" s="216"/>
      <c r="X135" s="216"/>
      <c r="Y135" s="216"/>
      <c r="Z135" s="216"/>
    </row>
    <row r="136" spans="1:26" ht="15.75" customHeight="1">
      <c r="A136" s="438" t="s">
        <v>7615</v>
      </c>
      <c r="B136" s="183" t="s">
        <v>141</v>
      </c>
      <c r="C136" s="133" t="s">
        <v>10702</v>
      </c>
      <c r="D136" s="100">
        <v>10</v>
      </c>
      <c r="E136" s="528">
        <f t="shared" si="7"/>
        <v>10</v>
      </c>
      <c r="F136" s="216" t="str">
        <f t="shared" si="6"/>
        <v>ILIE Constantin Beriliu</v>
      </c>
      <c r="G136" s="1"/>
      <c r="H136" s="1"/>
      <c r="I136" s="216"/>
      <c r="J136" s="216"/>
      <c r="K136" s="216"/>
      <c r="L136" s="216"/>
      <c r="M136" s="216"/>
      <c r="N136" s="216"/>
      <c r="O136" s="216"/>
      <c r="P136" s="216"/>
      <c r="Q136" s="216"/>
      <c r="R136" s="216"/>
      <c r="S136" s="216"/>
      <c r="T136" s="216"/>
      <c r="U136" s="216"/>
      <c r="V136" s="216"/>
      <c r="W136" s="216"/>
      <c r="X136" s="216"/>
      <c r="Y136" s="216"/>
      <c r="Z136" s="216"/>
    </row>
    <row r="137" spans="1:26" ht="15.75" customHeight="1">
      <c r="A137" s="438" t="s">
        <v>7615</v>
      </c>
      <c r="B137" s="183" t="s">
        <v>141</v>
      </c>
      <c r="C137" s="133" t="s">
        <v>10703</v>
      </c>
      <c r="D137" s="116">
        <v>30</v>
      </c>
      <c r="E137" s="528">
        <f t="shared" si="7"/>
        <v>30</v>
      </c>
      <c r="F137" s="216" t="str">
        <f t="shared" si="6"/>
        <v>ILIE Constantin Beriliu</v>
      </c>
      <c r="G137" s="1"/>
      <c r="H137" s="1"/>
      <c r="I137" s="216"/>
      <c r="J137" s="216"/>
      <c r="K137" s="216"/>
      <c r="L137" s="216"/>
      <c r="M137" s="216"/>
      <c r="N137" s="216"/>
      <c r="O137" s="216"/>
      <c r="P137" s="216"/>
      <c r="Q137" s="216"/>
      <c r="R137" s="216"/>
      <c r="S137" s="216"/>
      <c r="T137" s="216"/>
      <c r="U137" s="216"/>
      <c r="V137" s="216"/>
      <c r="W137" s="216"/>
      <c r="X137" s="216"/>
      <c r="Y137" s="216"/>
      <c r="Z137" s="216"/>
    </row>
    <row r="138" spans="1:26" ht="15.75" customHeight="1">
      <c r="A138" s="438" t="s">
        <v>7615</v>
      </c>
      <c r="B138" s="183" t="s">
        <v>141</v>
      </c>
      <c r="C138" s="133" t="s">
        <v>10704</v>
      </c>
      <c r="D138" s="116">
        <v>10</v>
      </c>
      <c r="E138" s="528">
        <f t="shared" si="7"/>
        <v>10</v>
      </c>
      <c r="F138" s="216" t="str">
        <f t="shared" si="6"/>
        <v>ILIE Constantin Beriliu</v>
      </c>
      <c r="G138" s="1"/>
      <c r="H138" s="1"/>
      <c r="I138" s="216"/>
      <c r="J138" s="216"/>
      <c r="K138" s="216"/>
      <c r="L138" s="216"/>
      <c r="M138" s="216"/>
      <c r="N138" s="216"/>
      <c r="O138" s="216"/>
      <c r="P138" s="216"/>
      <c r="Q138" s="216"/>
      <c r="R138" s="216"/>
      <c r="S138" s="216"/>
      <c r="T138" s="216"/>
      <c r="U138" s="216"/>
      <c r="V138" s="216"/>
      <c r="W138" s="216"/>
      <c r="X138" s="216"/>
      <c r="Y138" s="216"/>
      <c r="Z138" s="216"/>
    </row>
    <row r="139" spans="1:26" ht="15.75" customHeight="1">
      <c r="A139" s="438" t="s">
        <v>7615</v>
      </c>
      <c r="B139" s="183" t="s">
        <v>141</v>
      </c>
      <c r="C139" s="133" t="s">
        <v>10705</v>
      </c>
      <c r="D139" s="116">
        <v>10</v>
      </c>
      <c r="E139" s="528">
        <f t="shared" si="7"/>
        <v>10</v>
      </c>
      <c r="F139" s="216" t="str">
        <f t="shared" si="6"/>
        <v>ILIE Constantin Beriliu</v>
      </c>
      <c r="G139" s="1"/>
      <c r="H139" s="1"/>
      <c r="I139" s="216"/>
      <c r="J139" s="216"/>
      <c r="K139" s="216"/>
      <c r="L139" s="216"/>
      <c r="M139" s="216"/>
      <c r="N139" s="216"/>
      <c r="O139" s="216"/>
      <c r="P139" s="216"/>
      <c r="Q139" s="216"/>
      <c r="R139" s="216"/>
      <c r="S139" s="216"/>
      <c r="T139" s="216"/>
      <c r="U139" s="216"/>
      <c r="V139" s="216"/>
      <c r="W139" s="216"/>
      <c r="X139" s="216"/>
      <c r="Y139" s="216"/>
      <c r="Z139" s="216"/>
    </row>
    <row r="140" spans="1:26" ht="15.75" customHeight="1">
      <c r="A140" s="134" t="s">
        <v>3249</v>
      </c>
      <c r="B140" s="133" t="s">
        <v>141</v>
      </c>
      <c r="C140" s="133" t="s">
        <v>10706</v>
      </c>
      <c r="D140" s="100">
        <v>60</v>
      </c>
      <c r="E140" s="528">
        <v>60</v>
      </c>
      <c r="F140" s="216" t="str">
        <f t="shared" si="6"/>
        <v>Morariu Daniel</v>
      </c>
      <c r="G140" s="1"/>
      <c r="H140" s="1"/>
      <c r="I140" s="216"/>
      <c r="J140" s="216"/>
      <c r="K140" s="216"/>
      <c r="L140" s="216"/>
      <c r="M140" s="216"/>
      <c r="N140" s="216"/>
      <c r="O140" s="216"/>
      <c r="P140" s="216"/>
      <c r="Q140" s="216"/>
      <c r="R140" s="216"/>
      <c r="S140" s="216"/>
      <c r="T140" s="216"/>
      <c r="U140" s="216"/>
      <c r="V140" s="216"/>
      <c r="W140" s="216"/>
      <c r="X140" s="216"/>
      <c r="Y140" s="216"/>
      <c r="Z140" s="216"/>
    </row>
    <row r="141" spans="1:26" ht="15.75" customHeight="1">
      <c r="A141" s="134" t="s">
        <v>3249</v>
      </c>
      <c r="B141" s="133" t="s">
        <v>10707</v>
      </c>
      <c r="C141" s="133" t="s">
        <v>10708</v>
      </c>
      <c r="D141" s="116">
        <v>30</v>
      </c>
      <c r="E141" s="528">
        <v>30</v>
      </c>
      <c r="F141" s="216" t="str">
        <f t="shared" si="6"/>
        <v>Morariu Daniel</v>
      </c>
      <c r="G141" s="1"/>
      <c r="H141" s="1"/>
      <c r="I141" s="216"/>
      <c r="J141" s="216"/>
      <c r="K141" s="216"/>
      <c r="L141" s="216"/>
      <c r="M141" s="216"/>
      <c r="N141" s="216"/>
      <c r="O141" s="216"/>
      <c r="P141" s="216"/>
      <c r="Q141" s="216"/>
      <c r="R141" s="216"/>
      <c r="S141" s="216"/>
      <c r="T141" s="216"/>
      <c r="U141" s="216"/>
      <c r="V141" s="216"/>
      <c r="W141" s="216"/>
      <c r="X141" s="216"/>
      <c r="Y141" s="216"/>
      <c r="Z141" s="216"/>
    </row>
    <row r="142" spans="1:26" ht="15.75" customHeight="1">
      <c r="A142" s="134" t="s">
        <v>3249</v>
      </c>
      <c r="B142" s="133" t="s">
        <v>141</v>
      </c>
      <c r="C142" s="133" t="s">
        <v>10709</v>
      </c>
      <c r="D142" s="100">
        <v>10</v>
      </c>
      <c r="E142" s="528">
        <v>10</v>
      </c>
      <c r="F142" s="216" t="str">
        <f t="shared" si="6"/>
        <v>Morariu Daniel</v>
      </c>
      <c r="G142" s="1"/>
      <c r="H142" s="1"/>
      <c r="I142" s="216"/>
      <c r="J142" s="216"/>
      <c r="K142" s="216"/>
      <c r="L142" s="216"/>
      <c r="M142" s="216"/>
      <c r="N142" s="216"/>
      <c r="O142" s="216"/>
      <c r="P142" s="216"/>
      <c r="Q142" s="216"/>
      <c r="R142" s="216"/>
      <c r="S142" s="216"/>
      <c r="T142" s="216"/>
      <c r="U142" s="216"/>
      <c r="V142" s="216"/>
      <c r="W142" s="216"/>
      <c r="X142" s="216"/>
      <c r="Y142" s="216"/>
      <c r="Z142" s="216"/>
    </row>
    <row r="143" spans="1:26" ht="15.75" customHeight="1">
      <c r="A143" s="134" t="s">
        <v>3249</v>
      </c>
      <c r="B143" s="133" t="s">
        <v>141</v>
      </c>
      <c r="C143" s="133" t="s">
        <v>10710</v>
      </c>
      <c r="D143" s="116">
        <v>10</v>
      </c>
      <c r="E143" s="528">
        <v>10</v>
      </c>
      <c r="F143" s="216" t="str">
        <f t="shared" si="6"/>
        <v>Morariu Daniel</v>
      </c>
      <c r="G143" s="1"/>
      <c r="H143" s="1"/>
      <c r="I143" s="216"/>
      <c r="J143" s="216"/>
      <c r="K143" s="216"/>
      <c r="L143" s="216"/>
      <c r="M143" s="216"/>
      <c r="N143" s="216"/>
      <c r="O143" s="216"/>
      <c r="P143" s="216"/>
      <c r="Q143" s="216"/>
      <c r="R143" s="216"/>
      <c r="S143" s="216"/>
      <c r="T143" s="216"/>
      <c r="U143" s="216"/>
      <c r="V143" s="216"/>
      <c r="W143" s="216"/>
      <c r="X143" s="216"/>
      <c r="Y143" s="216"/>
      <c r="Z143" s="216"/>
    </row>
    <row r="144" spans="1:26" ht="15.75" customHeight="1">
      <c r="A144" s="134" t="s">
        <v>1261</v>
      </c>
      <c r="B144" s="133" t="s">
        <v>141</v>
      </c>
      <c r="C144" s="133" t="s">
        <v>10711</v>
      </c>
      <c r="D144" s="100">
        <v>30</v>
      </c>
      <c r="E144" s="528">
        <v>30</v>
      </c>
      <c r="F144" s="216" t="str">
        <f t="shared" si="6"/>
        <v>Neghină Cătălina</v>
      </c>
      <c r="G144" s="1"/>
      <c r="H144" s="1"/>
      <c r="I144" s="216"/>
      <c r="J144" s="216"/>
      <c r="K144" s="216"/>
      <c r="L144" s="216"/>
      <c r="M144" s="216"/>
      <c r="N144" s="216"/>
      <c r="O144" s="216"/>
      <c r="P144" s="216"/>
      <c r="Q144" s="216"/>
      <c r="R144" s="216"/>
      <c r="S144" s="216"/>
      <c r="T144" s="216"/>
      <c r="U144" s="216"/>
      <c r="V144" s="216"/>
      <c r="W144" s="216"/>
      <c r="X144" s="216"/>
      <c r="Y144" s="216"/>
      <c r="Z144" s="216"/>
    </row>
    <row r="145" spans="1:26" ht="15.75" customHeight="1">
      <c r="A145" s="752" t="s">
        <v>1261</v>
      </c>
      <c r="B145" s="753" t="s">
        <v>141</v>
      </c>
      <c r="C145" s="753" t="s">
        <v>10712</v>
      </c>
      <c r="D145" s="756">
        <v>30</v>
      </c>
      <c r="E145" s="754">
        <v>30</v>
      </c>
      <c r="F145" s="216" t="str">
        <f t="shared" si="6"/>
        <v>Neghină Cătălina</v>
      </c>
      <c r="G145" s="1"/>
      <c r="H145" s="1"/>
      <c r="I145" s="216"/>
      <c r="J145" s="216"/>
      <c r="K145" s="216"/>
      <c r="L145" s="216"/>
      <c r="M145" s="216"/>
      <c r="N145" s="216"/>
      <c r="O145" s="216"/>
      <c r="P145" s="216"/>
      <c r="Q145" s="216"/>
      <c r="R145" s="216"/>
      <c r="S145" s="216"/>
      <c r="T145" s="216"/>
      <c r="U145" s="216"/>
      <c r="V145" s="216"/>
      <c r="W145" s="216"/>
      <c r="X145" s="216"/>
      <c r="Y145" s="216"/>
      <c r="Z145" s="216"/>
    </row>
    <row r="146" spans="1:26" ht="15.75" customHeight="1">
      <c r="A146" s="134" t="s">
        <v>1261</v>
      </c>
      <c r="B146" s="133" t="s">
        <v>141</v>
      </c>
      <c r="C146" s="133" t="s">
        <v>10713</v>
      </c>
      <c r="D146" s="100">
        <v>30</v>
      </c>
      <c r="E146" s="528">
        <v>30</v>
      </c>
      <c r="F146" s="216" t="str">
        <f t="shared" si="6"/>
        <v>Neghină Cătălina</v>
      </c>
      <c r="G146" s="1"/>
      <c r="H146" s="1"/>
      <c r="I146" s="216"/>
      <c r="J146" s="216"/>
      <c r="K146" s="216"/>
      <c r="L146" s="216"/>
      <c r="M146" s="216"/>
      <c r="N146" s="216"/>
      <c r="O146" s="216"/>
      <c r="P146" s="216"/>
      <c r="Q146" s="216"/>
      <c r="R146" s="216"/>
      <c r="S146" s="216"/>
      <c r="T146" s="216"/>
      <c r="U146" s="216"/>
      <c r="V146" s="216"/>
      <c r="W146" s="216"/>
      <c r="X146" s="216"/>
      <c r="Y146" s="216"/>
      <c r="Z146" s="216"/>
    </row>
    <row r="147" spans="1:26" ht="15.75" customHeight="1">
      <c r="A147" s="134" t="s">
        <v>1261</v>
      </c>
      <c r="B147" s="133" t="s">
        <v>141</v>
      </c>
      <c r="C147" s="133" t="s">
        <v>10714</v>
      </c>
      <c r="D147" s="116">
        <v>10</v>
      </c>
      <c r="E147" s="528">
        <v>10</v>
      </c>
      <c r="F147" s="216" t="str">
        <f t="shared" si="6"/>
        <v>Neghină Cătălina</v>
      </c>
      <c r="G147" s="1"/>
      <c r="H147" s="1"/>
      <c r="I147" s="216"/>
      <c r="J147" s="216"/>
      <c r="K147" s="216"/>
      <c r="L147" s="216"/>
      <c r="M147" s="216"/>
      <c r="N147" s="216"/>
      <c r="O147" s="216"/>
      <c r="P147" s="216"/>
      <c r="Q147" s="216"/>
      <c r="R147" s="216"/>
      <c r="S147" s="216"/>
      <c r="T147" s="216"/>
      <c r="U147" s="216"/>
      <c r="V147" s="216"/>
      <c r="W147" s="216"/>
      <c r="X147" s="216"/>
      <c r="Y147" s="216"/>
      <c r="Z147" s="216"/>
    </row>
    <row r="148" spans="1:26" ht="15.75" customHeight="1">
      <c r="A148" s="134" t="s">
        <v>1272</v>
      </c>
      <c r="B148" s="133" t="s">
        <v>141</v>
      </c>
      <c r="C148" s="133" t="s">
        <v>10680</v>
      </c>
      <c r="D148" s="116">
        <v>30</v>
      </c>
      <c r="E148" s="528">
        <v>30</v>
      </c>
      <c r="F148" s="216" t="str">
        <f t="shared" si="6"/>
        <v>Zamfirescu Bălă-Constantin</v>
      </c>
      <c r="G148" s="1"/>
      <c r="H148" s="1"/>
      <c r="I148" s="216"/>
      <c r="J148" s="216"/>
      <c r="K148" s="216"/>
      <c r="L148" s="216"/>
      <c r="M148" s="216"/>
      <c r="N148" s="216"/>
      <c r="O148" s="216"/>
      <c r="P148" s="216"/>
      <c r="Q148" s="216"/>
      <c r="R148" s="216"/>
      <c r="S148" s="216"/>
      <c r="T148" s="216"/>
      <c r="U148" s="216"/>
      <c r="V148" s="216"/>
      <c r="W148" s="216"/>
      <c r="X148" s="216"/>
      <c r="Y148" s="216"/>
      <c r="Z148" s="216"/>
    </row>
    <row r="149" spans="1:26" ht="15.75" customHeight="1">
      <c r="A149" s="134" t="s">
        <v>1273</v>
      </c>
      <c r="B149" s="133" t="s">
        <v>141</v>
      </c>
      <c r="C149" s="133" t="s">
        <v>10715</v>
      </c>
      <c r="D149" s="100">
        <v>100</v>
      </c>
      <c r="E149" s="528">
        <v>100</v>
      </c>
      <c r="F149" s="216" t="s">
        <v>1273</v>
      </c>
      <c r="G149" s="1"/>
      <c r="H149" s="1"/>
      <c r="I149" s="216"/>
      <c r="J149" s="216"/>
      <c r="K149" s="216"/>
      <c r="L149" s="216"/>
      <c r="M149" s="216"/>
      <c r="N149" s="216"/>
      <c r="O149" s="216"/>
      <c r="P149" s="216"/>
      <c r="Q149" s="216"/>
      <c r="R149" s="216"/>
      <c r="S149" s="216"/>
      <c r="T149" s="216"/>
      <c r="U149" s="216"/>
      <c r="V149" s="216"/>
      <c r="W149" s="216"/>
      <c r="X149" s="216"/>
      <c r="Y149" s="216"/>
      <c r="Z149" s="216"/>
    </row>
    <row r="150" spans="1:26" ht="15.75" customHeight="1">
      <c r="A150" s="134" t="s">
        <v>1273</v>
      </c>
      <c r="B150" s="133" t="s">
        <v>141</v>
      </c>
      <c r="C150" s="133" t="s">
        <v>10716</v>
      </c>
      <c r="D150" s="100">
        <v>60</v>
      </c>
      <c r="E150" s="528">
        <v>60</v>
      </c>
      <c r="F150" s="216" t="s">
        <v>1273</v>
      </c>
      <c r="G150" s="1"/>
      <c r="H150" s="1"/>
      <c r="I150" s="216"/>
      <c r="J150" s="216"/>
      <c r="K150" s="216"/>
      <c r="L150" s="216"/>
      <c r="M150" s="216"/>
      <c r="N150" s="216"/>
      <c r="O150" s="216"/>
      <c r="P150" s="216"/>
      <c r="Q150" s="216"/>
      <c r="R150" s="216"/>
      <c r="S150" s="216"/>
      <c r="T150" s="216"/>
      <c r="U150" s="216"/>
      <c r="V150" s="216"/>
      <c r="W150" s="216"/>
      <c r="X150" s="216"/>
      <c r="Y150" s="216"/>
      <c r="Z150" s="216"/>
    </row>
    <row r="151" spans="1:26" ht="15.75" customHeight="1">
      <c r="A151" s="134" t="s">
        <v>1273</v>
      </c>
      <c r="B151" s="133" t="s">
        <v>141</v>
      </c>
      <c r="C151" s="133" t="s">
        <v>10717</v>
      </c>
      <c r="D151" s="100">
        <v>10</v>
      </c>
      <c r="E151" s="528">
        <v>40</v>
      </c>
      <c r="F151" s="216" t="s">
        <v>1273</v>
      </c>
      <c r="G151" s="1"/>
      <c r="H151" s="1"/>
      <c r="I151" s="216"/>
      <c r="J151" s="216"/>
      <c r="K151" s="216"/>
      <c r="L151" s="216"/>
      <c r="M151" s="216"/>
      <c r="N151" s="216"/>
      <c r="O151" s="216"/>
      <c r="P151" s="216"/>
      <c r="Q151" s="216"/>
      <c r="R151" s="216"/>
      <c r="S151" s="216"/>
      <c r="T151" s="216"/>
      <c r="U151" s="216"/>
      <c r="V151" s="216"/>
      <c r="W151" s="216"/>
      <c r="X151" s="216"/>
      <c r="Y151" s="216"/>
      <c r="Z151" s="216"/>
    </row>
    <row r="152" spans="1:26" ht="15.75" customHeight="1">
      <c r="A152" s="134" t="s">
        <v>1273</v>
      </c>
      <c r="B152" s="133" t="s">
        <v>141</v>
      </c>
      <c r="C152" s="133" t="s">
        <v>10718</v>
      </c>
      <c r="D152" s="100">
        <v>30</v>
      </c>
      <c r="E152" s="528">
        <v>30</v>
      </c>
      <c r="F152" s="216" t="s">
        <v>1273</v>
      </c>
      <c r="G152" s="1"/>
      <c r="H152" s="1"/>
      <c r="I152" s="216"/>
      <c r="J152" s="216"/>
      <c r="K152" s="216"/>
      <c r="L152" s="216"/>
      <c r="M152" s="216"/>
      <c r="N152" s="216"/>
      <c r="O152" s="216"/>
      <c r="P152" s="216"/>
      <c r="Q152" s="216"/>
      <c r="R152" s="216"/>
      <c r="S152" s="216"/>
      <c r="T152" s="216"/>
      <c r="U152" s="216"/>
      <c r="V152" s="216"/>
      <c r="W152" s="216"/>
      <c r="X152" s="216"/>
      <c r="Y152" s="216"/>
      <c r="Z152" s="216"/>
    </row>
    <row r="153" spans="1:26" ht="15.75" customHeight="1">
      <c r="A153" s="134" t="s">
        <v>1273</v>
      </c>
      <c r="B153" s="133" t="s">
        <v>141</v>
      </c>
      <c r="C153" s="133" t="s">
        <v>10719</v>
      </c>
      <c r="D153" s="100">
        <v>30</v>
      </c>
      <c r="E153" s="528">
        <v>30</v>
      </c>
      <c r="F153" s="216" t="s">
        <v>1273</v>
      </c>
      <c r="G153" s="1"/>
      <c r="H153" s="1"/>
      <c r="I153" s="216"/>
      <c r="J153" s="216"/>
      <c r="K153" s="216"/>
      <c r="L153" s="216"/>
      <c r="M153" s="216"/>
      <c r="N153" s="216"/>
      <c r="O153" s="216"/>
      <c r="P153" s="216"/>
      <c r="Q153" s="216"/>
      <c r="R153" s="216"/>
      <c r="S153" s="216"/>
      <c r="T153" s="216"/>
      <c r="U153" s="216"/>
      <c r="V153" s="216"/>
      <c r="W153" s="216"/>
      <c r="X153" s="216"/>
      <c r="Y153" s="216"/>
      <c r="Z153" s="216"/>
    </row>
    <row r="154" spans="1:26" ht="15.75" customHeight="1">
      <c r="A154" s="134" t="s">
        <v>1273</v>
      </c>
      <c r="B154" s="133" t="s">
        <v>141</v>
      </c>
      <c r="C154" s="133" t="s">
        <v>10720</v>
      </c>
      <c r="D154" s="100">
        <v>30</v>
      </c>
      <c r="E154" s="528">
        <v>30</v>
      </c>
      <c r="F154" s="216" t="s">
        <v>1273</v>
      </c>
      <c r="G154" s="1"/>
      <c r="H154" s="1"/>
      <c r="I154" s="216"/>
      <c r="J154" s="216"/>
      <c r="K154" s="216"/>
      <c r="L154" s="216"/>
      <c r="M154" s="216"/>
      <c r="N154" s="216"/>
      <c r="O154" s="216"/>
      <c r="P154" s="216"/>
      <c r="Q154" s="216"/>
      <c r="R154" s="216"/>
      <c r="S154" s="216"/>
      <c r="T154" s="216"/>
      <c r="U154" s="216"/>
      <c r="V154" s="216"/>
      <c r="W154" s="216"/>
      <c r="X154" s="216"/>
      <c r="Y154" s="216"/>
      <c r="Z154" s="216"/>
    </row>
    <row r="155" spans="1:26" ht="15.75" customHeight="1">
      <c r="A155" s="134" t="s">
        <v>3415</v>
      </c>
      <c r="B155" s="133" t="s">
        <v>141</v>
      </c>
      <c r="C155" s="133" t="s">
        <v>10721</v>
      </c>
      <c r="D155" s="100">
        <v>30</v>
      </c>
      <c r="E155" s="528">
        <v>30</v>
      </c>
      <c r="F155" s="216" t="str">
        <f t="shared" ref="F155:F160" si="8">A155</f>
        <v>Panu Mihai</v>
      </c>
      <c r="G155" s="1"/>
      <c r="H155" s="1"/>
      <c r="I155" s="216"/>
      <c r="J155" s="216"/>
      <c r="K155" s="216"/>
      <c r="L155" s="216"/>
      <c r="M155" s="216"/>
      <c r="N155" s="216"/>
      <c r="O155" s="216"/>
      <c r="P155" s="216"/>
      <c r="Q155" s="216"/>
      <c r="R155" s="216"/>
      <c r="S155" s="216"/>
      <c r="T155" s="216"/>
      <c r="U155" s="216"/>
      <c r="V155" s="216"/>
      <c r="W155" s="216"/>
      <c r="X155" s="216"/>
      <c r="Y155" s="216"/>
      <c r="Z155" s="216"/>
    </row>
    <row r="156" spans="1:26" ht="15.75" customHeight="1">
      <c r="A156" s="134" t="s">
        <v>3415</v>
      </c>
      <c r="B156" s="133" t="s">
        <v>141</v>
      </c>
      <c r="C156" s="133" t="s">
        <v>10722</v>
      </c>
      <c r="D156" s="116">
        <v>10</v>
      </c>
      <c r="E156" s="528">
        <v>10</v>
      </c>
      <c r="F156" s="216" t="str">
        <f t="shared" si="8"/>
        <v>Panu Mihai</v>
      </c>
      <c r="G156" s="1"/>
      <c r="H156" s="1"/>
      <c r="I156" s="216"/>
      <c r="J156" s="216"/>
      <c r="K156" s="216"/>
      <c r="L156" s="216"/>
      <c r="M156" s="216"/>
      <c r="N156" s="216"/>
      <c r="O156" s="216"/>
      <c r="P156" s="216"/>
      <c r="Q156" s="216"/>
      <c r="R156" s="216"/>
      <c r="S156" s="216"/>
      <c r="T156" s="216"/>
      <c r="U156" s="216"/>
      <c r="V156" s="216"/>
      <c r="W156" s="216"/>
      <c r="X156" s="216"/>
      <c r="Y156" s="216"/>
      <c r="Z156" s="216"/>
    </row>
    <row r="157" spans="1:26" ht="15.75" customHeight="1">
      <c r="A157" s="134" t="s">
        <v>3417</v>
      </c>
      <c r="B157" s="133" t="s">
        <v>141</v>
      </c>
      <c r="C157" s="133" t="s">
        <v>10680</v>
      </c>
      <c r="D157" s="116">
        <v>30</v>
      </c>
      <c r="E157" s="528">
        <v>30</v>
      </c>
      <c r="F157" s="216" t="str">
        <f t="shared" si="8"/>
        <v>Pitic Antoniu</v>
      </c>
      <c r="G157" s="1"/>
      <c r="H157" s="1"/>
      <c r="I157" s="216"/>
      <c r="J157" s="216"/>
      <c r="K157" s="216"/>
      <c r="L157" s="216"/>
      <c r="M157" s="216"/>
      <c r="N157" s="216"/>
      <c r="O157" s="216"/>
      <c r="P157" s="216"/>
      <c r="Q157" s="216"/>
      <c r="R157" s="216"/>
      <c r="S157" s="216"/>
      <c r="T157" s="216"/>
      <c r="U157" s="216"/>
      <c r="V157" s="216"/>
      <c r="W157" s="216"/>
      <c r="X157" s="216"/>
      <c r="Y157" s="216"/>
      <c r="Z157" s="216"/>
    </row>
    <row r="158" spans="1:26" ht="15.75" customHeight="1">
      <c r="A158" s="134" t="s">
        <v>906</v>
      </c>
      <c r="B158" s="133" t="s">
        <v>141</v>
      </c>
      <c r="C158" s="133" t="s">
        <v>10723</v>
      </c>
      <c r="D158" s="100">
        <v>30</v>
      </c>
      <c r="E158" s="528">
        <v>30</v>
      </c>
      <c r="F158" s="216" t="str">
        <f t="shared" si="8"/>
        <v>Vintan Maria</v>
      </c>
      <c r="G158" s="1"/>
      <c r="H158" s="1"/>
      <c r="I158" s="216"/>
      <c r="J158" s="216"/>
      <c r="K158" s="216"/>
      <c r="L158" s="216"/>
      <c r="M158" s="216"/>
      <c r="N158" s="216"/>
      <c r="O158" s="216"/>
      <c r="P158" s="216"/>
      <c r="Q158" s="216"/>
      <c r="R158" s="216"/>
      <c r="S158" s="216"/>
      <c r="T158" s="216"/>
      <c r="U158" s="216"/>
      <c r="V158" s="216"/>
      <c r="W158" s="216"/>
      <c r="X158" s="216"/>
      <c r="Y158" s="216"/>
      <c r="Z158" s="216"/>
    </row>
    <row r="159" spans="1:26" ht="15.75" customHeight="1">
      <c r="A159" s="134" t="s">
        <v>3450</v>
      </c>
      <c r="B159" s="133" t="s">
        <v>141</v>
      </c>
      <c r="C159" s="133" t="s">
        <v>10724</v>
      </c>
      <c r="D159" s="116">
        <v>30</v>
      </c>
      <c r="E159" s="528">
        <v>30</v>
      </c>
      <c r="F159" s="216" t="str">
        <f t="shared" si="8"/>
        <v>Viorel Alina</v>
      </c>
      <c r="G159" s="1"/>
      <c r="H159" s="1"/>
      <c r="I159" s="216"/>
      <c r="J159" s="216"/>
      <c r="K159" s="216"/>
      <c r="L159" s="216"/>
      <c r="M159" s="216"/>
      <c r="N159" s="216"/>
      <c r="O159" s="216"/>
      <c r="P159" s="216"/>
      <c r="Q159" s="216"/>
      <c r="R159" s="216"/>
      <c r="S159" s="216"/>
      <c r="T159" s="216"/>
      <c r="U159" s="216"/>
      <c r="V159" s="216"/>
      <c r="W159" s="216"/>
      <c r="X159" s="216"/>
      <c r="Y159" s="216"/>
      <c r="Z159" s="216"/>
    </row>
    <row r="160" spans="1:26" ht="15.75" customHeight="1">
      <c r="A160" s="134" t="s">
        <v>1204</v>
      </c>
      <c r="B160" s="133" t="s">
        <v>141</v>
      </c>
      <c r="C160" s="133" t="s">
        <v>10680</v>
      </c>
      <c r="D160" s="116">
        <v>30</v>
      </c>
      <c r="E160" s="528">
        <v>30</v>
      </c>
      <c r="F160" s="216" t="str">
        <f t="shared" si="8"/>
        <v>Volovici Daniel</v>
      </c>
      <c r="G160" s="133"/>
      <c r="H160" s="133"/>
      <c r="I160" s="116"/>
      <c r="J160" s="528"/>
      <c r="K160" s="1"/>
      <c r="L160" s="1"/>
      <c r="M160" s="1"/>
      <c r="N160" s="216"/>
      <c r="O160" s="216"/>
      <c r="P160" s="216"/>
      <c r="Q160" s="216"/>
      <c r="R160" s="216"/>
      <c r="S160" s="216"/>
      <c r="T160" s="216"/>
      <c r="U160" s="216"/>
      <c r="V160" s="216"/>
      <c r="W160" s="216"/>
      <c r="X160" s="216"/>
      <c r="Y160" s="216"/>
      <c r="Z160" s="216"/>
    </row>
    <row r="161" spans="1:26" ht="15.75" customHeight="1">
      <c r="A161" s="134" t="s">
        <v>6654</v>
      </c>
      <c r="B161" s="133" t="s">
        <v>141</v>
      </c>
      <c r="C161" s="133" t="s">
        <v>10725</v>
      </c>
      <c r="D161" s="116">
        <v>30</v>
      </c>
      <c r="E161" s="528">
        <v>30</v>
      </c>
      <c r="F161" s="216" t="s">
        <v>6654</v>
      </c>
      <c r="G161" s="489"/>
      <c r="H161" s="489"/>
      <c r="I161" s="1133"/>
      <c r="J161" s="1134"/>
      <c r="K161" s="1"/>
      <c r="L161" s="1"/>
      <c r="M161" s="1"/>
      <c r="N161" s="216"/>
      <c r="O161" s="216"/>
      <c r="P161" s="216"/>
      <c r="Q161" s="216"/>
      <c r="R161" s="216"/>
      <c r="S161" s="216"/>
      <c r="T161" s="216"/>
      <c r="U161" s="216"/>
      <c r="V161" s="216"/>
      <c r="W161" s="216"/>
      <c r="X161" s="216"/>
      <c r="Y161" s="216"/>
      <c r="Z161" s="216"/>
    </row>
    <row r="162" spans="1:26" ht="15.75" customHeight="1">
      <c r="A162" s="134" t="s">
        <v>114</v>
      </c>
      <c r="B162" s="133" t="s">
        <v>105</v>
      </c>
      <c r="C162" s="133" t="s">
        <v>10726</v>
      </c>
      <c r="D162" s="100">
        <v>100</v>
      </c>
      <c r="E162" s="528">
        <v>100</v>
      </c>
      <c r="F162" s="338" t="s">
        <v>114</v>
      </c>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5" customHeight="1">
      <c r="A163" s="134" t="s">
        <v>114</v>
      </c>
      <c r="B163" s="133" t="s">
        <v>105</v>
      </c>
      <c r="C163" s="133" t="s">
        <v>10727</v>
      </c>
      <c r="D163" s="116">
        <f>30</f>
        <v>30</v>
      </c>
      <c r="E163" s="528">
        <f t="shared" ref="E163:E165" si="9">D163</f>
        <v>30</v>
      </c>
      <c r="F163" s="338" t="s">
        <v>114</v>
      </c>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5" customHeight="1">
      <c r="A164" s="134" t="s">
        <v>114</v>
      </c>
      <c r="B164" s="133" t="s">
        <v>105</v>
      </c>
      <c r="C164" s="133" t="s">
        <v>10728</v>
      </c>
      <c r="D164" s="116">
        <f t="shared" ref="D164:D165" si="10">10</f>
        <v>10</v>
      </c>
      <c r="E164" s="528">
        <f t="shared" si="9"/>
        <v>10</v>
      </c>
      <c r="F164" s="338" t="s">
        <v>114</v>
      </c>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5" customHeight="1">
      <c r="A165" s="134" t="s">
        <v>114</v>
      </c>
      <c r="B165" s="133" t="s">
        <v>105</v>
      </c>
      <c r="C165" s="133" t="s">
        <v>10729</v>
      </c>
      <c r="D165" s="116">
        <f t="shared" si="10"/>
        <v>10</v>
      </c>
      <c r="E165" s="528">
        <f t="shared" si="9"/>
        <v>10</v>
      </c>
      <c r="F165" s="338" t="s">
        <v>114</v>
      </c>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5" customHeight="1">
      <c r="A166" s="133" t="s">
        <v>139</v>
      </c>
      <c r="B166" s="133" t="s">
        <v>105</v>
      </c>
      <c r="C166" s="99" t="s">
        <v>10730</v>
      </c>
      <c r="D166" s="116">
        <v>20</v>
      </c>
      <c r="E166" s="528">
        <v>20</v>
      </c>
      <c r="F166" s="338" t="s">
        <v>916</v>
      </c>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5" customHeight="1">
      <c r="A167" s="133" t="s">
        <v>139</v>
      </c>
      <c r="B167" s="133" t="s">
        <v>105</v>
      </c>
      <c r="C167" s="99" t="s">
        <v>10731</v>
      </c>
      <c r="D167" s="116">
        <v>30</v>
      </c>
      <c r="E167" s="528">
        <f t="shared" ref="E167:E168" si="11">D167</f>
        <v>30</v>
      </c>
      <c r="F167" s="338" t="s">
        <v>916</v>
      </c>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5" customHeight="1">
      <c r="A168" s="134" t="s">
        <v>6669</v>
      </c>
      <c r="B168" s="133" t="s">
        <v>105</v>
      </c>
      <c r="C168" s="133" t="s">
        <v>10732</v>
      </c>
      <c r="D168" s="116">
        <f>30</f>
        <v>30</v>
      </c>
      <c r="E168" s="528">
        <f t="shared" si="11"/>
        <v>30</v>
      </c>
      <c r="F168" s="338" t="s">
        <v>931</v>
      </c>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5" customHeight="1">
      <c r="A169" s="134" t="s">
        <v>6669</v>
      </c>
      <c r="B169" s="133" t="s">
        <v>105</v>
      </c>
      <c r="C169" s="133" t="s">
        <v>10733</v>
      </c>
      <c r="D169" s="116">
        <f t="shared" ref="D169:D176" si="12">10</f>
        <v>10</v>
      </c>
      <c r="E169" s="528">
        <f>10/2</f>
        <v>5</v>
      </c>
      <c r="F169" s="338" t="s">
        <v>931</v>
      </c>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5" customHeight="1">
      <c r="A170" s="134" t="s">
        <v>6669</v>
      </c>
      <c r="B170" s="133" t="s">
        <v>105</v>
      </c>
      <c r="C170" s="133" t="s">
        <v>10734</v>
      </c>
      <c r="D170" s="116">
        <f t="shared" si="12"/>
        <v>10</v>
      </c>
      <c r="E170" s="528">
        <f>D170</f>
        <v>10</v>
      </c>
      <c r="F170" s="338" t="s">
        <v>931</v>
      </c>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5" customHeight="1">
      <c r="A171" s="134" t="s">
        <v>6669</v>
      </c>
      <c r="B171" s="133" t="s">
        <v>105</v>
      </c>
      <c r="C171" s="133" t="s">
        <v>10735</v>
      </c>
      <c r="D171" s="116">
        <f t="shared" si="12"/>
        <v>10</v>
      </c>
      <c r="E171" s="528">
        <f t="shared" ref="E171:E174" si="13">D171/2</f>
        <v>5</v>
      </c>
      <c r="F171" s="338" t="s">
        <v>931</v>
      </c>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5" customHeight="1">
      <c r="A172" s="134" t="s">
        <v>6669</v>
      </c>
      <c r="B172" s="133" t="s">
        <v>105</v>
      </c>
      <c r="C172" s="133" t="s">
        <v>10736</v>
      </c>
      <c r="D172" s="116">
        <f t="shared" si="12"/>
        <v>10</v>
      </c>
      <c r="E172" s="528">
        <f t="shared" si="13"/>
        <v>5</v>
      </c>
      <c r="F172" s="338" t="s">
        <v>931</v>
      </c>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5" customHeight="1">
      <c r="A173" s="134" t="s">
        <v>6669</v>
      </c>
      <c r="B173" s="133" t="s">
        <v>105</v>
      </c>
      <c r="C173" s="133" t="s">
        <v>10737</v>
      </c>
      <c r="D173" s="116">
        <f t="shared" si="12"/>
        <v>10</v>
      </c>
      <c r="E173" s="528">
        <f t="shared" si="13"/>
        <v>5</v>
      </c>
      <c r="F173" s="338" t="s">
        <v>931</v>
      </c>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5" customHeight="1">
      <c r="A174" s="134" t="s">
        <v>6669</v>
      </c>
      <c r="B174" s="133" t="s">
        <v>105</v>
      </c>
      <c r="C174" s="133" t="s">
        <v>10738</v>
      </c>
      <c r="D174" s="116">
        <f t="shared" si="12"/>
        <v>10</v>
      </c>
      <c r="E174" s="528">
        <f t="shared" si="13"/>
        <v>5</v>
      </c>
      <c r="F174" s="338" t="s">
        <v>931</v>
      </c>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5" customHeight="1">
      <c r="A175" s="134" t="s">
        <v>6669</v>
      </c>
      <c r="B175" s="133" t="s">
        <v>105</v>
      </c>
      <c r="C175" s="133" t="s">
        <v>10739</v>
      </c>
      <c r="D175" s="116">
        <f t="shared" si="12"/>
        <v>10</v>
      </c>
      <c r="E175" s="528">
        <f t="shared" ref="E175:E176" si="14">D175</f>
        <v>10</v>
      </c>
      <c r="F175" s="338" t="s">
        <v>931</v>
      </c>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5" customHeight="1">
      <c r="A176" s="134" t="s">
        <v>6669</v>
      </c>
      <c r="B176" s="133" t="s">
        <v>105</v>
      </c>
      <c r="C176" s="133" t="s">
        <v>10740</v>
      </c>
      <c r="D176" s="116">
        <f t="shared" si="12"/>
        <v>10</v>
      </c>
      <c r="E176" s="528">
        <f t="shared" si="14"/>
        <v>10</v>
      </c>
      <c r="F176" s="338" t="s">
        <v>931</v>
      </c>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5" customHeight="1">
      <c r="A177" s="134" t="s">
        <v>6669</v>
      </c>
      <c r="B177" s="134" t="s">
        <v>105</v>
      </c>
      <c r="C177" s="134" t="s">
        <v>10741</v>
      </c>
      <c r="D177" s="116">
        <v>30</v>
      </c>
      <c r="E177" s="528">
        <v>30</v>
      </c>
      <c r="F177" s="338" t="s">
        <v>931</v>
      </c>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5" customHeight="1">
      <c r="A178" s="134" t="s">
        <v>6669</v>
      </c>
      <c r="B178" s="134" t="s">
        <v>105</v>
      </c>
      <c r="C178" s="134" t="s">
        <v>10742</v>
      </c>
      <c r="D178" s="116">
        <v>30</v>
      </c>
      <c r="E178" s="528">
        <v>30</v>
      </c>
      <c r="F178" s="338" t="s">
        <v>931</v>
      </c>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5" customHeight="1">
      <c r="A179" s="134" t="s">
        <v>7245</v>
      </c>
      <c r="B179" s="133" t="s">
        <v>105</v>
      </c>
      <c r="C179" s="133" t="s">
        <v>10743</v>
      </c>
      <c r="D179" s="100">
        <v>30</v>
      </c>
      <c r="E179" s="528">
        <f>D179</f>
        <v>30</v>
      </c>
      <c r="F179" s="338" t="s">
        <v>952</v>
      </c>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5" customHeight="1">
      <c r="A180" s="134" t="s">
        <v>7245</v>
      </c>
      <c r="B180" s="133" t="s">
        <v>105</v>
      </c>
      <c r="C180" s="133" t="s">
        <v>10744</v>
      </c>
      <c r="D180" s="116" t="s">
        <v>10745</v>
      </c>
      <c r="E180" s="528">
        <v>50</v>
      </c>
      <c r="F180" s="338" t="s">
        <v>952</v>
      </c>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5" customHeight="1">
      <c r="A181" s="134" t="s">
        <v>7245</v>
      </c>
      <c r="B181" s="133" t="s">
        <v>105</v>
      </c>
      <c r="C181" s="134" t="s">
        <v>10741</v>
      </c>
      <c r="D181" s="116">
        <v>30</v>
      </c>
      <c r="E181" s="528">
        <v>30</v>
      </c>
      <c r="F181" s="338" t="s">
        <v>952</v>
      </c>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5" customHeight="1">
      <c r="A182" s="134" t="s">
        <v>7245</v>
      </c>
      <c r="B182" s="133" t="s">
        <v>105</v>
      </c>
      <c r="C182" s="134" t="s">
        <v>10742</v>
      </c>
      <c r="D182" s="116">
        <v>30</v>
      </c>
      <c r="E182" s="528">
        <v>30</v>
      </c>
      <c r="F182" s="338" t="s">
        <v>952</v>
      </c>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5" customHeight="1">
      <c r="A183" s="134" t="s">
        <v>6722</v>
      </c>
      <c r="B183" s="133" t="s">
        <v>105</v>
      </c>
      <c r="C183" s="133" t="s">
        <v>10746</v>
      </c>
      <c r="D183" s="116">
        <v>30</v>
      </c>
      <c r="E183" s="528">
        <v>30</v>
      </c>
      <c r="F183" s="338" t="s">
        <v>104</v>
      </c>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5" customHeight="1">
      <c r="A184" s="134" t="s">
        <v>132</v>
      </c>
      <c r="B184" s="133" t="s">
        <v>105</v>
      </c>
      <c r="C184" s="133" t="s">
        <v>10747</v>
      </c>
      <c r="D184" s="100">
        <v>30</v>
      </c>
      <c r="E184" s="528">
        <f>D184</f>
        <v>30</v>
      </c>
      <c r="F184" s="338" t="s">
        <v>132</v>
      </c>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5" customHeight="1">
      <c r="A185" s="134" t="s">
        <v>132</v>
      </c>
      <c r="B185" s="133" t="s">
        <v>105</v>
      </c>
      <c r="C185" s="133" t="s">
        <v>10748</v>
      </c>
      <c r="D185" s="116">
        <v>10</v>
      </c>
      <c r="E185" s="528">
        <f t="shared" ref="E185:E186" si="15">1*10</f>
        <v>10</v>
      </c>
      <c r="F185" s="338" t="s">
        <v>132</v>
      </c>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5" customHeight="1">
      <c r="A186" s="134" t="s">
        <v>132</v>
      </c>
      <c r="B186" s="133" t="s">
        <v>105</v>
      </c>
      <c r="C186" s="133" t="s">
        <v>10749</v>
      </c>
      <c r="D186" s="116">
        <v>10</v>
      </c>
      <c r="E186" s="528">
        <f t="shared" si="15"/>
        <v>10</v>
      </c>
      <c r="F186" s="338" t="s">
        <v>132</v>
      </c>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5" customHeight="1">
      <c r="A187" s="134" t="s">
        <v>7262</v>
      </c>
      <c r="B187" s="133" t="s">
        <v>105</v>
      </c>
      <c r="C187" s="133" t="s">
        <v>10750</v>
      </c>
      <c r="D187" s="100">
        <v>30</v>
      </c>
      <c r="E187" s="528">
        <f>D187</f>
        <v>30</v>
      </c>
      <c r="F187" s="338" t="s">
        <v>971</v>
      </c>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5" customHeight="1">
      <c r="A188" s="134" t="s">
        <v>7262</v>
      </c>
      <c r="B188" s="133" t="s">
        <v>8972</v>
      </c>
      <c r="C188" s="133" t="s">
        <v>10751</v>
      </c>
      <c r="D188" s="116">
        <v>30</v>
      </c>
      <c r="E188" s="528">
        <v>30</v>
      </c>
      <c r="F188" s="338" t="s">
        <v>971</v>
      </c>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5" customHeight="1">
      <c r="A189" s="134" t="s">
        <v>7628</v>
      </c>
      <c r="B189" s="133" t="s">
        <v>105</v>
      </c>
      <c r="C189" s="133" t="s">
        <v>10752</v>
      </c>
      <c r="D189" s="100">
        <v>50</v>
      </c>
      <c r="E189" s="528">
        <f t="shared" ref="E189:E191" si="16">D189</f>
        <v>50</v>
      </c>
      <c r="F189" s="338" t="s">
        <v>124</v>
      </c>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5" customHeight="1">
      <c r="A190" s="134" t="s">
        <v>7628</v>
      </c>
      <c r="B190" s="133" t="s">
        <v>105</v>
      </c>
      <c r="C190" s="133" t="s">
        <v>10744</v>
      </c>
      <c r="D190" s="116" t="s">
        <v>10753</v>
      </c>
      <c r="E190" s="528" t="str">
        <f t="shared" si="16"/>
        <v>1*10</v>
      </c>
      <c r="F190" s="338" t="s">
        <v>124</v>
      </c>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5" customHeight="1">
      <c r="A191" s="134" t="s">
        <v>7628</v>
      </c>
      <c r="B191" s="133" t="s">
        <v>105</v>
      </c>
      <c r="C191" s="133" t="s">
        <v>10754</v>
      </c>
      <c r="D191" s="100">
        <v>50</v>
      </c>
      <c r="E191" s="528">
        <f t="shared" si="16"/>
        <v>50</v>
      </c>
      <c r="F191" s="338" t="s">
        <v>124</v>
      </c>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5" customHeight="1">
      <c r="A192" s="134" t="s">
        <v>7263</v>
      </c>
      <c r="B192" s="133" t="s">
        <v>105</v>
      </c>
      <c r="C192" s="133" t="s">
        <v>10755</v>
      </c>
      <c r="D192" s="100">
        <v>10</v>
      </c>
      <c r="E192" s="528">
        <v>10</v>
      </c>
      <c r="F192" s="338" t="s">
        <v>125</v>
      </c>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5" customHeight="1">
      <c r="A193" s="134" t="s">
        <v>7263</v>
      </c>
      <c r="B193" s="133" t="s">
        <v>968</v>
      </c>
      <c r="C193" s="133" t="s">
        <v>10756</v>
      </c>
      <c r="D193" s="116">
        <v>8</v>
      </c>
      <c r="E193" s="528">
        <v>8</v>
      </c>
      <c r="F193" s="338" t="s">
        <v>125</v>
      </c>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5" customHeight="1">
      <c r="A194" s="134" t="s">
        <v>7263</v>
      </c>
      <c r="B194" s="133" t="s">
        <v>2438</v>
      </c>
      <c r="C194" s="133" t="s">
        <v>10757</v>
      </c>
      <c r="D194" s="116">
        <v>8</v>
      </c>
      <c r="E194" s="528">
        <v>8</v>
      </c>
      <c r="F194" s="338" t="s">
        <v>125</v>
      </c>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5" customHeight="1">
      <c r="A195" s="134" t="s">
        <v>7263</v>
      </c>
      <c r="B195" s="133" t="s">
        <v>968</v>
      </c>
      <c r="C195" s="133" t="s">
        <v>10758</v>
      </c>
      <c r="D195" s="116">
        <v>8</v>
      </c>
      <c r="E195" s="528">
        <v>8</v>
      </c>
      <c r="F195" s="338" t="s">
        <v>125</v>
      </c>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5" customHeight="1">
      <c r="A196" s="134" t="s">
        <v>7263</v>
      </c>
      <c r="B196" s="133" t="s">
        <v>968</v>
      </c>
      <c r="C196" s="133" t="s">
        <v>10759</v>
      </c>
      <c r="D196" s="100">
        <v>8</v>
      </c>
      <c r="E196" s="528">
        <v>8</v>
      </c>
      <c r="F196" s="338" t="s">
        <v>125</v>
      </c>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5" customHeight="1">
      <c r="A197" s="134" t="s">
        <v>7263</v>
      </c>
      <c r="B197" s="133" t="s">
        <v>2438</v>
      </c>
      <c r="C197" s="133" t="s">
        <v>10760</v>
      </c>
      <c r="D197" s="116">
        <v>30</v>
      </c>
      <c r="E197" s="528">
        <v>30</v>
      </c>
      <c r="F197" s="338" t="s">
        <v>125</v>
      </c>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5" customHeight="1">
      <c r="A198" s="134" t="s">
        <v>7263</v>
      </c>
      <c r="B198" s="133" t="s">
        <v>2441</v>
      </c>
      <c r="C198" s="133" t="s">
        <v>10744</v>
      </c>
      <c r="D198" s="116" t="s">
        <v>10761</v>
      </c>
      <c r="E198" s="528">
        <v>20</v>
      </c>
      <c r="F198" s="338" t="s">
        <v>125</v>
      </c>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5" customHeight="1">
      <c r="A199" s="134" t="s">
        <v>7266</v>
      </c>
      <c r="B199" s="99" t="s">
        <v>105</v>
      </c>
      <c r="C199" s="133" t="s">
        <v>10762</v>
      </c>
      <c r="D199" s="116">
        <v>30</v>
      </c>
      <c r="E199" s="528">
        <v>30</v>
      </c>
      <c r="F199" s="338" t="s">
        <v>118</v>
      </c>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5" customHeight="1">
      <c r="A200" s="134" t="s">
        <v>7266</v>
      </c>
      <c r="B200" s="99" t="s">
        <v>105</v>
      </c>
      <c r="C200" s="133" t="s">
        <v>10763</v>
      </c>
      <c r="D200" s="116" t="s">
        <v>10764</v>
      </c>
      <c r="E200" s="528">
        <v>30</v>
      </c>
      <c r="F200" s="338" t="s">
        <v>118</v>
      </c>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5" customHeight="1">
      <c r="A201" s="134" t="s">
        <v>7266</v>
      </c>
      <c r="B201" s="99" t="s">
        <v>105</v>
      </c>
      <c r="C201" s="133" t="s">
        <v>10765</v>
      </c>
      <c r="D201" s="116">
        <v>8</v>
      </c>
      <c r="E201" s="528">
        <v>8</v>
      </c>
      <c r="F201" s="338" t="s">
        <v>118</v>
      </c>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5" customHeight="1">
      <c r="A202" s="134" t="s">
        <v>7266</v>
      </c>
      <c r="B202" s="99" t="s">
        <v>105</v>
      </c>
      <c r="C202" s="133" t="s">
        <v>10766</v>
      </c>
      <c r="D202" s="116">
        <v>8</v>
      </c>
      <c r="E202" s="528">
        <v>8</v>
      </c>
      <c r="F202" s="338" t="s">
        <v>118</v>
      </c>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5" customHeight="1">
      <c r="A203" s="134" t="s">
        <v>7266</v>
      </c>
      <c r="B203" s="99" t="s">
        <v>105</v>
      </c>
      <c r="C203" s="133" t="s">
        <v>10767</v>
      </c>
      <c r="D203" s="116">
        <v>8</v>
      </c>
      <c r="E203" s="528">
        <v>8</v>
      </c>
      <c r="F203" s="338" t="s">
        <v>118</v>
      </c>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5" customHeight="1">
      <c r="A204" s="134" t="s">
        <v>6796</v>
      </c>
      <c r="B204" s="133" t="s">
        <v>105</v>
      </c>
      <c r="C204" s="133" t="s">
        <v>10743</v>
      </c>
      <c r="D204" s="100">
        <v>30</v>
      </c>
      <c r="E204" s="528">
        <f>D204</f>
        <v>30</v>
      </c>
      <c r="F204" s="338" t="s">
        <v>126</v>
      </c>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5" customHeight="1">
      <c r="A205" s="134" t="s">
        <v>6796</v>
      </c>
      <c r="B205" s="133" t="s">
        <v>105</v>
      </c>
      <c r="C205" s="133" t="s">
        <v>10744</v>
      </c>
      <c r="D205" s="116" t="s">
        <v>10761</v>
      </c>
      <c r="E205" s="528">
        <v>20</v>
      </c>
      <c r="F205" s="338" t="s">
        <v>126</v>
      </c>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5" customHeight="1">
      <c r="A206" s="134" t="s">
        <v>6796</v>
      </c>
      <c r="B206" s="133" t="s">
        <v>105</v>
      </c>
      <c r="C206" s="134" t="s">
        <v>10741</v>
      </c>
      <c r="D206" s="116">
        <v>30</v>
      </c>
      <c r="E206" s="528">
        <v>30</v>
      </c>
      <c r="F206" s="338" t="s">
        <v>126</v>
      </c>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5" customHeight="1">
      <c r="A207" s="134" t="s">
        <v>6796</v>
      </c>
      <c r="B207" s="133" t="s">
        <v>105</v>
      </c>
      <c r="C207" s="134" t="s">
        <v>10742</v>
      </c>
      <c r="D207" s="116">
        <v>30</v>
      </c>
      <c r="E207" s="528">
        <v>30</v>
      </c>
      <c r="F207" s="338" t="s">
        <v>126</v>
      </c>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5" customHeight="1">
      <c r="A208" s="134" t="s">
        <v>127</v>
      </c>
      <c r="B208" s="133" t="s">
        <v>3753</v>
      </c>
      <c r="C208" s="133" t="s">
        <v>10768</v>
      </c>
      <c r="D208" s="100">
        <v>100</v>
      </c>
      <c r="E208" s="528">
        <v>100</v>
      </c>
      <c r="F208" s="338" t="s">
        <v>127</v>
      </c>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5" customHeight="1">
      <c r="A209" s="134" t="s">
        <v>9232</v>
      </c>
      <c r="B209" s="133" t="s">
        <v>105</v>
      </c>
      <c r="C209" s="133" t="s">
        <v>10769</v>
      </c>
      <c r="D209" s="100">
        <v>30</v>
      </c>
      <c r="E209" s="528">
        <f>D209</f>
        <v>30</v>
      </c>
      <c r="F209" s="338" t="s">
        <v>119</v>
      </c>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5" customHeight="1">
      <c r="A210" s="134" t="s">
        <v>9232</v>
      </c>
      <c r="B210" s="133" t="s">
        <v>105</v>
      </c>
      <c r="C210" s="133" t="s">
        <v>10744</v>
      </c>
      <c r="D210" s="116">
        <f>1*10</f>
        <v>10</v>
      </c>
      <c r="E210" s="528">
        <f>D210/2</f>
        <v>5</v>
      </c>
      <c r="F210" s="338" t="s">
        <v>119</v>
      </c>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5" customHeight="1">
      <c r="A211" s="134" t="s">
        <v>9232</v>
      </c>
      <c r="B211" s="133" t="s">
        <v>105</v>
      </c>
      <c r="C211" s="133" t="s">
        <v>10751</v>
      </c>
      <c r="D211" s="116">
        <v>30</v>
      </c>
      <c r="E211" s="528">
        <f>D211</f>
        <v>30</v>
      </c>
      <c r="F211" s="338" t="s">
        <v>119</v>
      </c>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5" customHeight="1">
      <c r="A212" s="134" t="s">
        <v>7428</v>
      </c>
      <c r="B212" s="586" t="s">
        <v>105</v>
      </c>
      <c r="C212" s="133" t="s">
        <v>10770</v>
      </c>
      <c r="D212" s="100" t="s">
        <v>10771</v>
      </c>
      <c r="E212" s="528">
        <v>16</v>
      </c>
      <c r="F212" s="338" t="s">
        <v>129</v>
      </c>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5.75" customHeight="1">
      <c r="A213" s="134" t="s">
        <v>110</v>
      </c>
      <c r="B213" s="133" t="s">
        <v>105</v>
      </c>
      <c r="C213" s="133" t="s">
        <v>10754</v>
      </c>
      <c r="D213" s="100">
        <v>50</v>
      </c>
      <c r="E213" s="528">
        <f>D213</f>
        <v>50</v>
      </c>
      <c r="F213" s="699" t="s">
        <v>110</v>
      </c>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5.75" customHeight="1">
      <c r="A214" s="134" t="s">
        <v>110</v>
      </c>
      <c r="B214" s="133" t="s">
        <v>105</v>
      </c>
      <c r="C214" s="133" t="s">
        <v>10772</v>
      </c>
      <c r="D214" s="116">
        <v>100</v>
      </c>
      <c r="E214" s="528">
        <v>100</v>
      </c>
      <c r="F214" s="699" t="s">
        <v>110</v>
      </c>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5.75" customHeight="1">
      <c r="A215" s="134" t="s">
        <v>110</v>
      </c>
      <c r="B215" s="133" t="s">
        <v>105</v>
      </c>
      <c r="C215" s="133" t="s">
        <v>10773</v>
      </c>
      <c r="D215" s="100">
        <v>20</v>
      </c>
      <c r="E215" s="528">
        <v>20</v>
      </c>
      <c r="F215" s="699" t="s">
        <v>110</v>
      </c>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5" customHeight="1">
      <c r="A216" s="134" t="s">
        <v>7639</v>
      </c>
      <c r="B216" s="133" t="s">
        <v>105</v>
      </c>
      <c r="C216" s="133" t="s">
        <v>10774</v>
      </c>
      <c r="D216" s="100">
        <v>30</v>
      </c>
      <c r="E216" s="528">
        <v>30</v>
      </c>
      <c r="F216" s="338" t="s">
        <v>1005</v>
      </c>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5" customHeight="1">
      <c r="A217" s="134" t="s">
        <v>7639</v>
      </c>
      <c r="B217" s="133" t="s">
        <v>105</v>
      </c>
      <c r="C217" s="133" t="s">
        <v>10741</v>
      </c>
      <c r="D217" s="116">
        <v>30</v>
      </c>
      <c r="E217" s="528">
        <v>30</v>
      </c>
      <c r="F217" s="338" t="s">
        <v>1005</v>
      </c>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5" customHeight="1">
      <c r="A218" s="134" t="s">
        <v>7639</v>
      </c>
      <c r="B218" s="133" t="s">
        <v>105</v>
      </c>
      <c r="C218" s="133" t="s">
        <v>10742</v>
      </c>
      <c r="D218" s="116">
        <v>30</v>
      </c>
      <c r="E218" s="528">
        <v>30</v>
      </c>
      <c r="F218" s="338" t="s">
        <v>1005</v>
      </c>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5" customHeight="1">
      <c r="A219" s="302" t="s">
        <v>130</v>
      </c>
      <c r="B219" s="301" t="s">
        <v>105</v>
      </c>
      <c r="C219" s="301" t="s">
        <v>10775</v>
      </c>
      <c r="D219" s="100">
        <v>30</v>
      </c>
      <c r="E219" s="528">
        <v>30</v>
      </c>
      <c r="F219" s="338" t="s">
        <v>130</v>
      </c>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5" customHeight="1">
      <c r="A220" s="302" t="s">
        <v>130</v>
      </c>
      <c r="B220" s="301" t="s">
        <v>105</v>
      </c>
      <c r="C220" s="301" t="s">
        <v>10776</v>
      </c>
      <c r="D220" s="116">
        <v>10</v>
      </c>
      <c r="E220" s="528">
        <v>10</v>
      </c>
      <c r="F220" s="338" t="s">
        <v>130</v>
      </c>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5" customHeight="1">
      <c r="A221" s="134" t="s">
        <v>138</v>
      </c>
      <c r="B221" s="133" t="s">
        <v>105</v>
      </c>
      <c r="C221" s="133" t="s">
        <v>10741</v>
      </c>
      <c r="D221" s="116">
        <v>30</v>
      </c>
      <c r="E221" s="528">
        <v>30</v>
      </c>
      <c r="F221" s="338" t="s">
        <v>138</v>
      </c>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5" customHeight="1">
      <c r="A222" s="134" t="s">
        <v>138</v>
      </c>
      <c r="B222" s="133" t="s">
        <v>105</v>
      </c>
      <c r="C222" s="133" t="s">
        <v>10742</v>
      </c>
      <c r="D222" s="116">
        <v>30</v>
      </c>
      <c r="E222" s="528">
        <v>30</v>
      </c>
      <c r="F222" s="338" t="s">
        <v>138</v>
      </c>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5" customHeight="1">
      <c r="A223" s="134" t="s">
        <v>111</v>
      </c>
      <c r="B223" s="133" t="s">
        <v>105</v>
      </c>
      <c r="C223" s="133" t="s">
        <v>10777</v>
      </c>
      <c r="D223" s="116">
        <v>60</v>
      </c>
      <c r="E223" s="528">
        <v>60</v>
      </c>
      <c r="F223" s="338" t="s">
        <v>111</v>
      </c>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5" customHeight="1">
      <c r="A224" s="134" t="s">
        <v>111</v>
      </c>
      <c r="B224" s="133" t="s">
        <v>105</v>
      </c>
      <c r="C224" s="133" t="s">
        <v>10778</v>
      </c>
      <c r="D224" s="116">
        <v>10</v>
      </c>
      <c r="E224" s="528">
        <v>10</v>
      </c>
      <c r="F224" s="338" t="s">
        <v>111</v>
      </c>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5" customHeight="1">
      <c r="A225" s="134" t="s">
        <v>111</v>
      </c>
      <c r="B225" s="133" t="s">
        <v>105</v>
      </c>
      <c r="C225" s="133" t="s">
        <v>10779</v>
      </c>
      <c r="D225" s="116">
        <v>10</v>
      </c>
      <c r="E225" s="528">
        <v>10</v>
      </c>
      <c r="F225" s="338" t="s">
        <v>111</v>
      </c>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5" customHeight="1">
      <c r="A226" s="134" t="s">
        <v>111</v>
      </c>
      <c r="B226" s="133" t="s">
        <v>105</v>
      </c>
      <c r="C226" s="133" t="s">
        <v>10780</v>
      </c>
      <c r="D226" s="116">
        <v>10</v>
      </c>
      <c r="E226" s="528">
        <v>10</v>
      </c>
      <c r="F226" s="338" t="s">
        <v>111</v>
      </c>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5" customHeight="1">
      <c r="A227" s="134" t="s">
        <v>120</v>
      </c>
      <c r="B227" s="133" t="s">
        <v>105</v>
      </c>
      <c r="C227" s="133" t="s">
        <v>10781</v>
      </c>
      <c r="D227" s="100">
        <v>30</v>
      </c>
      <c r="E227" s="528">
        <v>30</v>
      </c>
      <c r="F227" s="338" t="s">
        <v>120</v>
      </c>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5" customHeight="1">
      <c r="A228" s="134" t="s">
        <v>6907</v>
      </c>
      <c r="B228" s="134" t="s">
        <v>105</v>
      </c>
      <c r="C228" s="134" t="s">
        <v>10782</v>
      </c>
      <c r="D228" s="116">
        <v>60</v>
      </c>
      <c r="E228" s="116">
        <v>60</v>
      </c>
      <c r="F228" s="338" t="s">
        <v>113</v>
      </c>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15" customHeight="1">
      <c r="A229" s="134" t="s">
        <v>6907</v>
      </c>
      <c r="B229" s="134" t="s">
        <v>105</v>
      </c>
      <c r="C229" s="134" t="s">
        <v>10783</v>
      </c>
      <c r="D229" s="116">
        <v>60</v>
      </c>
      <c r="E229" s="116">
        <v>60</v>
      </c>
      <c r="F229" s="338" t="s">
        <v>113</v>
      </c>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15" customHeight="1">
      <c r="A230" s="134" t="s">
        <v>133</v>
      </c>
      <c r="B230" s="133" t="s">
        <v>10400</v>
      </c>
      <c r="C230" s="133" t="s">
        <v>10784</v>
      </c>
      <c r="D230" s="116">
        <v>30</v>
      </c>
      <c r="E230" s="528">
        <v>30</v>
      </c>
      <c r="F230" s="338" t="s">
        <v>133</v>
      </c>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15" customHeight="1">
      <c r="A231" s="302" t="s">
        <v>133</v>
      </c>
      <c r="B231" s="301" t="s">
        <v>10400</v>
      </c>
      <c r="C231" s="301" t="s">
        <v>10785</v>
      </c>
      <c r="D231" s="304" t="s">
        <v>10786</v>
      </c>
      <c r="E231" s="513">
        <v>90</v>
      </c>
      <c r="F231" s="338" t="s">
        <v>133</v>
      </c>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15" customHeight="1">
      <c r="A232" s="134" t="s">
        <v>133</v>
      </c>
      <c r="B232" s="133" t="s">
        <v>10400</v>
      </c>
      <c r="C232" s="133" t="s">
        <v>10787</v>
      </c>
      <c r="D232" s="116">
        <v>8</v>
      </c>
      <c r="E232" s="528">
        <v>8</v>
      </c>
      <c r="F232" s="338" t="s">
        <v>133</v>
      </c>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15" customHeight="1">
      <c r="A233" s="134" t="s">
        <v>133</v>
      </c>
      <c r="B233" s="133" t="s">
        <v>10400</v>
      </c>
      <c r="C233" s="133" t="s">
        <v>10788</v>
      </c>
      <c r="D233" s="116">
        <v>8</v>
      </c>
      <c r="E233" s="528">
        <v>8</v>
      </c>
      <c r="F233" s="338" t="s">
        <v>133</v>
      </c>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15" customHeight="1">
      <c r="A234" s="134" t="s">
        <v>133</v>
      </c>
      <c r="B234" s="133" t="s">
        <v>10400</v>
      </c>
      <c r="C234" s="133" t="s">
        <v>10789</v>
      </c>
      <c r="D234" s="116">
        <v>8</v>
      </c>
      <c r="E234" s="528">
        <v>8</v>
      </c>
      <c r="F234" s="338" t="s">
        <v>133</v>
      </c>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15" customHeight="1">
      <c r="A235" s="134" t="s">
        <v>133</v>
      </c>
      <c r="B235" s="133" t="s">
        <v>10400</v>
      </c>
      <c r="C235" s="133" t="s">
        <v>10790</v>
      </c>
      <c r="D235" s="116">
        <v>16</v>
      </c>
      <c r="E235" s="528">
        <v>16</v>
      </c>
      <c r="F235" s="338" t="s">
        <v>133</v>
      </c>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15" customHeight="1">
      <c r="A236" s="134" t="s">
        <v>1281</v>
      </c>
      <c r="B236" s="133" t="s">
        <v>105</v>
      </c>
      <c r="C236" s="133" t="s">
        <v>10791</v>
      </c>
      <c r="D236" s="100">
        <v>8</v>
      </c>
      <c r="E236" s="528">
        <v>8</v>
      </c>
      <c r="F236" s="338" t="s">
        <v>134</v>
      </c>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15.75" customHeight="1"/>
    <row r="238" spans="1:26" ht="15" customHeight="1">
      <c r="A238" s="332" t="s">
        <v>169</v>
      </c>
      <c r="E238" s="1116">
        <f>SUM(E10:E236)</f>
        <v>5634</v>
      </c>
    </row>
    <row r="239" spans="1:26" ht="15.75" customHeight="1"/>
    <row r="240" spans="1:26" ht="15" customHeight="1">
      <c r="A240" s="1231" t="s">
        <v>1156</v>
      </c>
      <c r="B240" s="1232"/>
      <c r="C240" s="1232"/>
      <c r="D240" s="1232"/>
      <c r="E240" s="1232"/>
      <c r="F240" s="1232"/>
      <c r="G240" s="1232"/>
      <c r="H240" s="1233"/>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40:H240"/>
    <mergeCell ref="A2:E2"/>
    <mergeCell ref="A4:E4"/>
    <mergeCell ref="A5:E5"/>
    <mergeCell ref="A6:E6"/>
    <mergeCell ref="A7:E7"/>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7" width="13.73046875" customWidth="1"/>
    <col min="8" max="8" width="8.265625" customWidth="1"/>
    <col min="9" max="9" width="9.1328125" customWidth="1"/>
    <col min="10" max="12" width="8" customWidth="1"/>
    <col min="13" max="13" width="8.265625" customWidth="1"/>
    <col min="14" max="25" width="8" customWidth="1"/>
  </cols>
  <sheetData>
    <row r="1" spans="1:25" ht="14.25">
      <c r="A1" s="64"/>
      <c r="B1" s="64"/>
      <c r="C1" s="65"/>
      <c r="D1" s="65"/>
      <c r="E1" s="65"/>
      <c r="F1" s="1"/>
      <c r="G1" s="1"/>
      <c r="H1" s="1"/>
    </row>
    <row r="2" spans="1:25" ht="15.75" customHeight="1">
      <c r="A2" s="1230" t="s">
        <v>10792</v>
      </c>
      <c r="B2" s="1227"/>
      <c r="C2" s="1227"/>
      <c r="D2" s="1227"/>
      <c r="E2" s="1227"/>
      <c r="F2" s="1227"/>
      <c r="G2" s="1227"/>
      <c r="H2" s="1227"/>
      <c r="I2" s="1227"/>
      <c r="J2" s="1227"/>
      <c r="K2" s="1227"/>
      <c r="L2" s="1228"/>
      <c r="M2" s="69"/>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17.25" customHeight="1">
      <c r="A4" s="1244" t="s">
        <v>10793</v>
      </c>
      <c r="B4" s="1227"/>
      <c r="C4" s="1227"/>
      <c r="D4" s="1227"/>
      <c r="E4" s="1227"/>
      <c r="F4" s="1227"/>
      <c r="G4" s="1227"/>
      <c r="H4" s="1227"/>
      <c r="I4" s="1227"/>
      <c r="J4" s="1227"/>
      <c r="K4" s="1227"/>
      <c r="L4" s="1228"/>
      <c r="M4" s="69"/>
      <c r="N4" s="69"/>
      <c r="O4" s="69"/>
      <c r="P4" s="69"/>
      <c r="Q4" s="69"/>
      <c r="R4" s="69"/>
      <c r="S4" s="69"/>
      <c r="T4" s="69"/>
      <c r="U4" s="69"/>
      <c r="V4" s="69"/>
      <c r="W4" s="69"/>
      <c r="X4" s="69"/>
      <c r="Y4" s="69"/>
    </row>
    <row r="5" spans="1:25" ht="16.5" customHeight="1">
      <c r="A5" s="1244" t="s">
        <v>10794</v>
      </c>
      <c r="B5" s="1227"/>
      <c r="C5" s="1227"/>
      <c r="D5" s="1227"/>
      <c r="E5" s="1227"/>
      <c r="F5" s="1227"/>
      <c r="G5" s="1227"/>
      <c r="H5" s="1227"/>
      <c r="I5" s="1227"/>
      <c r="J5" s="1227"/>
      <c r="K5" s="1227"/>
      <c r="L5" s="1228"/>
      <c r="M5" s="69"/>
      <c r="N5" s="69"/>
      <c r="O5" s="69"/>
      <c r="P5" s="69"/>
      <c r="Q5" s="69"/>
      <c r="R5" s="69"/>
      <c r="S5" s="69"/>
      <c r="T5" s="69"/>
      <c r="U5" s="69"/>
      <c r="V5" s="69"/>
      <c r="W5" s="69"/>
      <c r="X5" s="69"/>
      <c r="Y5" s="69"/>
    </row>
    <row r="6" spans="1:25" ht="17.25" customHeight="1">
      <c r="A6" s="1270" t="s">
        <v>7347</v>
      </c>
      <c r="B6" s="1227"/>
      <c r="C6" s="1227"/>
      <c r="D6" s="1227"/>
      <c r="E6" s="1227"/>
      <c r="F6" s="1227"/>
      <c r="G6" s="1227"/>
      <c r="H6" s="1227"/>
      <c r="I6" s="1227"/>
      <c r="J6" s="1227"/>
      <c r="K6" s="1227"/>
      <c r="L6" s="1228"/>
      <c r="M6" s="69"/>
      <c r="N6" s="69"/>
      <c r="O6" s="69"/>
      <c r="P6" s="69"/>
      <c r="Q6" s="69"/>
      <c r="R6" s="69"/>
      <c r="S6" s="69"/>
      <c r="T6" s="69"/>
      <c r="U6" s="69"/>
      <c r="V6" s="69"/>
      <c r="W6" s="69"/>
      <c r="X6" s="69"/>
      <c r="Y6" s="69"/>
    </row>
    <row r="7" spans="1:25" ht="17.25" customHeight="1">
      <c r="A7" s="1244" t="s">
        <v>7348</v>
      </c>
      <c r="B7" s="1227"/>
      <c r="C7" s="1227"/>
      <c r="D7" s="1227"/>
      <c r="E7" s="1227"/>
      <c r="F7" s="1227"/>
      <c r="G7" s="1227"/>
      <c r="H7" s="1227"/>
      <c r="I7" s="1227"/>
      <c r="J7" s="1227"/>
      <c r="K7" s="1227"/>
      <c r="L7" s="1228"/>
      <c r="M7" s="69"/>
      <c r="N7" s="69"/>
      <c r="O7" s="69"/>
      <c r="P7" s="69"/>
      <c r="Q7" s="69"/>
      <c r="R7" s="69"/>
      <c r="S7" s="69"/>
      <c r="T7" s="69"/>
      <c r="U7" s="69"/>
      <c r="V7" s="69"/>
      <c r="W7" s="69"/>
      <c r="X7" s="69"/>
      <c r="Y7" s="69"/>
    </row>
    <row r="8" spans="1:25" ht="17.25" customHeight="1">
      <c r="A8" s="1244" t="s">
        <v>10795</v>
      </c>
      <c r="B8" s="1227"/>
      <c r="C8" s="1227"/>
      <c r="D8" s="1227"/>
      <c r="E8" s="1227"/>
      <c r="F8" s="1227"/>
      <c r="G8" s="1227"/>
      <c r="H8" s="1227"/>
      <c r="I8" s="1227"/>
      <c r="J8" s="1227"/>
      <c r="K8" s="1227"/>
      <c r="L8" s="1228"/>
      <c r="M8" s="69"/>
      <c r="N8" s="69"/>
      <c r="O8" s="69"/>
      <c r="P8" s="69"/>
      <c r="Q8" s="69"/>
      <c r="R8" s="69"/>
      <c r="S8" s="69"/>
      <c r="T8" s="69"/>
      <c r="U8" s="69"/>
      <c r="V8" s="69"/>
      <c r="W8" s="69"/>
      <c r="X8" s="69"/>
      <c r="Y8" s="69"/>
    </row>
    <row r="9" spans="1:25" ht="28.5" customHeight="1">
      <c r="A9" s="1244" t="s">
        <v>4873</v>
      </c>
      <c r="B9" s="1227"/>
      <c r="C9" s="1227"/>
      <c r="D9" s="1227"/>
      <c r="E9" s="1227"/>
      <c r="F9" s="1227"/>
      <c r="G9" s="1227"/>
      <c r="H9" s="1227"/>
      <c r="I9" s="1227"/>
      <c r="J9" s="1227"/>
      <c r="K9" s="1227"/>
      <c r="L9" s="1228"/>
      <c r="M9" s="69"/>
      <c r="N9" s="69"/>
      <c r="O9" s="69"/>
      <c r="P9" s="69"/>
      <c r="Q9" s="69"/>
      <c r="R9" s="69"/>
      <c r="S9" s="69"/>
      <c r="T9" s="69"/>
      <c r="U9" s="69"/>
      <c r="V9" s="69"/>
      <c r="W9" s="69"/>
      <c r="X9" s="69"/>
      <c r="Y9" s="69"/>
    </row>
    <row r="10" spans="1:25" ht="97.5" customHeight="1">
      <c r="A10" s="1258" t="s">
        <v>10796</v>
      </c>
      <c r="B10" s="1227"/>
      <c r="C10" s="1227"/>
      <c r="D10" s="1227"/>
      <c r="E10" s="1227"/>
      <c r="F10" s="1227"/>
      <c r="G10" s="1227"/>
      <c r="H10" s="1227"/>
      <c r="I10" s="1227"/>
      <c r="J10" s="1227"/>
      <c r="K10" s="1227"/>
      <c r="L10" s="1228"/>
      <c r="M10" s="69"/>
      <c r="N10" s="69"/>
      <c r="O10" s="69"/>
      <c r="P10" s="69"/>
      <c r="Q10" s="69"/>
      <c r="R10" s="69"/>
      <c r="S10" s="69"/>
      <c r="T10" s="69"/>
      <c r="U10" s="69"/>
      <c r="V10" s="69"/>
      <c r="W10" s="69"/>
      <c r="X10" s="69"/>
      <c r="Y10" s="69"/>
    </row>
    <row r="11" spans="1:25" ht="14.25">
      <c r="A11" s="77"/>
      <c r="B11" s="77"/>
      <c r="C11" s="78"/>
      <c r="D11" s="78"/>
      <c r="E11" s="78"/>
      <c r="F11" s="77"/>
      <c r="G11" s="77"/>
      <c r="H11" s="77"/>
      <c r="I11" s="69"/>
      <c r="J11" s="69"/>
      <c r="K11" s="69"/>
      <c r="L11" s="69"/>
      <c r="M11" s="69"/>
      <c r="N11" s="69"/>
      <c r="O11" s="69"/>
      <c r="P11" s="69"/>
      <c r="Q11" s="69"/>
      <c r="R11" s="69"/>
      <c r="S11" s="69"/>
      <c r="T11" s="69"/>
      <c r="U11" s="69"/>
      <c r="V11" s="69"/>
      <c r="W11" s="69"/>
      <c r="X11" s="69"/>
      <c r="Y11" s="69"/>
    </row>
    <row r="12" spans="1:25" ht="61.5" customHeight="1">
      <c r="A12" s="350" t="s">
        <v>6</v>
      </c>
      <c r="B12" s="350" t="s">
        <v>1214</v>
      </c>
      <c r="C12" s="350" t="s">
        <v>1215</v>
      </c>
      <c r="D12" s="350" t="s">
        <v>1216</v>
      </c>
      <c r="E12" s="350" t="s">
        <v>1217</v>
      </c>
      <c r="F12" s="83" t="s">
        <v>7</v>
      </c>
      <c r="G12" s="350" t="s">
        <v>1218</v>
      </c>
      <c r="H12" s="350" t="s">
        <v>1219</v>
      </c>
      <c r="I12" s="350" t="s">
        <v>1220</v>
      </c>
      <c r="J12" s="350" t="s">
        <v>10797</v>
      </c>
      <c r="K12" s="350" t="s">
        <v>1222</v>
      </c>
      <c r="L12" s="351" t="s">
        <v>210</v>
      </c>
      <c r="M12" s="336" t="s">
        <v>211</v>
      </c>
      <c r="N12" s="69"/>
      <c r="O12" s="69"/>
      <c r="P12" s="69"/>
      <c r="Q12" s="69"/>
      <c r="R12" s="69"/>
      <c r="S12" s="69"/>
      <c r="T12" s="69"/>
      <c r="U12" s="69"/>
      <c r="V12" s="69"/>
      <c r="W12" s="69"/>
      <c r="X12" s="69"/>
      <c r="Y12" s="69"/>
    </row>
    <row r="13" spans="1:25" ht="15.75" customHeight="1">
      <c r="A13" s="352" t="s">
        <v>5254</v>
      </c>
      <c r="B13" s="352" t="s">
        <v>10798</v>
      </c>
      <c r="C13" s="352" t="s">
        <v>10799</v>
      </c>
      <c r="D13" s="352" t="s">
        <v>1226</v>
      </c>
      <c r="E13" s="352" t="s">
        <v>5254</v>
      </c>
      <c r="F13" s="353" t="s">
        <v>51</v>
      </c>
      <c r="G13" s="352"/>
      <c r="H13" s="352">
        <v>2022</v>
      </c>
      <c r="I13" s="352">
        <v>2022</v>
      </c>
      <c r="J13" s="352">
        <v>5950</v>
      </c>
      <c r="K13" s="352">
        <v>100</v>
      </c>
      <c r="L13" s="355">
        <v>100</v>
      </c>
      <c r="M13" s="338" t="s">
        <v>5254</v>
      </c>
    </row>
    <row r="14" spans="1:25" ht="15.75" customHeight="1">
      <c r="A14" s="357" t="s">
        <v>2520</v>
      </c>
      <c r="B14" s="357" t="s">
        <v>10800</v>
      </c>
      <c r="C14" s="357" t="s">
        <v>10801</v>
      </c>
      <c r="D14" s="357" t="s">
        <v>1226</v>
      </c>
      <c r="E14" s="357" t="s">
        <v>10802</v>
      </c>
      <c r="F14" s="358" t="s">
        <v>51</v>
      </c>
      <c r="G14" s="357" t="s">
        <v>10803</v>
      </c>
      <c r="H14" s="357">
        <v>2021</v>
      </c>
      <c r="I14" s="357">
        <v>2021</v>
      </c>
      <c r="J14" s="357">
        <v>380000</v>
      </c>
      <c r="K14" s="357">
        <v>300</v>
      </c>
      <c r="L14" s="360">
        <f>K14/20*2</f>
        <v>30</v>
      </c>
      <c r="M14" s="338" t="s">
        <v>2520</v>
      </c>
    </row>
    <row r="15" spans="1:25" ht="15" customHeight="1">
      <c r="A15" s="357" t="s">
        <v>2520</v>
      </c>
      <c r="B15" s="357" t="s">
        <v>10804</v>
      </c>
      <c r="C15" s="357" t="s">
        <v>10805</v>
      </c>
      <c r="D15" s="357" t="s">
        <v>1226</v>
      </c>
      <c r="E15" s="357" t="s">
        <v>10806</v>
      </c>
      <c r="F15" s="358" t="s">
        <v>51</v>
      </c>
      <c r="G15" s="357" t="s">
        <v>10807</v>
      </c>
      <c r="H15" s="357">
        <v>2022</v>
      </c>
      <c r="I15" s="357">
        <v>2022</v>
      </c>
      <c r="J15" s="357">
        <v>200000</v>
      </c>
      <c r="K15" s="357">
        <v>300</v>
      </c>
      <c r="L15" s="360">
        <f>K15/10*2</f>
        <v>60</v>
      </c>
      <c r="M15" s="338" t="s">
        <v>2520</v>
      </c>
    </row>
    <row r="17" spans="1:12" ht="15" customHeight="1">
      <c r="A17" s="332" t="s">
        <v>169</v>
      </c>
      <c r="L17" s="374">
        <f>SUM(L13:L15)</f>
        <v>190</v>
      </c>
    </row>
    <row r="19" spans="1:12" ht="15" customHeight="1">
      <c r="A19" s="1231" t="s">
        <v>1156</v>
      </c>
      <c r="B19" s="1232"/>
      <c r="C19" s="1232"/>
      <c r="D19" s="1232"/>
      <c r="E19" s="1232"/>
      <c r="F19" s="1232"/>
      <c r="G19" s="1232"/>
      <c r="H19" s="1233"/>
    </row>
    <row r="21" spans="1:12" ht="15.75" customHeight="1"/>
    <row r="22" spans="1:12" ht="15.75" customHeight="1"/>
    <row r="23" spans="1:12" ht="15.75" customHeight="1"/>
    <row r="24" spans="1:12" ht="15.75" customHeight="1"/>
    <row r="25" spans="1:12" ht="15.75" customHeight="1"/>
    <row r="26" spans="1:12" ht="15.75" customHeight="1"/>
    <row r="27" spans="1:12" ht="15.75" customHeight="1"/>
    <row r="28" spans="1:12" ht="15.75" customHeight="1"/>
    <row r="29" spans="1:12" ht="15.75" customHeight="1"/>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19:H19"/>
    <mergeCell ref="A2:L2"/>
    <mergeCell ref="A4:L4"/>
    <mergeCell ref="A5:L5"/>
    <mergeCell ref="A6:L6"/>
    <mergeCell ref="A7:L7"/>
    <mergeCell ref="A8:L8"/>
    <mergeCell ref="A9:L9"/>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35.265625" customWidth="1"/>
    <col min="4" max="4" width="17.73046875" customWidth="1"/>
    <col min="5" max="5" width="26.3984375" customWidth="1"/>
    <col min="6" max="8" width="13.73046875" customWidth="1"/>
    <col min="9" max="25" width="8" customWidth="1"/>
  </cols>
  <sheetData>
    <row r="1" spans="1:25" ht="14.25">
      <c r="A1" s="64"/>
      <c r="B1" s="64"/>
      <c r="C1" s="65"/>
      <c r="D1" s="65"/>
      <c r="E1" s="65"/>
      <c r="F1" s="1"/>
      <c r="G1" s="1"/>
      <c r="H1" s="1"/>
    </row>
    <row r="2" spans="1:25" ht="15.75" customHeight="1">
      <c r="A2" s="1230" t="s">
        <v>10808</v>
      </c>
      <c r="B2" s="1227"/>
      <c r="C2" s="1227"/>
      <c r="D2" s="1227"/>
      <c r="E2" s="1228"/>
      <c r="F2" s="1114"/>
      <c r="G2" s="1114"/>
      <c r="H2" s="1114"/>
      <c r="I2" s="69"/>
      <c r="J2" s="69"/>
      <c r="K2" s="69"/>
      <c r="L2" s="69"/>
      <c r="M2" s="69"/>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21" customHeight="1">
      <c r="A4" s="1236" t="s">
        <v>10809</v>
      </c>
      <c r="B4" s="1227"/>
      <c r="C4" s="1227"/>
      <c r="D4" s="1227"/>
      <c r="E4" s="1228"/>
      <c r="F4" s="1114"/>
      <c r="G4" s="1114"/>
      <c r="H4" s="1114"/>
      <c r="I4" s="69"/>
      <c r="J4" s="69"/>
      <c r="K4" s="69"/>
      <c r="L4" s="69"/>
      <c r="M4" s="69"/>
      <c r="N4" s="69"/>
      <c r="O4" s="69"/>
      <c r="P4" s="69"/>
      <c r="Q4" s="69"/>
      <c r="R4" s="69"/>
      <c r="S4" s="69"/>
      <c r="T4" s="69"/>
      <c r="U4" s="69"/>
      <c r="V4" s="69"/>
      <c r="W4" s="69"/>
      <c r="X4" s="69"/>
      <c r="Y4" s="69"/>
    </row>
    <row r="5" spans="1:25" ht="28.5" customHeight="1">
      <c r="A5" s="1244" t="s">
        <v>10810</v>
      </c>
      <c r="B5" s="1227"/>
      <c r="C5" s="1227"/>
      <c r="D5" s="1227"/>
      <c r="E5" s="1228"/>
      <c r="F5" s="1114"/>
      <c r="G5" s="1114"/>
      <c r="H5" s="1114"/>
      <c r="I5" s="69"/>
      <c r="J5" s="69"/>
      <c r="K5" s="69"/>
      <c r="L5" s="69"/>
      <c r="M5" s="69"/>
      <c r="N5" s="69"/>
      <c r="O5" s="69"/>
      <c r="P5" s="69"/>
      <c r="Q5" s="69"/>
      <c r="R5" s="69"/>
      <c r="S5" s="69"/>
      <c r="T5" s="69"/>
      <c r="U5" s="69"/>
      <c r="V5" s="69"/>
      <c r="W5" s="69"/>
      <c r="X5" s="69"/>
      <c r="Y5" s="69"/>
    </row>
    <row r="6" spans="1:25" ht="39.75" customHeight="1">
      <c r="A6" s="1258" t="s">
        <v>10811</v>
      </c>
      <c r="B6" s="1227"/>
      <c r="C6" s="1227"/>
      <c r="D6" s="1227"/>
      <c r="E6" s="1228"/>
      <c r="F6" s="1114"/>
      <c r="G6" s="1114"/>
      <c r="H6" s="1114"/>
      <c r="I6" s="69"/>
      <c r="J6" s="69"/>
      <c r="K6" s="69"/>
      <c r="L6" s="69"/>
      <c r="M6" s="69"/>
      <c r="N6" s="69"/>
      <c r="O6" s="69"/>
      <c r="P6" s="69"/>
      <c r="Q6" s="69"/>
      <c r="R6" s="69"/>
      <c r="S6" s="69"/>
      <c r="T6" s="69"/>
      <c r="U6" s="69"/>
      <c r="V6" s="69"/>
      <c r="W6" s="69"/>
      <c r="X6" s="69"/>
      <c r="Y6" s="69"/>
    </row>
    <row r="7" spans="1:25" ht="14.25">
      <c r="A7" s="77"/>
      <c r="B7" s="77"/>
      <c r="C7" s="78"/>
      <c r="D7" s="78"/>
      <c r="E7" s="78"/>
      <c r="F7" s="77"/>
      <c r="G7" s="77"/>
      <c r="H7" s="77"/>
      <c r="I7" s="69"/>
      <c r="J7" s="69"/>
      <c r="K7" s="69"/>
      <c r="L7" s="69"/>
      <c r="M7" s="69"/>
      <c r="N7" s="69"/>
      <c r="O7" s="69"/>
      <c r="P7" s="69"/>
      <c r="Q7" s="69"/>
      <c r="R7" s="69"/>
      <c r="S7" s="69"/>
      <c r="T7" s="69"/>
      <c r="U7" s="69"/>
      <c r="V7" s="69"/>
      <c r="W7" s="69"/>
      <c r="X7" s="69"/>
      <c r="Y7" s="69"/>
    </row>
    <row r="8" spans="1:25" ht="61.5" customHeight="1">
      <c r="A8" s="377" t="s">
        <v>4419</v>
      </c>
      <c r="B8" s="83" t="s">
        <v>7</v>
      </c>
      <c r="C8" s="83" t="s">
        <v>10812</v>
      </c>
      <c r="D8" s="350" t="s">
        <v>206</v>
      </c>
      <c r="E8" s="350" t="s">
        <v>210</v>
      </c>
      <c r="F8" s="336" t="s">
        <v>211</v>
      </c>
      <c r="I8" s="69"/>
      <c r="J8" s="69"/>
      <c r="K8" s="69"/>
      <c r="L8" s="69"/>
      <c r="M8" s="69"/>
      <c r="N8" s="69"/>
      <c r="O8" s="69"/>
      <c r="P8" s="69"/>
      <c r="Q8" s="69"/>
      <c r="R8" s="69"/>
      <c r="S8" s="69"/>
      <c r="T8" s="69"/>
      <c r="U8" s="69"/>
      <c r="V8" s="69"/>
      <c r="W8" s="69"/>
      <c r="X8" s="69"/>
      <c r="Y8" s="69"/>
    </row>
    <row r="9" spans="1:25" ht="15" customHeight="1">
      <c r="A9" s="134" t="s">
        <v>7649</v>
      </c>
      <c r="B9" s="133" t="s">
        <v>51</v>
      </c>
      <c r="C9" s="133" t="s">
        <v>10813</v>
      </c>
      <c r="D9" s="100">
        <v>50</v>
      </c>
      <c r="E9" s="528">
        <v>50</v>
      </c>
      <c r="F9" s="338" t="s">
        <v>7551</v>
      </c>
    </row>
    <row r="10" spans="1:25" ht="15" customHeight="1">
      <c r="A10" s="134" t="s">
        <v>6216</v>
      </c>
      <c r="B10" s="133" t="s">
        <v>51</v>
      </c>
      <c r="C10" s="133" t="s">
        <v>10813</v>
      </c>
      <c r="D10" s="100">
        <v>50</v>
      </c>
      <c r="E10" s="528">
        <v>50</v>
      </c>
      <c r="F10" s="338" t="s">
        <v>1315</v>
      </c>
    </row>
    <row r="11" spans="1:25" ht="15" customHeight="1">
      <c r="A11" s="386" t="s">
        <v>6237</v>
      </c>
      <c r="B11" s="387" t="s">
        <v>51</v>
      </c>
      <c r="C11" s="121" t="s">
        <v>10814</v>
      </c>
      <c r="D11" s="1211">
        <v>50</v>
      </c>
      <c r="E11" s="1212">
        <v>50</v>
      </c>
      <c r="F11" s="338" t="s">
        <v>1339</v>
      </c>
    </row>
    <row r="12" spans="1:25" ht="15" customHeight="1">
      <c r="A12" s="134" t="s">
        <v>7379</v>
      </c>
      <c r="B12" s="134" t="s">
        <v>51</v>
      </c>
      <c r="C12" s="133" t="s">
        <v>10815</v>
      </c>
      <c r="D12" s="100">
        <v>50</v>
      </c>
      <c r="E12" s="528">
        <v>50</v>
      </c>
      <c r="F12" s="338" t="s">
        <v>384</v>
      </c>
    </row>
    <row r="13" spans="1:25" ht="15" customHeight="1">
      <c r="A13" s="134" t="s">
        <v>7379</v>
      </c>
      <c r="B13" s="134" t="s">
        <v>51</v>
      </c>
      <c r="C13" s="133" t="s">
        <v>10816</v>
      </c>
      <c r="D13" s="100">
        <v>50</v>
      </c>
      <c r="E13" s="528">
        <v>50</v>
      </c>
      <c r="F13" s="338" t="s">
        <v>384</v>
      </c>
    </row>
    <row r="14" spans="1:25" ht="15" customHeight="1">
      <c r="A14" s="134" t="s">
        <v>7379</v>
      </c>
      <c r="B14" s="134" t="s">
        <v>51</v>
      </c>
      <c r="C14" s="133" t="s">
        <v>10817</v>
      </c>
      <c r="D14" s="100">
        <v>50</v>
      </c>
      <c r="E14" s="528">
        <v>50</v>
      </c>
      <c r="F14" s="338" t="s">
        <v>384</v>
      </c>
    </row>
    <row r="15" spans="1:25" ht="15" customHeight="1">
      <c r="A15" s="134" t="s">
        <v>7379</v>
      </c>
      <c r="B15" s="134" t="s">
        <v>51</v>
      </c>
      <c r="C15" s="133" t="s">
        <v>10818</v>
      </c>
      <c r="D15" s="100">
        <v>50</v>
      </c>
      <c r="E15" s="528">
        <v>50</v>
      </c>
      <c r="F15" s="338" t="s">
        <v>384</v>
      </c>
    </row>
    <row r="16" spans="1:25" ht="15" customHeight="1">
      <c r="A16" s="134" t="s">
        <v>466</v>
      </c>
      <c r="B16" s="133" t="s">
        <v>401</v>
      </c>
      <c r="C16" s="133" t="s">
        <v>10819</v>
      </c>
      <c r="D16" s="100">
        <v>50</v>
      </c>
      <c r="E16" s="528">
        <v>50</v>
      </c>
      <c r="F16" s="338" t="s">
        <v>466</v>
      </c>
    </row>
    <row r="17" spans="1:26" ht="15" customHeight="1">
      <c r="A17" s="134" t="s">
        <v>473</v>
      </c>
      <c r="B17" s="133" t="s">
        <v>51</v>
      </c>
      <c r="C17" s="133" t="s">
        <v>10820</v>
      </c>
      <c r="D17" s="100">
        <v>50</v>
      </c>
      <c r="E17" s="528">
        <v>50</v>
      </c>
      <c r="F17" s="338" t="s">
        <v>473</v>
      </c>
    </row>
    <row r="18" spans="1:26" ht="15" customHeight="1">
      <c r="A18" s="162" t="s">
        <v>2372</v>
      </c>
      <c r="B18" s="162" t="s">
        <v>51</v>
      </c>
      <c r="C18" s="162" t="s">
        <v>10821</v>
      </c>
      <c r="D18" s="163">
        <v>50</v>
      </c>
      <c r="E18" s="483">
        <v>50</v>
      </c>
      <c r="F18" s="338" t="s">
        <v>2372</v>
      </c>
    </row>
    <row r="19" spans="1:26" ht="15" customHeight="1">
      <c r="A19" s="134" t="s">
        <v>7599</v>
      </c>
      <c r="B19" s="1196" t="s">
        <v>51</v>
      </c>
      <c r="C19" s="1196" t="s">
        <v>10822</v>
      </c>
      <c r="D19" s="1197">
        <v>50</v>
      </c>
      <c r="E19" s="1146">
        <f t="shared" ref="E19:E21" si="0">D19</f>
        <v>50</v>
      </c>
      <c r="F19" s="338" t="s">
        <v>7600</v>
      </c>
    </row>
    <row r="20" spans="1:26" ht="15" customHeight="1">
      <c r="A20" s="134" t="s">
        <v>7599</v>
      </c>
      <c r="B20" s="133" t="s">
        <v>51</v>
      </c>
      <c r="C20" s="133" t="s">
        <v>10823</v>
      </c>
      <c r="D20" s="116">
        <v>50</v>
      </c>
      <c r="E20" s="528">
        <f t="shared" si="0"/>
        <v>50</v>
      </c>
      <c r="F20" s="338" t="s">
        <v>7600</v>
      </c>
    </row>
    <row r="21" spans="1:26" ht="15" customHeight="1">
      <c r="A21" s="134" t="s">
        <v>7599</v>
      </c>
      <c r="B21" s="1196" t="s">
        <v>51</v>
      </c>
      <c r="C21" s="1196" t="s">
        <v>10824</v>
      </c>
      <c r="D21" s="1197">
        <v>50</v>
      </c>
      <c r="E21" s="1146">
        <f t="shared" si="0"/>
        <v>50</v>
      </c>
      <c r="F21" s="338" t="s">
        <v>7600</v>
      </c>
    </row>
    <row r="22" spans="1:26" ht="15" customHeight="1">
      <c r="A22" s="162" t="s">
        <v>580</v>
      </c>
      <c r="B22" s="162" t="s">
        <v>51</v>
      </c>
      <c r="C22" s="1213" t="s">
        <v>10825</v>
      </c>
      <c r="D22" s="163">
        <v>50</v>
      </c>
      <c r="E22" s="483">
        <v>50</v>
      </c>
      <c r="F22" s="338" t="s">
        <v>580</v>
      </c>
    </row>
    <row r="23" spans="1:26" ht="15" customHeight="1">
      <c r="A23" s="134" t="s">
        <v>10826</v>
      </c>
      <c r="B23" s="133" t="s">
        <v>51</v>
      </c>
      <c r="C23" s="133" t="s">
        <v>10827</v>
      </c>
      <c r="D23" s="100">
        <v>50</v>
      </c>
      <c r="E23" s="528">
        <v>50</v>
      </c>
      <c r="F23" s="338" t="s">
        <v>7606</v>
      </c>
    </row>
    <row r="24" spans="1:26" ht="15.75" customHeight="1">
      <c r="A24" s="134" t="s">
        <v>739</v>
      </c>
      <c r="B24" s="133" t="s">
        <v>141</v>
      </c>
      <c r="C24" s="133" t="s">
        <v>10828</v>
      </c>
      <c r="D24" s="100">
        <v>50</v>
      </c>
      <c r="E24" s="528">
        <v>50</v>
      </c>
      <c r="F24" s="216" t="str">
        <f t="shared" ref="F24:F31" si="1">A24</f>
        <v>Brad Remus</v>
      </c>
      <c r="G24" s="216"/>
      <c r="H24" s="216"/>
      <c r="I24" s="216"/>
      <c r="J24" s="216"/>
      <c r="K24" s="216"/>
      <c r="L24" s="216"/>
      <c r="M24" s="216"/>
      <c r="N24" s="216"/>
      <c r="O24" s="216"/>
      <c r="P24" s="216"/>
      <c r="Q24" s="216"/>
      <c r="R24" s="216"/>
      <c r="S24" s="216"/>
      <c r="T24" s="216"/>
      <c r="U24" s="216"/>
      <c r="V24" s="216"/>
      <c r="W24" s="216"/>
      <c r="X24" s="216"/>
      <c r="Y24" s="216"/>
      <c r="Z24" s="216"/>
    </row>
    <row r="25" spans="1:26" ht="15.75" customHeight="1">
      <c r="A25" s="134" t="s">
        <v>759</v>
      </c>
      <c r="B25" s="133" t="s">
        <v>141</v>
      </c>
      <c r="C25" s="1214" t="s">
        <v>10829</v>
      </c>
      <c r="D25" s="116">
        <v>50</v>
      </c>
      <c r="E25" s="528">
        <v>50</v>
      </c>
      <c r="F25" s="216" t="str">
        <f t="shared" si="1"/>
        <v>Cofaru Ileana Ioana</v>
      </c>
      <c r="G25" s="216"/>
      <c r="H25" s="216"/>
      <c r="I25" s="216"/>
      <c r="J25" s="216"/>
      <c r="K25" s="216"/>
      <c r="L25" s="216"/>
      <c r="M25" s="216"/>
      <c r="N25" s="216"/>
      <c r="O25" s="216"/>
      <c r="P25" s="216"/>
      <c r="Q25" s="216"/>
      <c r="R25" s="216"/>
      <c r="S25" s="216"/>
      <c r="T25" s="216"/>
      <c r="U25" s="216"/>
      <c r="V25" s="216"/>
      <c r="W25" s="216"/>
      <c r="X25" s="216"/>
      <c r="Y25" s="216"/>
      <c r="Z25" s="216"/>
    </row>
    <row r="26" spans="1:26" ht="15.75" customHeight="1">
      <c r="A26" s="134" t="s">
        <v>759</v>
      </c>
      <c r="B26" s="586" t="s">
        <v>141</v>
      </c>
      <c r="C26" s="1215" t="s">
        <v>10815</v>
      </c>
      <c r="D26" s="1158">
        <v>50</v>
      </c>
      <c r="E26" s="528">
        <v>50</v>
      </c>
      <c r="F26" s="216" t="str">
        <f t="shared" si="1"/>
        <v>Cofaru Ileana Ioana</v>
      </c>
      <c r="G26" s="216"/>
      <c r="H26" s="216"/>
      <c r="I26" s="216"/>
      <c r="J26" s="216"/>
      <c r="K26" s="216"/>
      <c r="L26" s="216"/>
      <c r="M26" s="216"/>
      <c r="N26" s="216"/>
      <c r="O26" s="216"/>
      <c r="P26" s="216"/>
      <c r="Q26" s="216"/>
      <c r="R26" s="216"/>
      <c r="S26" s="216"/>
      <c r="T26" s="216"/>
      <c r="U26" s="216"/>
      <c r="V26" s="216"/>
      <c r="W26" s="216"/>
      <c r="X26" s="216"/>
      <c r="Y26" s="216"/>
      <c r="Z26" s="216"/>
    </row>
    <row r="27" spans="1:26" ht="15.75" customHeight="1">
      <c r="A27" s="134" t="s">
        <v>759</v>
      </c>
      <c r="B27" s="586" t="s">
        <v>141</v>
      </c>
      <c r="C27" s="1215" t="s">
        <v>10817</v>
      </c>
      <c r="D27" s="1158">
        <v>50</v>
      </c>
      <c r="E27" s="528">
        <v>50</v>
      </c>
      <c r="F27" s="216" t="str">
        <f t="shared" si="1"/>
        <v>Cofaru Ileana Ioana</v>
      </c>
      <c r="G27" s="216"/>
      <c r="H27" s="216"/>
      <c r="I27" s="216"/>
      <c r="J27" s="216"/>
      <c r="K27" s="216"/>
      <c r="L27" s="216"/>
      <c r="M27" s="216"/>
      <c r="N27" s="216"/>
      <c r="O27" s="216"/>
      <c r="P27" s="216"/>
      <c r="Q27" s="216"/>
      <c r="R27" s="216"/>
      <c r="S27" s="216"/>
      <c r="T27" s="216"/>
      <c r="U27" s="216"/>
      <c r="V27" s="216"/>
      <c r="W27" s="216"/>
      <c r="X27" s="216"/>
      <c r="Y27" s="216"/>
      <c r="Z27" s="216"/>
    </row>
    <row r="28" spans="1:26" ht="15.75" customHeight="1">
      <c r="A28" s="438" t="s">
        <v>7613</v>
      </c>
      <c r="B28" s="183" t="s">
        <v>141</v>
      </c>
      <c r="C28" s="221" t="s">
        <v>10830</v>
      </c>
      <c r="D28" s="100">
        <v>50</v>
      </c>
      <c r="E28" s="528">
        <v>50</v>
      </c>
      <c r="F28" s="216" t="str">
        <f t="shared" si="1"/>
        <v>DOROBANȚIU Alexandru</v>
      </c>
      <c r="G28" s="216"/>
      <c r="H28" s="216"/>
      <c r="I28" s="216"/>
      <c r="J28" s="216"/>
      <c r="K28" s="216"/>
      <c r="L28" s="216"/>
      <c r="M28" s="216"/>
      <c r="N28" s="216"/>
      <c r="O28" s="216"/>
      <c r="P28" s="216"/>
      <c r="Q28" s="216"/>
      <c r="R28" s="216"/>
      <c r="S28" s="216"/>
      <c r="T28" s="216"/>
      <c r="U28" s="216"/>
      <c r="V28" s="216"/>
      <c r="W28" s="216"/>
      <c r="X28" s="216"/>
      <c r="Y28" s="216"/>
      <c r="Z28" s="216"/>
    </row>
    <row r="29" spans="1:26" ht="15.75" customHeight="1">
      <c r="A29" s="134" t="s">
        <v>829</v>
      </c>
      <c r="B29" s="133" t="s">
        <v>141</v>
      </c>
      <c r="C29" s="133" t="s">
        <v>10831</v>
      </c>
      <c r="D29" s="116">
        <v>50</v>
      </c>
      <c r="E29" s="528">
        <v>50</v>
      </c>
      <c r="F29" s="216" t="str">
        <f t="shared" si="1"/>
        <v>Gellert Arpad</v>
      </c>
      <c r="G29" s="216"/>
      <c r="H29" s="216"/>
      <c r="I29" s="216"/>
      <c r="J29" s="216"/>
      <c r="K29" s="216"/>
      <c r="L29" s="216"/>
      <c r="M29" s="216"/>
      <c r="N29" s="216"/>
      <c r="O29" s="216"/>
      <c r="P29" s="216"/>
      <c r="Q29" s="216"/>
      <c r="R29" s="216"/>
      <c r="S29" s="216"/>
      <c r="T29" s="216"/>
      <c r="U29" s="216"/>
      <c r="V29" s="216"/>
      <c r="W29" s="216"/>
      <c r="X29" s="216"/>
      <c r="Y29" s="216"/>
      <c r="Z29" s="216"/>
    </row>
    <row r="30" spans="1:26" ht="15.75" customHeight="1">
      <c r="A30" s="134" t="s">
        <v>829</v>
      </c>
      <c r="B30" s="133" t="s">
        <v>141</v>
      </c>
      <c r="C30" s="133" t="s">
        <v>10832</v>
      </c>
      <c r="D30" s="116">
        <v>50</v>
      </c>
      <c r="E30" s="528">
        <v>50</v>
      </c>
      <c r="F30" s="216" t="str">
        <f t="shared" si="1"/>
        <v>Gellert Arpad</v>
      </c>
      <c r="G30" s="216"/>
      <c r="H30" s="216"/>
      <c r="I30" s="216"/>
      <c r="J30" s="216"/>
      <c r="K30" s="216"/>
      <c r="L30" s="216"/>
      <c r="M30" s="216"/>
      <c r="N30" s="216"/>
      <c r="O30" s="216"/>
      <c r="P30" s="216"/>
      <c r="Q30" s="216"/>
      <c r="R30" s="216"/>
      <c r="S30" s="216"/>
      <c r="T30" s="216"/>
      <c r="U30" s="216"/>
      <c r="V30" s="216"/>
      <c r="W30" s="216"/>
      <c r="X30" s="216"/>
      <c r="Y30" s="216"/>
      <c r="Z30" s="216"/>
    </row>
    <row r="31" spans="1:26" ht="15.75" customHeight="1">
      <c r="A31" s="438" t="s">
        <v>7615</v>
      </c>
      <c r="B31" s="183" t="s">
        <v>141</v>
      </c>
      <c r="C31" s="133" t="s">
        <v>10833</v>
      </c>
      <c r="D31" s="100">
        <v>50</v>
      </c>
      <c r="E31" s="528">
        <f>D31</f>
        <v>50</v>
      </c>
      <c r="F31" s="216" t="str">
        <f t="shared" si="1"/>
        <v>ILIE Constantin Beriliu</v>
      </c>
      <c r="G31" s="1"/>
      <c r="H31" s="1"/>
      <c r="I31" s="216"/>
      <c r="J31" s="216"/>
      <c r="K31" s="216"/>
      <c r="L31" s="216"/>
      <c r="M31" s="216"/>
      <c r="N31" s="216"/>
      <c r="O31" s="216"/>
      <c r="P31" s="216"/>
      <c r="Q31" s="216"/>
      <c r="R31" s="216"/>
      <c r="S31" s="216"/>
      <c r="T31" s="216"/>
      <c r="U31" s="216"/>
      <c r="V31" s="216"/>
      <c r="W31" s="216"/>
      <c r="X31" s="216"/>
      <c r="Y31" s="216"/>
      <c r="Z31" s="216"/>
    </row>
    <row r="32" spans="1:26" ht="15" customHeight="1">
      <c r="A32" s="1216" t="s">
        <v>7297</v>
      </c>
      <c r="B32" s="1217" t="s">
        <v>105</v>
      </c>
      <c r="C32" s="1218" t="s">
        <v>10834</v>
      </c>
      <c r="D32" s="1219">
        <v>50</v>
      </c>
      <c r="E32" s="1220">
        <v>50</v>
      </c>
      <c r="F32" s="338" t="s">
        <v>133</v>
      </c>
      <c r="G32" s="216"/>
      <c r="H32" s="216"/>
      <c r="I32" s="216"/>
      <c r="J32" s="216"/>
      <c r="K32" s="216"/>
      <c r="L32" s="216"/>
      <c r="M32" s="216"/>
      <c r="N32" s="216"/>
      <c r="O32" s="216"/>
      <c r="P32" s="216"/>
      <c r="Q32" s="216"/>
      <c r="R32" s="216"/>
      <c r="S32" s="216"/>
      <c r="T32" s="216"/>
      <c r="U32" s="216"/>
      <c r="V32" s="216"/>
      <c r="W32" s="216"/>
      <c r="X32" s="216"/>
      <c r="Y32" s="216"/>
      <c r="Z32" s="216"/>
    </row>
    <row r="33" spans="1:8" ht="15.75" customHeight="1"/>
    <row r="34" spans="1:8" ht="15" customHeight="1">
      <c r="A34" s="332" t="s">
        <v>169</v>
      </c>
      <c r="E34" s="1116">
        <f>SUM(E9:E32)</f>
        <v>1200</v>
      </c>
    </row>
    <row r="35" spans="1:8" ht="15.75" customHeight="1"/>
    <row r="36" spans="1:8" ht="15" customHeight="1">
      <c r="A36" s="1231" t="s">
        <v>1156</v>
      </c>
      <c r="B36" s="1232"/>
      <c r="C36" s="1232"/>
      <c r="D36" s="1232"/>
      <c r="E36" s="1232"/>
      <c r="F36" s="1232"/>
      <c r="G36" s="1232"/>
      <c r="H36" s="1233"/>
    </row>
    <row r="37" spans="1:8" ht="15.75" customHeight="1"/>
    <row r="38" spans="1:8" ht="15.75" customHeight="1"/>
    <row r="39" spans="1:8" ht="15.75" customHeight="1"/>
    <row r="40" spans="1:8" ht="15.75" customHeight="1"/>
    <row r="41" spans="1:8" ht="15.75" customHeight="1"/>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36:H36"/>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sheetPr>
  <dimension ref="A1:Y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13" width="8" customWidth="1"/>
    <col min="14" max="14" width="11.265625" customWidth="1"/>
    <col min="15" max="25" width="8" customWidth="1"/>
  </cols>
  <sheetData>
    <row r="1" spans="1:25" ht="14.25">
      <c r="A1" s="64"/>
      <c r="B1" s="64"/>
      <c r="C1" s="65"/>
      <c r="D1" s="65"/>
      <c r="E1" s="65"/>
      <c r="F1" s="1"/>
      <c r="G1" s="1"/>
      <c r="H1" s="1"/>
    </row>
    <row r="2" spans="1:25" ht="15.75" customHeight="1">
      <c r="A2" s="1271" t="s">
        <v>10835</v>
      </c>
      <c r="B2" s="1232"/>
      <c r="C2" s="1232"/>
      <c r="D2" s="1232"/>
      <c r="E2" s="1232"/>
      <c r="F2" s="1232"/>
      <c r="G2" s="1232"/>
      <c r="H2" s="1232"/>
      <c r="I2" s="1232"/>
      <c r="J2" s="1232"/>
      <c r="K2" s="1232"/>
      <c r="L2" s="1232"/>
      <c r="M2" s="1233"/>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21" customHeight="1">
      <c r="A4" s="1236" t="s">
        <v>10836</v>
      </c>
      <c r="B4" s="1227"/>
      <c r="C4" s="1227"/>
      <c r="D4" s="1227"/>
      <c r="E4" s="1227"/>
      <c r="F4" s="1227"/>
      <c r="G4" s="1227"/>
      <c r="H4" s="1227"/>
      <c r="I4" s="1227"/>
      <c r="J4" s="1227"/>
      <c r="K4" s="1227"/>
      <c r="L4" s="1227"/>
      <c r="M4" s="1228"/>
      <c r="N4" s="69"/>
      <c r="O4" s="69"/>
      <c r="P4" s="69"/>
      <c r="Q4" s="69"/>
      <c r="R4" s="69"/>
      <c r="S4" s="69"/>
      <c r="T4" s="69"/>
      <c r="U4" s="69"/>
      <c r="V4" s="69"/>
      <c r="W4" s="69"/>
      <c r="X4" s="69"/>
      <c r="Y4" s="69"/>
    </row>
    <row r="5" spans="1:25" ht="27" customHeight="1">
      <c r="A5" s="1244" t="s">
        <v>4784</v>
      </c>
      <c r="B5" s="1227"/>
      <c r="C5" s="1227"/>
      <c r="D5" s="1227"/>
      <c r="E5" s="1227"/>
      <c r="F5" s="1227"/>
      <c r="G5" s="1227"/>
      <c r="H5" s="1227"/>
      <c r="I5" s="1227"/>
      <c r="J5" s="1227"/>
      <c r="K5" s="1227"/>
      <c r="L5" s="1227"/>
      <c r="M5" s="1228"/>
      <c r="N5" s="69"/>
      <c r="O5" s="69"/>
      <c r="P5" s="69"/>
      <c r="Q5" s="69"/>
      <c r="R5" s="69"/>
      <c r="S5" s="69"/>
      <c r="T5" s="69"/>
      <c r="U5" s="69"/>
      <c r="V5" s="69"/>
      <c r="W5" s="69"/>
      <c r="X5" s="69"/>
      <c r="Y5" s="69"/>
    </row>
    <row r="6" spans="1:25" ht="30" customHeight="1">
      <c r="A6" s="1244" t="s">
        <v>10837</v>
      </c>
      <c r="B6" s="1227"/>
      <c r="C6" s="1227"/>
      <c r="D6" s="1227"/>
      <c r="E6" s="1227"/>
      <c r="F6" s="1227"/>
      <c r="G6" s="1227"/>
      <c r="H6" s="1227"/>
      <c r="I6" s="1227"/>
      <c r="J6" s="1227"/>
      <c r="K6" s="1227"/>
      <c r="L6" s="1227"/>
      <c r="M6" s="1228"/>
      <c r="N6" s="69"/>
      <c r="O6" s="69"/>
      <c r="P6" s="69"/>
      <c r="Q6" s="69"/>
      <c r="R6" s="69"/>
      <c r="S6" s="69"/>
      <c r="T6" s="69"/>
      <c r="U6" s="69"/>
      <c r="V6" s="69"/>
      <c r="W6" s="69"/>
      <c r="X6" s="69"/>
      <c r="Y6" s="69"/>
    </row>
    <row r="7" spans="1:25" ht="29.25" customHeight="1">
      <c r="A7" s="1244" t="s">
        <v>10838</v>
      </c>
      <c r="B7" s="1227"/>
      <c r="C7" s="1227"/>
      <c r="D7" s="1227"/>
      <c r="E7" s="1227"/>
      <c r="F7" s="1227"/>
      <c r="G7" s="1227"/>
      <c r="H7" s="1227"/>
      <c r="I7" s="1227"/>
      <c r="J7" s="1227"/>
      <c r="K7" s="1227"/>
      <c r="L7" s="1227"/>
      <c r="M7" s="1228"/>
      <c r="N7" s="69"/>
      <c r="O7" s="69"/>
      <c r="P7" s="69"/>
      <c r="Q7" s="69"/>
      <c r="R7" s="69"/>
      <c r="S7" s="69"/>
      <c r="T7" s="69"/>
      <c r="U7" s="69"/>
      <c r="V7" s="69"/>
      <c r="W7" s="69"/>
      <c r="X7" s="69"/>
      <c r="Y7" s="69"/>
    </row>
    <row r="8" spans="1:25" ht="18.75" customHeight="1">
      <c r="A8" s="1244" t="s">
        <v>4787</v>
      </c>
      <c r="B8" s="1227"/>
      <c r="C8" s="1227"/>
      <c r="D8" s="1227"/>
      <c r="E8" s="1227"/>
      <c r="F8" s="1227"/>
      <c r="G8" s="1227"/>
      <c r="H8" s="1227"/>
      <c r="I8" s="1227"/>
      <c r="J8" s="1227"/>
      <c r="K8" s="1227"/>
      <c r="L8" s="1227"/>
      <c r="M8" s="1228"/>
      <c r="N8" s="69"/>
      <c r="O8" s="69"/>
      <c r="P8" s="69"/>
      <c r="Q8" s="69"/>
      <c r="R8" s="69"/>
      <c r="S8" s="69"/>
      <c r="T8" s="69"/>
      <c r="U8" s="69"/>
      <c r="V8" s="69"/>
      <c r="W8" s="69"/>
      <c r="X8" s="69"/>
      <c r="Y8" s="69"/>
    </row>
    <row r="9" spans="1:25" ht="44.25" customHeight="1">
      <c r="A9" s="1244" t="s">
        <v>10839</v>
      </c>
      <c r="B9" s="1227"/>
      <c r="C9" s="1227"/>
      <c r="D9" s="1227"/>
      <c r="E9" s="1227"/>
      <c r="F9" s="1227"/>
      <c r="G9" s="1227"/>
      <c r="H9" s="1227"/>
      <c r="I9" s="1227"/>
      <c r="J9" s="1227"/>
      <c r="K9" s="1227"/>
      <c r="L9" s="1227"/>
      <c r="M9" s="1228"/>
      <c r="N9" s="69"/>
      <c r="O9" s="69"/>
      <c r="P9" s="69"/>
      <c r="Q9" s="69"/>
      <c r="R9" s="69"/>
      <c r="S9" s="69"/>
      <c r="T9" s="69"/>
      <c r="U9" s="69"/>
      <c r="V9" s="69"/>
      <c r="W9" s="69"/>
      <c r="X9" s="69"/>
      <c r="Y9" s="69"/>
    </row>
    <row r="10" spans="1:25" ht="26.25" customHeight="1">
      <c r="A10" s="1244" t="s">
        <v>10840</v>
      </c>
      <c r="B10" s="1227"/>
      <c r="C10" s="1227"/>
      <c r="D10" s="1227"/>
      <c r="E10" s="1227"/>
      <c r="F10" s="1227"/>
      <c r="G10" s="1227"/>
      <c r="H10" s="1227"/>
      <c r="I10" s="1227"/>
      <c r="J10" s="1227"/>
      <c r="K10" s="1227"/>
      <c r="L10" s="1227"/>
      <c r="M10" s="1228"/>
      <c r="N10" s="69"/>
      <c r="O10" s="69"/>
      <c r="P10" s="69"/>
      <c r="Q10" s="69"/>
      <c r="R10" s="69"/>
      <c r="S10" s="69"/>
      <c r="T10" s="69"/>
      <c r="U10" s="69"/>
      <c r="V10" s="69"/>
      <c r="W10" s="69"/>
      <c r="X10" s="69"/>
      <c r="Y10" s="69"/>
    </row>
    <row r="11" spans="1:25" ht="72" customHeight="1">
      <c r="A11" s="1258" t="s">
        <v>10841</v>
      </c>
      <c r="B11" s="1227"/>
      <c r="C11" s="1227"/>
      <c r="D11" s="1227"/>
      <c r="E11" s="1227"/>
      <c r="F11" s="1227"/>
      <c r="G11" s="1227"/>
      <c r="H11" s="1227"/>
      <c r="I11" s="1227"/>
      <c r="J11" s="1227"/>
      <c r="K11" s="1227"/>
      <c r="L11" s="1227"/>
      <c r="M11" s="1228"/>
      <c r="N11" s="69"/>
      <c r="O11" s="69"/>
      <c r="P11" s="69"/>
      <c r="Q11" s="69"/>
      <c r="R11" s="69"/>
      <c r="S11" s="69"/>
      <c r="T11" s="69"/>
      <c r="U11" s="69"/>
      <c r="V11" s="69"/>
      <c r="W11" s="69"/>
      <c r="X11" s="69"/>
      <c r="Y11" s="69"/>
    </row>
    <row r="12" spans="1:25" ht="14.25">
      <c r="A12" s="77"/>
      <c r="B12" s="77"/>
      <c r="C12" s="78"/>
      <c r="D12" s="78"/>
      <c r="E12" s="78"/>
      <c r="F12" s="77"/>
      <c r="G12" s="77"/>
      <c r="H12" s="77"/>
      <c r="I12" s="69"/>
      <c r="J12" s="69"/>
      <c r="K12" s="69"/>
      <c r="L12" s="69"/>
      <c r="M12" s="69"/>
      <c r="N12" s="69"/>
      <c r="O12" s="69"/>
      <c r="P12" s="69"/>
      <c r="Q12" s="69"/>
      <c r="R12" s="69"/>
      <c r="S12" s="69"/>
      <c r="T12" s="69"/>
      <c r="U12" s="69"/>
      <c r="V12" s="69"/>
      <c r="W12" s="69"/>
      <c r="X12" s="69"/>
      <c r="Y12" s="69"/>
    </row>
    <row r="13" spans="1:25" ht="61.5" customHeight="1">
      <c r="A13" s="350" t="s">
        <v>7344</v>
      </c>
      <c r="B13" s="377" t="s">
        <v>4792</v>
      </c>
      <c r="C13" s="83" t="s">
        <v>7</v>
      </c>
      <c r="D13" s="376" t="s">
        <v>4793</v>
      </c>
      <c r="E13" s="377" t="s">
        <v>4794</v>
      </c>
      <c r="F13" s="377" t="s">
        <v>201</v>
      </c>
      <c r="G13" s="377" t="s">
        <v>4795</v>
      </c>
      <c r="H13" s="377" t="s">
        <v>4796</v>
      </c>
      <c r="I13" s="82" t="s">
        <v>203</v>
      </c>
      <c r="J13" s="82" t="s">
        <v>204</v>
      </c>
      <c r="K13" s="82" t="s">
        <v>205</v>
      </c>
      <c r="L13" s="350" t="s">
        <v>206</v>
      </c>
      <c r="M13" s="350" t="s">
        <v>210</v>
      </c>
      <c r="N13" s="336" t="s">
        <v>211</v>
      </c>
      <c r="O13" s="69"/>
      <c r="P13" s="69"/>
      <c r="Q13" s="69"/>
      <c r="R13" s="69"/>
      <c r="S13" s="69"/>
      <c r="T13" s="69"/>
      <c r="U13" s="69"/>
      <c r="V13" s="69"/>
      <c r="W13" s="69"/>
      <c r="X13" s="69"/>
      <c r="Y13" s="69"/>
    </row>
    <row r="14" spans="1:25" ht="15.75" customHeight="1"/>
    <row r="15" spans="1:25" ht="15.75" customHeight="1">
      <c r="A15" s="332" t="s">
        <v>169</v>
      </c>
      <c r="M15" s="332">
        <f>SUM(M13:M14)</f>
        <v>0</v>
      </c>
    </row>
    <row r="16" spans="1:25" ht="15.75" customHeight="1"/>
    <row r="17" spans="1:8" ht="15.75" customHeight="1">
      <c r="A17" s="1231" t="s">
        <v>1156</v>
      </c>
      <c r="B17" s="1232"/>
      <c r="C17" s="1232"/>
      <c r="D17" s="1232"/>
      <c r="E17" s="1232"/>
      <c r="F17" s="1232"/>
      <c r="G17" s="1232"/>
      <c r="H17" s="1233"/>
    </row>
    <row r="18" spans="1:8" ht="15.75" customHeight="1"/>
    <row r="21" spans="1:8" ht="15.75" customHeight="1"/>
    <row r="22" spans="1:8" ht="15.75" customHeight="1"/>
    <row r="23" spans="1:8" ht="15.75" customHeight="1"/>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17:H17"/>
    <mergeCell ref="A2:M2"/>
    <mergeCell ref="A4:M4"/>
    <mergeCell ref="A5:M5"/>
    <mergeCell ref="A6:M6"/>
    <mergeCell ref="A7:M7"/>
    <mergeCell ref="A8:M8"/>
    <mergeCell ref="A9:M9"/>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sheetPr>
  <dimension ref="A1:Z1000"/>
  <sheetViews>
    <sheetView workbookViewId="0"/>
  </sheetViews>
  <sheetFormatPr defaultColWidth="14.3984375" defaultRowHeight="15" customHeight="1"/>
  <cols>
    <col min="1" max="1" width="23.73046875" customWidth="1"/>
    <col min="2" max="2" width="10.86328125" customWidth="1"/>
    <col min="3" max="3" width="30" customWidth="1"/>
    <col min="4" max="4" width="17.73046875" customWidth="1"/>
    <col min="5" max="5" width="26.3984375" customWidth="1"/>
    <col min="6" max="8" width="13.73046875" customWidth="1"/>
    <col min="9" max="25" width="8" customWidth="1"/>
  </cols>
  <sheetData>
    <row r="1" spans="1:25" ht="14.25">
      <c r="A1" s="64"/>
      <c r="B1" s="64"/>
      <c r="C1" s="65"/>
      <c r="D1" s="65"/>
      <c r="E1" s="65"/>
      <c r="F1" s="1"/>
      <c r="G1" s="1"/>
      <c r="H1" s="1"/>
    </row>
    <row r="2" spans="1:25" ht="15.75" customHeight="1">
      <c r="A2" s="1272" t="s">
        <v>10842</v>
      </c>
      <c r="B2" s="1227"/>
      <c r="C2" s="1227"/>
      <c r="D2" s="1227"/>
      <c r="E2" s="1228"/>
      <c r="F2" s="1114"/>
      <c r="G2" s="1114"/>
      <c r="H2" s="1114"/>
      <c r="I2" s="69"/>
      <c r="J2" s="69"/>
      <c r="K2" s="69"/>
      <c r="L2" s="69"/>
      <c r="M2" s="69"/>
      <c r="N2" s="69"/>
      <c r="O2" s="69"/>
      <c r="P2" s="69"/>
      <c r="Q2" s="69"/>
      <c r="R2" s="69"/>
      <c r="S2" s="69"/>
      <c r="T2" s="69"/>
      <c r="U2" s="69"/>
      <c r="V2" s="69"/>
      <c r="W2" s="69"/>
      <c r="X2" s="69"/>
      <c r="Y2" s="69"/>
    </row>
    <row r="3" spans="1:25" ht="15.75" customHeight="1">
      <c r="A3" s="375"/>
      <c r="B3" s="375"/>
      <c r="C3" s="375"/>
      <c r="D3" s="375"/>
      <c r="E3" s="1115"/>
      <c r="F3" s="1114"/>
      <c r="G3" s="1114"/>
      <c r="H3" s="1114"/>
      <c r="I3" s="69"/>
      <c r="J3" s="69"/>
      <c r="K3" s="69"/>
      <c r="L3" s="69"/>
      <c r="M3" s="69"/>
      <c r="N3" s="69"/>
      <c r="O3" s="69"/>
      <c r="P3" s="69"/>
      <c r="Q3" s="69"/>
      <c r="R3" s="69"/>
      <c r="S3" s="69"/>
      <c r="T3" s="69"/>
      <c r="U3" s="69"/>
      <c r="V3" s="69"/>
      <c r="W3" s="69"/>
      <c r="X3" s="69"/>
      <c r="Y3" s="69"/>
    </row>
    <row r="4" spans="1:25" ht="18" customHeight="1">
      <c r="A4" s="1236" t="s">
        <v>10843</v>
      </c>
      <c r="B4" s="1227"/>
      <c r="C4" s="1227"/>
      <c r="D4" s="1227"/>
      <c r="E4" s="1228"/>
      <c r="F4" s="1114"/>
      <c r="G4" s="1114"/>
      <c r="H4" s="1114"/>
      <c r="I4" s="69"/>
      <c r="J4" s="69"/>
      <c r="K4" s="69"/>
      <c r="L4" s="69"/>
      <c r="M4" s="69"/>
      <c r="N4" s="69"/>
      <c r="O4" s="69"/>
      <c r="P4" s="69"/>
      <c r="Q4" s="69"/>
      <c r="R4" s="69"/>
      <c r="S4" s="69"/>
      <c r="T4" s="69"/>
      <c r="U4" s="69"/>
      <c r="V4" s="69"/>
      <c r="W4" s="69"/>
      <c r="X4" s="69"/>
      <c r="Y4" s="69"/>
    </row>
    <row r="5" spans="1:25" ht="15" customHeight="1">
      <c r="A5" s="1244" t="s">
        <v>10844</v>
      </c>
      <c r="B5" s="1227"/>
      <c r="C5" s="1227"/>
      <c r="D5" s="1227"/>
      <c r="E5" s="1228"/>
      <c r="F5" s="1114"/>
      <c r="G5" s="1114"/>
      <c r="H5" s="1114"/>
      <c r="I5" s="69"/>
      <c r="J5" s="69"/>
      <c r="K5" s="69"/>
      <c r="L5" s="69"/>
      <c r="M5" s="69"/>
      <c r="N5" s="69"/>
      <c r="O5" s="69"/>
      <c r="P5" s="69"/>
      <c r="Q5" s="69"/>
      <c r="R5" s="69"/>
      <c r="S5" s="69"/>
      <c r="T5" s="69"/>
      <c r="U5" s="69"/>
      <c r="V5" s="69"/>
      <c r="W5" s="69"/>
      <c r="X5" s="69"/>
      <c r="Y5" s="69"/>
    </row>
    <row r="6" spans="1:25" ht="104.25" customHeight="1">
      <c r="A6" s="1244" t="s">
        <v>10845</v>
      </c>
      <c r="B6" s="1227"/>
      <c r="C6" s="1227"/>
      <c r="D6" s="1227"/>
      <c r="E6" s="1228"/>
      <c r="F6" s="1114"/>
      <c r="G6" s="1114"/>
      <c r="H6" s="1114"/>
      <c r="I6" s="69"/>
      <c r="J6" s="69"/>
      <c r="K6" s="69"/>
      <c r="L6" s="69"/>
      <c r="M6" s="69"/>
      <c r="N6" s="69"/>
      <c r="O6" s="69"/>
      <c r="P6" s="69"/>
      <c r="Q6" s="69"/>
      <c r="R6" s="69"/>
      <c r="S6" s="69"/>
      <c r="T6" s="69"/>
      <c r="U6" s="69"/>
      <c r="V6" s="69"/>
      <c r="W6" s="69"/>
      <c r="X6" s="69"/>
      <c r="Y6" s="69"/>
    </row>
    <row r="7" spans="1:25" ht="56.25" customHeight="1">
      <c r="A7" s="1244" t="s">
        <v>10846</v>
      </c>
      <c r="B7" s="1227"/>
      <c r="C7" s="1227"/>
      <c r="D7" s="1227"/>
      <c r="E7" s="1228"/>
      <c r="F7" s="1114"/>
      <c r="G7" s="1114"/>
      <c r="H7" s="1114"/>
      <c r="I7" s="69"/>
      <c r="J7" s="69"/>
      <c r="K7" s="69"/>
      <c r="L7" s="69"/>
      <c r="M7" s="69"/>
      <c r="N7" s="69"/>
      <c r="O7" s="69"/>
      <c r="P7" s="69"/>
      <c r="Q7" s="69"/>
      <c r="R7" s="69"/>
      <c r="S7" s="69"/>
      <c r="T7" s="69"/>
      <c r="U7" s="69"/>
      <c r="V7" s="69"/>
      <c r="W7" s="69"/>
      <c r="X7" s="69"/>
      <c r="Y7" s="69"/>
    </row>
    <row r="8" spans="1:25" ht="17.25" customHeight="1">
      <c r="A8" s="1244" t="s">
        <v>10847</v>
      </c>
      <c r="B8" s="1227"/>
      <c r="C8" s="1227"/>
      <c r="D8" s="1227"/>
      <c r="E8" s="1228"/>
      <c r="F8" s="1114"/>
      <c r="G8" s="1114"/>
      <c r="H8" s="1114"/>
      <c r="I8" s="69"/>
      <c r="J8" s="69"/>
      <c r="K8" s="69"/>
      <c r="L8" s="69"/>
      <c r="M8" s="69"/>
      <c r="N8" s="69"/>
      <c r="O8" s="69"/>
      <c r="P8" s="69"/>
      <c r="Q8" s="69"/>
      <c r="R8" s="69"/>
      <c r="S8" s="69"/>
      <c r="T8" s="69"/>
      <c r="U8" s="69"/>
      <c r="V8" s="69"/>
      <c r="W8" s="69"/>
      <c r="X8" s="69"/>
      <c r="Y8" s="69"/>
    </row>
    <row r="9" spans="1:25" ht="210" customHeight="1">
      <c r="A9" s="1258" t="s">
        <v>10848</v>
      </c>
      <c r="B9" s="1227"/>
      <c r="C9" s="1227"/>
      <c r="D9" s="1227"/>
      <c r="E9" s="1228"/>
      <c r="F9" s="1114"/>
      <c r="G9" s="1114"/>
      <c r="H9" s="1114"/>
      <c r="I9" s="69"/>
      <c r="J9" s="69"/>
      <c r="K9" s="69"/>
      <c r="L9" s="69"/>
      <c r="M9" s="69"/>
      <c r="N9" s="69"/>
      <c r="O9" s="69"/>
      <c r="P9" s="69"/>
      <c r="Q9" s="69"/>
      <c r="R9" s="69"/>
      <c r="S9" s="69"/>
      <c r="T9" s="69"/>
      <c r="U9" s="69"/>
      <c r="V9" s="69"/>
      <c r="W9" s="69"/>
      <c r="X9" s="69"/>
      <c r="Y9" s="69"/>
    </row>
    <row r="10" spans="1:25" ht="14.25">
      <c r="A10" s="77"/>
      <c r="B10" s="77"/>
      <c r="C10" s="78"/>
      <c r="D10" s="78"/>
      <c r="E10" s="78"/>
      <c r="F10" s="77"/>
      <c r="G10" s="77"/>
      <c r="H10" s="77"/>
      <c r="I10" s="69"/>
      <c r="J10" s="69"/>
      <c r="K10" s="69"/>
      <c r="L10" s="69"/>
      <c r="M10" s="69"/>
      <c r="N10" s="69"/>
      <c r="O10" s="69"/>
      <c r="P10" s="69"/>
      <c r="Q10" s="69"/>
      <c r="R10" s="69"/>
      <c r="S10" s="69"/>
      <c r="T10" s="69"/>
      <c r="U10" s="69"/>
      <c r="V10" s="69"/>
      <c r="W10" s="69"/>
      <c r="X10" s="69"/>
      <c r="Y10" s="69"/>
    </row>
    <row r="11" spans="1:25" ht="61.5" customHeight="1">
      <c r="A11" s="377" t="s">
        <v>4419</v>
      </c>
      <c r="B11" s="83" t="s">
        <v>7</v>
      </c>
      <c r="C11" s="83" t="s">
        <v>10849</v>
      </c>
      <c r="D11" s="350" t="s">
        <v>206</v>
      </c>
      <c r="E11" s="350" t="s">
        <v>210</v>
      </c>
      <c r="F11" s="336" t="s">
        <v>211</v>
      </c>
      <c r="I11" s="69"/>
      <c r="J11" s="69"/>
      <c r="K11" s="69"/>
      <c r="L11" s="69"/>
      <c r="M11" s="69"/>
      <c r="N11" s="69"/>
      <c r="O11" s="69"/>
      <c r="P11" s="69"/>
      <c r="Q11" s="69"/>
      <c r="R11" s="69"/>
      <c r="S11" s="69"/>
      <c r="T11" s="69"/>
      <c r="U11" s="69"/>
      <c r="V11" s="69"/>
      <c r="W11" s="69"/>
      <c r="X11" s="69"/>
      <c r="Y11" s="69"/>
    </row>
    <row r="12" spans="1:25" ht="15.75" customHeight="1">
      <c r="A12" s="134" t="s">
        <v>7649</v>
      </c>
      <c r="B12" s="133" t="s">
        <v>51</v>
      </c>
      <c r="C12" s="133" t="s">
        <v>10850</v>
      </c>
      <c r="D12" s="100">
        <v>100</v>
      </c>
      <c r="E12" s="528">
        <v>100</v>
      </c>
      <c r="F12" s="338" t="s">
        <v>7551</v>
      </c>
    </row>
    <row r="13" spans="1:25" ht="15.75" customHeight="1">
      <c r="A13" s="134" t="s">
        <v>6216</v>
      </c>
      <c r="B13" s="133" t="s">
        <v>51</v>
      </c>
      <c r="C13" s="133" t="s">
        <v>10851</v>
      </c>
      <c r="D13" s="100">
        <v>100</v>
      </c>
      <c r="E13" s="528">
        <v>100</v>
      </c>
      <c r="F13" s="338" t="s">
        <v>1315</v>
      </c>
    </row>
    <row r="14" spans="1:25" ht="15.75" customHeight="1">
      <c r="A14" s="134" t="s">
        <v>10421</v>
      </c>
      <c r="B14" s="133" t="s">
        <v>51</v>
      </c>
      <c r="C14" s="133" t="s">
        <v>10852</v>
      </c>
      <c r="D14" s="1221">
        <v>30</v>
      </c>
      <c r="E14" s="1146">
        <v>30</v>
      </c>
      <c r="F14" s="338" t="s">
        <v>231</v>
      </c>
    </row>
    <row r="15" spans="1:25" ht="15" customHeight="1">
      <c r="A15" s="134" t="s">
        <v>10421</v>
      </c>
      <c r="B15" s="133" t="s">
        <v>51</v>
      </c>
      <c r="C15" s="133" t="s">
        <v>10853</v>
      </c>
      <c r="D15" s="116">
        <v>100</v>
      </c>
      <c r="E15" s="528">
        <v>100</v>
      </c>
      <c r="F15" s="338" t="s">
        <v>231</v>
      </c>
    </row>
    <row r="16" spans="1:25" ht="15" customHeight="1">
      <c r="A16" s="386" t="s">
        <v>6237</v>
      </c>
      <c r="B16" s="387" t="s">
        <v>51</v>
      </c>
      <c r="C16" s="133" t="s">
        <v>10854</v>
      </c>
      <c r="D16" s="100" t="s">
        <v>10855</v>
      </c>
      <c r="E16" s="528">
        <v>24</v>
      </c>
      <c r="F16" s="338" t="s">
        <v>1339</v>
      </c>
    </row>
    <row r="17" spans="1:6" ht="15" customHeight="1">
      <c r="A17" s="134" t="s">
        <v>7554</v>
      </c>
      <c r="B17" s="133" t="s">
        <v>51</v>
      </c>
      <c r="C17" s="133" t="s">
        <v>10856</v>
      </c>
      <c r="D17" s="100">
        <v>12</v>
      </c>
      <c r="E17" s="528">
        <v>12</v>
      </c>
      <c r="F17" s="338" t="s">
        <v>1359</v>
      </c>
    </row>
    <row r="18" spans="1:6" ht="15" customHeight="1">
      <c r="A18" s="134" t="s">
        <v>7554</v>
      </c>
      <c r="B18" s="133" t="s">
        <v>51</v>
      </c>
      <c r="C18" s="133" t="s">
        <v>10857</v>
      </c>
      <c r="D18" s="100">
        <v>100</v>
      </c>
      <c r="E18" s="528">
        <v>100</v>
      </c>
      <c r="F18" s="338" t="s">
        <v>1359</v>
      </c>
    </row>
    <row r="19" spans="1:6" ht="15" customHeight="1">
      <c r="A19" s="134" t="s">
        <v>6254</v>
      </c>
      <c r="B19" s="133" t="s">
        <v>51</v>
      </c>
      <c r="C19" s="133" t="s">
        <v>10858</v>
      </c>
      <c r="D19" s="100">
        <v>50</v>
      </c>
      <c r="E19" s="528">
        <v>50</v>
      </c>
      <c r="F19" s="338" t="s">
        <v>249</v>
      </c>
    </row>
    <row r="20" spans="1:6" ht="15" customHeight="1">
      <c r="A20" s="134" t="s">
        <v>6254</v>
      </c>
      <c r="B20" s="133" t="s">
        <v>51</v>
      </c>
      <c r="C20" s="133" t="s">
        <v>10859</v>
      </c>
      <c r="D20" s="116">
        <v>8</v>
      </c>
      <c r="E20" s="528">
        <v>8</v>
      </c>
      <c r="F20" s="338" t="s">
        <v>249</v>
      </c>
    </row>
    <row r="21" spans="1:6" ht="15" customHeight="1">
      <c r="A21" s="134" t="s">
        <v>359</v>
      </c>
      <c r="B21" s="99" t="s">
        <v>51</v>
      </c>
      <c r="C21" s="99" t="s">
        <v>10860</v>
      </c>
      <c r="D21" s="116" t="s">
        <v>10861</v>
      </c>
      <c r="E21" s="528">
        <v>8</v>
      </c>
      <c r="F21" s="338" t="s">
        <v>359</v>
      </c>
    </row>
    <row r="22" spans="1:6" ht="15" customHeight="1">
      <c r="A22" s="134" t="s">
        <v>7379</v>
      </c>
      <c r="B22" s="133" t="s">
        <v>51</v>
      </c>
      <c r="C22" s="133" t="s">
        <v>10862</v>
      </c>
      <c r="D22" s="100"/>
      <c r="E22" s="528">
        <v>80</v>
      </c>
      <c r="F22" s="338" t="s">
        <v>384</v>
      </c>
    </row>
    <row r="23" spans="1:6" ht="15" customHeight="1">
      <c r="A23" s="134" t="s">
        <v>7562</v>
      </c>
      <c r="B23" s="133" t="s">
        <v>51</v>
      </c>
      <c r="C23" s="133" t="s">
        <v>10863</v>
      </c>
      <c r="D23" s="100">
        <v>80</v>
      </c>
      <c r="E23" s="528">
        <v>80</v>
      </c>
      <c r="F23" s="338" t="s">
        <v>7563</v>
      </c>
    </row>
    <row r="24" spans="1:6" ht="15" customHeight="1">
      <c r="A24" s="134" t="s">
        <v>7562</v>
      </c>
      <c r="B24" s="133" t="s">
        <v>51</v>
      </c>
      <c r="C24" s="133" t="s">
        <v>10853</v>
      </c>
      <c r="D24" s="116">
        <v>100</v>
      </c>
      <c r="E24" s="528">
        <v>100</v>
      </c>
      <c r="F24" s="338" t="s">
        <v>7563</v>
      </c>
    </row>
    <row r="25" spans="1:6" ht="15" customHeight="1">
      <c r="A25" s="134" t="s">
        <v>1822</v>
      </c>
      <c r="B25" s="133" t="s">
        <v>51</v>
      </c>
      <c r="C25" s="133" t="s">
        <v>10864</v>
      </c>
      <c r="D25" s="100">
        <v>100</v>
      </c>
      <c r="E25" s="528">
        <v>100</v>
      </c>
      <c r="F25" s="338" t="s">
        <v>1822</v>
      </c>
    </row>
    <row r="26" spans="1:6" ht="15" customHeight="1">
      <c r="A26" s="134" t="s">
        <v>7565</v>
      </c>
      <c r="B26" s="133" t="s">
        <v>51</v>
      </c>
      <c r="C26" s="133" t="s">
        <v>10865</v>
      </c>
      <c r="D26" s="186">
        <f>(29/3)*0.5+29/3+14/3</f>
        <v>19.166666666666668</v>
      </c>
      <c r="E26" s="528">
        <f>D26</f>
        <v>19.166666666666668</v>
      </c>
      <c r="F26" s="338" t="s">
        <v>1869</v>
      </c>
    </row>
    <row r="27" spans="1:6" ht="15" customHeight="1">
      <c r="A27" s="134" t="s">
        <v>409</v>
      </c>
      <c r="B27" s="133" t="s">
        <v>401</v>
      </c>
      <c r="C27" s="133" t="s">
        <v>10866</v>
      </c>
      <c r="D27" s="100">
        <v>100</v>
      </c>
      <c r="E27" s="528">
        <v>100</v>
      </c>
      <c r="F27" s="338" t="s">
        <v>409</v>
      </c>
    </row>
    <row r="28" spans="1:6" ht="15" customHeight="1">
      <c r="A28" s="134" t="s">
        <v>7047</v>
      </c>
      <c r="B28" s="133" t="s">
        <v>10867</v>
      </c>
      <c r="C28" s="133" t="s">
        <v>10868</v>
      </c>
      <c r="D28" s="1095">
        <v>50</v>
      </c>
      <c r="E28" s="564">
        <v>50</v>
      </c>
      <c r="F28" s="338" t="s">
        <v>2115</v>
      </c>
    </row>
    <row r="29" spans="1:6" ht="15" customHeight="1">
      <c r="A29" s="134" t="s">
        <v>7047</v>
      </c>
      <c r="B29" s="133" t="s">
        <v>10867</v>
      </c>
      <c r="C29" s="133" t="s">
        <v>10869</v>
      </c>
      <c r="D29" s="1095">
        <v>50</v>
      </c>
      <c r="E29" s="564">
        <v>50</v>
      </c>
      <c r="F29" s="338" t="s">
        <v>2115</v>
      </c>
    </row>
    <row r="30" spans="1:6" ht="15" customHeight="1">
      <c r="A30" s="134" t="s">
        <v>7047</v>
      </c>
      <c r="B30" s="133" t="s">
        <v>10867</v>
      </c>
      <c r="C30" s="133" t="s">
        <v>10870</v>
      </c>
      <c r="D30" s="1095">
        <v>8</v>
      </c>
      <c r="E30" s="564">
        <v>8</v>
      </c>
      <c r="F30" s="338" t="s">
        <v>2115</v>
      </c>
    </row>
    <row r="31" spans="1:6" ht="15" customHeight="1">
      <c r="A31" s="134" t="s">
        <v>7047</v>
      </c>
      <c r="B31" s="133" t="s">
        <v>10867</v>
      </c>
      <c r="C31" s="427" t="s">
        <v>10871</v>
      </c>
      <c r="D31" s="1095">
        <v>8</v>
      </c>
      <c r="E31" s="564">
        <v>8</v>
      </c>
      <c r="F31" s="338" t="s">
        <v>2115</v>
      </c>
    </row>
    <row r="32" spans="1:6" ht="15" customHeight="1">
      <c r="A32" s="134" t="s">
        <v>7047</v>
      </c>
      <c r="B32" s="133" t="s">
        <v>10867</v>
      </c>
      <c r="C32" s="427" t="s">
        <v>10872</v>
      </c>
      <c r="D32" s="1095">
        <v>8</v>
      </c>
      <c r="E32" s="564">
        <v>8</v>
      </c>
      <c r="F32" s="338" t="s">
        <v>2115</v>
      </c>
    </row>
    <row r="33" spans="1:6" ht="15" customHeight="1">
      <c r="A33" s="134" t="s">
        <v>7047</v>
      </c>
      <c r="B33" s="133" t="s">
        <v>10867</v>
      </c>
      <c r="C33" s="427" t="s">
        <v>10873</v>
      </c>
      <c r="D33" s="1095">
        <v>8</v>
      </c>
      <c r="E33" s="564">
        <v>8</v>
      </c>
      <c r="F33" s="338" t="s">
        <v>2115</v>
      </c>
    </row>
    <row r="34" spans="1:6" ht="15" customHeight="1">
      <c r="A34" s="134" t="s">
        <v>7047</v>
      </c>
      <c r="B34" s="133" t="s">
        <v>10867</v>
      </c>
      <c r="C34" s="427" t="s">
        <v>10874</v>
      </c>
      <c r="D34" s="1095">
        <v>8</v>
      </c>
      <c r="E34" s="564">
        <v>8</v>
      </c>
      <c r="F34" s="338" t="s">
        <v>2115</v>
      </c>
    </row>
    <row r="35" spans="1:6" ht="15" customHeight="1">
      <c r="A35" s="134" t="s">
        <v>7047</v>
      </c>
      <c r="B35" s="133" t="s">
        <v>10867</v>
      </c>
      <c r="C35" s="427" t="s">
        <v>10875</v>
      </c>
      <c r="D35" s="1095">
        <v>8</v>
      </c>
      <c r="E35" s="564">
        <v>8</v>
      </c>
      <c r="F35" s="338" t="s">
        <v>2115</v>
      </c>
    </row>
    <row r="36" spans="1:6" ht="15" customHeight="1">
      <c r="A36" s="134" t="s">
        <v>7047</v>
      </c>
      <c r="B36" s="133" t="s">
        <v>10867</v>
      </c>
      <c r="C36" s="427" t="s">
        <v>10876</v>
      </c>
      <c r="D36" s="1095">
        <v>8</v>
      </c>
      <c r="E36" s="564">
        <v>8</v>
      </c>
      <c r="F36" s="338" t="s">
        <v>2115</v>
      </c>
    </row>
    <row r="37" spans="1:6" ht="15" customHeight="1">
      <c r="A37" s="134" t="s">
        <v>7047</v>
      </c>
      <c r="B37" s="133" t="s">
        <v>10867</v>
      </c>
      <c r="C37" s="427" t="s">
        <v>10877</v>
      </c>
      <c r="D37" s="1095">
        <v>8</v>
      </c>
      <c r="E37" s="564">
        <v>8</v>
      </c>
      <c r="F37" s="338" t="s">
        <v>2115</v>
      </c>
    </row>
    <row r="38" spans="1:6" ht="15" customHeight="1">
      <c r="A38" s="134" t="s">
        <v>7047</v>
      </c>
      <c r="B38" s="133" t="s">
        <v>10867</v>
      </c>
      <c r="C38" s="427" t="s">
        <v>10878</v>
      </c>
      <c r="D38" s="1095">
        <v>8</v>
      </c>
      <c r="E38" s="564">
        <v>8</v>
      </c>
      <c r="F38" s="338" t="s">
        <v>2115</v>
      </c>
    </row>
    <row r="39" spans="1:6" ht="15" customHeight="1">
      <c r="A39" s="134" t="s">
        <v>7047</v>
      </c>
      <c r="B39" s="133" t="s">
        <v>10867</v>
      </c>
      <c r="C39" s="427" t="s">
        <v>10879</v>
      </c>
      <c r="D39" s="767">
        <f>8*5</f>
        <v>40</v>
      </c>
      <c r="E39" s="564">
        <v>40</v>
      </c>
      <c r="F39" s="338" t="s">
        <v>2115</v>
      </c>
    </row>
    <row r="40" spans="1:6" ht="15" customHeight="1">
      <c r="A40" s="134" t="s">
        <v>466</v>
      </c>
      <c r="B40" s="133" t="s">
        <v>401</v>
      </c>
      <c r="C40" s="133" t="s">
        <v>10880</v>
      </c>
      <c r="D40" s="100">
        <v>100</v>
      </c>
      <c r="E40" s="528">
        <v>100</v>
      </c>
      <c r="F40" s="338" t="s">
        <v>466</v>
      </c>
    </row>
    <row r="41" spans="1:6" ht="15" customHeight="1">
      <c r="A41" s="134" t="s">
        <v>10881</v>
      </c>
      <c r="B41" s="133" t="s">
        <v>51</v>
      </c>
      <c r="C41" s="133" t="s">
        <v>10882</v>
      </c>
      <c r="D41" s="100">
        <v>100</v>
      </c>
      <c r="E41" s="528">
        <v>100</v>
      </c>
      <c r="F41" s="338" t="s">
        <v>7657</v>
      </c>
    </row>
    <row r="42" spans="1:6" ht="15" customHeight="1">
      <c r="A42" s="134" t="s">
        <v>7571</v>
      </c>
      <c r="B42" s="133" t="s">
        <v>51</v>
      </c>
      <c r="C42" s="133" t="s">
        <v>10882</v>
      </c>
      <c r="D42" s="100">
        <v>16</v>
      </c>
      <c r="E42" s="528">
        <v>16</v>
      </c>
      <c r="F42" s="338" t="s">
        <v>7571</v>
      </c>
    </row>
    <row r="43" spans="1:6" ht="15" customHeight="1">
      <c r="A43" s="134" t="s">
        <v>2260</v>
      </c>
      <c r="B43" s="99" t="s">
        <v>51</v>
      </c>
      <c r="C43" s="133" t="s">
        <v>10882</v>
      </c>
      <c r="D43" s="100"/>
      <c r="E43" s="528">
        <v>50</v>
      </c>
      <c r="F43" s="338" t="s">
        <v>2260</v>
      </c>
    </row>
    <row r="44" spans="1:6" ht="15" customHeight="1">
      <c r="A44" s="134" t="s">
        <v>6415</v>
      </c>
      <c r="B44" s="99" t="s">
        <v>51</v>
      </c>
      <c r="C44" s="133" t="s">
        <v>10883</v>
      </c>
      <c r="D44" s="116">
        <v>8</v>
      </c>
      <c r="E44" s="528">
        <v>8</v>
      </c>
      <c r="F44" s="338" t="s">
        <v>482</v>
      </c>
    </row>
    <row r="45" spans="1:6" ht="15" customHeight="1">
      <c r="A45" s="134" t="s">
        <v>6415</v>
      </c>
      <c r="B45" s="99" t="s">
        <v>51</v>
      </c>
      <c r="C45" s="133" t="s">
        <v>10884</v>
      </c>
      <c r="D45" s="116">
        <v>8</v>
      </c>
      <c r="E45" s="528">
        <v>8</v>
      </c>
      <c r="F45" s="338" t="s">
        <v>482</v>
      </c>
    </row>
    <row r="46" spans="1:6" ht="15" customHeight="1">
      <c r="A46" s="134" t="s">
        <v>6435</v>
      </c>
      <c r="B46" s="133" t="s">
        <v>51</v>
      </c>
      <c r="C46" s="133" t="s">
        <v>10885</v>
      </c>
      <c r="D46" s="100">
        <v>30</v>
      </c>
      <c r="E46" s="528">
        <v>30</v>
      </c>
      <c r="F46" s="338" t="s">
        <v>2358</v>
      </c>
    </row>
    <row r="47" spans="1:6" ht="15" customHeight="1">
      <c r="A47" s="134" t="s">
        <v>7577</v>
      </c>
      <c r="B47" s="133" t="s">
        <v>51</v>
      </c>
      <c r="C47" s="133" t="s">
        <v>10886</v>
      </c>
      <c r="D47" s="116">
        <v>30</v>
      </c>
      <c r="E47" s="528">
        <v>30</v>
      </c>
      <c r="F47" s="338" t="s">
        <v>7578</v>
      </c>
    </row>
    <row r="48" spans="1:6" ht="15" customHeight="1">
      <c r="A48" s="134" t="s">
        <v>7577</v>
      </c>
      <c r="B48" s="133" t="s">
        <v>51</v>
      </c>
      <c r="C48" s="133" t="s">
        <v>10887</v>
      </c>
      <c r="D48" s="4">
        <v>8</v>
      </c>
      <c r="E48" s="528">
        <v>8</v>
      </c>
      <c r="F48" s="338" t="s">
        <v>7578</v>
      </c>
    </row>
    <row r="49" spans="1:6" ht="15" customHeight="1">
      <c r="A49" s="134" t="s">
        <v>7097</v>
      </c>
      <c r="B49" s="133" t="s">
        <v>51</v>
      </c>
      <c r="C49" s="133" t="s">
        <v>10888</v>
      </c>
      <c r="D49" s="100">
        <f>8*2</f>
        <v>16</v>
      </c>
      <c r="E49" s="528">
        <f t="shared" ref="E49:E51" si="0">D49</f>
        <v>16</v>
      </c>
      <c r="F49" s="338" t="s">
        <v>2392</v>
      </c>
    </row>
    <row r="50" spans="1:6" ht="15" customHeight="1">
      <c r="A50" s="134" t="s">
        <v>7097</v>
      </c>
      <c r="B50" s="133" t="s">
        <v>51</v>
      </c>
      <c r="C50" s="133" t="s">
        <v>10889</v>
      </c>
      <c r="D50" s="100">
        <v>30</v>
      </c>
      <c r="E50" s="528">
        <f t="shared" si="0"/>
        <v>30</v>
      </c>
      <c r="F50" s="338" t="s">
        <v>2392</v>
      </c>
    </row>
    <row r="51" spans="1:6" ht="15" customHeight="1">
      <c r="A51" s="134" t="s">
        <v>7097</v>
      </c>
      <c r="B51" s="133" t="s">
        <v>51</v>
      </c>
      <c r="C51" s="133" t="s">
        <v>10853</v>
      </c>
      <c r="D51" s="100">
        <v>100</v>
      </c>
      <c r="E51" s="528">
        <f t="shared" si="0"/>
        <v>100</v>
      </c>
      <c r="F51" s="338" t="s">
        <v>2392</v>
      </c>
    </row>
    <row r="52" spans="1:6" ht="15" customHeight="1">
      <c r="A52" s="134" t="s">
        <v>10890</v>
      </c>
      <c r="B52" s="133" t="s">
        <v>4805</v>
      </c>
      <c r="C52" s="133" t="s">
        <v>10882</v>
      </c>
      <c r="D52" s="100">
        <v>100</v>
      </c>
      <c r="E52" s="528">
        <v>100</v>
      </c>
      <c r="F52" s="338" t="s">
        <v>2399</v>
      </c>
    </row>
    <row r="53" spans="1:6" ht="15" customHeight="1">
      <c r="A53" s="134" t="s">
        <v>10890</v>
      </c>
      <c r="B53" s="133" t="s">
        <v>4805</v>
      </c>
      <c r="C53" s="133" t="s">
        <v>10891</v>
      </c>
      <c r="D53" s="116">
        <v>40</v>
      </c>
      <c r="E53" s="528">
        <v>40</v>
      </c>
      <c r="F53" s="338" t="s">
        <v>2399</v>
      </c>
    </row>
    <row r="54" spans="1:6" ht="15" customHeight="1">
      <c r="A54" s="134" t="s">
        <v>488</v>
      </c>
      <c r="B54" s="133" t="s">
        <v>51</v>
      </c>
      <c r="C54" s="133" t="s">
        <v>10892</v>
      </c>
      <c r="D54" s="100">
        <v>100</v>
      </c>
      <c r="E54" s="528">
        <v>100</v>
      </c>
      <c r="F54" s="338" t="s">
        <v>488</v>
      </c>
    </row>
    <row r="55" spans="1:6" ht="15" customHeight="1">
      <c r="A55" s="134" t="s">
        <v>10636</v>
      </c>
      <c r="B55" s="133" t="s">
        <v>51</v>
      </c>
      <c r="C55" s="133" t="s">
        <v>10893</v>
      </c>
      <c r="D55" s="100">
        <f>E55</f>
        <v>20</v>
      </c>
      <c r="E55" s="528">
        <v>20</v>
      </c>
      <c r="F55" s="338" t="s">
        <v>2513</v>
      </c>
    </row>
    <row r="56" spans="1:6" ht="15" customHeight="1">
      <c r="A56" s="134" t="s">
        <v>10636</v>
      </c>
      <c r="B56" s="133" t="s">
        <v>51</v>
      </c>
      <c r="C56" s="133" t="s">
        <v>10882</v>
      </c>
      <c r="D56" s="100">
        <v>100</v>
      </c>
      <c r="E56" s="528">
        <f t="shared" ref="E56:E58" si="1">D56</f>
        <v>100</v>
      </c>
      <c r="F56" s="338" t="s">
        <v>2513</v>
      </c>
    </row>
    <row r="57" spans="1:6" ht="15" customHeight="1">
      <c r="A57" s="134" t="s">
        <v>10636</v>
      </c>
      <c r="B57" s="133" t="s">
        <v>51</v>
      </c>
      <c r="C57" s="133" t="s">
        <v>10863</v>
      </c>
      <c r="D57" s="100">
        <v>80</v>
      </c>
      <c r="E57" s="528">
        <f t="shared" si="1"/>
        <v>80</v>
      </c>
      <c r="F57" s="338" t="s">
        <v>2513</v>
      </c>
    </row>
    <row r="58" spans="1:6" ht="15" customHeight="1">
      <c r="A58" s="134" t="s">
        <v>10636</v>
      </c>
      <c r="B58" s="133" t="s">
        <v>51</v>
      </c>
      <c r="C58" s="133" t="s">
        <v>10894</v>
      </c>
      <c r="D58" s="100">
        <v>30</v>
      </c>
      <c r="E58" s="528">
        <f t="shared" si="1"/>
        <v>30</v>
      </c>
      <c r="F58" s="338" t="s">
        <v>2513</v>
      </c>
    </row>
    <row r="59" spans="1:6" ht="15" customHeight="1">
      <c r="A59" s="134" t="s">
        <v>7587</v>
      </c>
      <c r="B59" s="133" t="s">
        <v>51</v>
      </c>
      <c r="C59" s="133" t="s">
        <v>10895</v>
      </c>
      <c r="D59" s="100">
        <v>64</v>
      </c>
      <c r="E59" s="528">
        <v>64</v>
      </c>
      <c r="F59" s="338" t="s">
        <v>7589</v>
      </c>
    </row>
    <row r="60" spans="1:6" ht="15" customHeight="1">
      <c r="A60" s="134" t="s">
        <v>7587</v>
      </c>
      <c r="B60" s="133" t="s">
        <v>51</v>
      </c>
      <c r="C60" s="133" t="s">
        <v>10896</v>
      </c>
      <c r="D60" s="116">
        <v>50</v>
      </c>
      <c r="E60" s="528">
        <v>50</v>
      </c>
      <c r="F60" s="338" t="s">
        <v>7589</v>
      </c>
    </row>
    <row r="61" spans="1:6" ht="15" customHeight="1">
      <c r="A61" s="134" t="s">
        <v>7587</v>
      </c>
      <c r="B61" s="133" t="s">
        <v>51</v>
      </c>
      <c r="C61" s="133" t="s">
        <v>10897</v>
      </c>
      <c r="D61" s="116">
        <v>32</v>
      </c>
      <c r="E61" s="528">
        <v>32</v>
      </c>
      <c r="F61" s="338" t="s">
        <v>7589</v>
      </c>
    </row>
    <row r="62" spans="1:6" ht="15" customHeight="1">
      <c r="A62" s="134" t="s">
        <v>2520</v>
      </c>
      <c r="B62" s="133" t="s">
        <v>51</v>
      </c>
      <c r="C62" s="133" t="s">
        <v>10898</v>
      </c>
      <c r="D62" s="100">
        <v>100</v>
      </c>
      <c r="E62" s="528">
        <v>100</v>
      </c>
      <c r="F62" s="338" t="s">
        <v>2520</v>
      </c>
    </row>
    <row r="63" spans="1:6" ht="15" customHeight="1">
      <c r="A63" s="1222" t="s">
        <v>7596</v>
      </c>
      <c r="B63" s="1196" t="s">
        <v>51</v>
      </c>
      <c r="C63" s="1196" t="s">
        <v>10899</v>
      </c>
      <c r="D63" s="1197">
        <v>8</v>
      </c>
      <c r="E63" s="1146">
        <v>30</v>
      </c>
      <c r="F63" s="338" t="s">
        <v>545</v>
      </c>
    </row>
    <row r="64" spans="1:6" ht="15" customHeight="1">
      <c r="A64" s="162" t="s">
        <v>580</v>
      </c>
      <c r="B64" s="162" t="s">
        <v>51</v>
      </c>
      <c r="C64" s="162" t="s">
        <v>10900</v>
      </c>
      <c r="D64" s="163">
        <v>8</v>
      </c>
      <c r="E64" s="483">
        <v>8</v>
      </c>
      <c r="F64" s="338" t="s">
        <v>580</v>
      </c>
    </row>
    <row r="65" spans="1:6" ht="15" customHeight="1">
      <c r="A65" s="162" t="s">
        <v>580</v>
      </c>
      <c r="B65" s="162" t="s">
        <v>51</v>
      </c>
      <c r="C65" s="162" t="s">
        <v>10901</v>
      </c>
      <c r="D65" s="163">
        <v>100</v>
      </c>
      <c r="E65" s="483">
        <v>100</v>
      </c>
      <c r="F65" s="338" t="s">
        <v>580</v>
      </c>
    </row>
    <row r="66" spans="1:6" ht="15" customHeight="1">
      <c r="A66" s="162" t="s">
        <v>580</v>
      </c>
      <c r="B66" s="162" t="s">
        <v>105</v>
      </c>
      <c r="C66" s="162" t="s">
        <v>10902</v>
      </c>
      <c r="D66" s="163">
        <v>8</v>
      </c>
      <c r="E66" s="483">
        <v>8</v>
      </c>
      <c r="F66" s="338" t="s">
        <v>580</v>
      </c>
    </row>
    <row r="67" spans="1:6" ht="15" customHeight="1">
      <c r="A67" s="162" t="s">
        <v>580</v>
      </c>
      <c r="B67" s="162" t="s">
        <v>968</v>
      </c>
      <c r="C67" s="162" t="s">
        <v>10903</v>
      </c>
      <c r="D67" s="737">
        <v>8</v>
      </c>
      <c r="E67" s="483">
        <v>8</v>
      </c>
      <c r="F67" s="338" t="s">
        <v>580</v>
      </c>
    </row>
    <row r="68" spans="1:6" ht="15" customHeight="1">
      <c r="A68" s="162" t="s">
        <v>580</v>
      </c>
      <c r="B68" s="162" t="s">
        <v>2438</v>
      </c>
      <c r="C68" s="162" t="s">
        <v>10904</v>
      </c>
      <c r="D68" s="737">
        <v>8</v>
      </c>
      <c r="E68" s="483">
        <v>8</v>
      </c>
      <c r="F68" s="338" t="s">
        <v>580</v>
      </c>
    </row>
    <row r="69" spans="1:6" ht="15" customHeight="1">
      <c r="A69" s="162" t="s">
        <v>580</v>
      </c>
      <c r="B69" s="162" t="s">
        <v>2441</v>
      </c>
      <c r="C69" s="162" t="s">
        <v>10905</v>
      </c>
      <c r="D69" s="737">
        <v>8</v>
      </c>
      <c r="E69" s="483">
        <v>8</v>
      </c>
      <c r="F69" s="338" t="s">
        <v>580</v>
      </c>
    </row>
    <row r="70" spans="1:6" ht="15" customHeight="1">
      <c r="A70" s="134" t="s">
        <v>7604</v>
      </c>
      <c r="B70" s="133" t="s">
        <v>51</v>
      </c>
      <c r="C70" s="133" t="s">
        <v>10895</v>
      </c>
      <c r="D70" s="100">
        <f>8*8</f>
        <v>64</v>
      </c>
      <c r="E70" s="528">
        <v>64</v>
      </c>
      <c r="F70" s="338" t="s">
        <v>7606</v>
      </c>
    </row>
    <row r="71" spans="1:6" ht="15" customHeight="1">
      <c r="A71" s="134" t="s">
        <v>7604</v>
      </c>
      <c r="B71" s="133" t="s">
        <v>51</v>
      </c>
      <c r="C71" s="133" t="s">
        <v>10896</v>
      </c>
      <c r="D71" s="116">
        <v>50</v>
      </c>
      <c r="E71" s="528">
        <v>50</v>
      </c>
      <c r="F71" s="338" t="s">
        <v>7606</v>
      </c>
    </row>
    <row r="72" spans="1:6" ht="15" customHeight="1">
      <c r="A72" s="134" t="s">
        <v>7604</v>
      </c>
      <c r="B72" s="133" t="s">
        <v>51</v>
      </c>
      <c r="C72" s="133" t="s">
        <v>10897</v>
      </c>
      <c r="D72" s="116">
        <v>30</v>
      </c>
      <c r="E72" s="528">
        <v>30</v>
      </c>
      <c r="F72" s="338" t="s">
        <v>7606</v>
      </c>
    </row>
    <row r="73" spans="1:6" ht="15" customHeight="1">
      <c r="A73" s="134" t="s">
        <v>7604</v>
      </c>
      <c r="B73" s="133" t="s">
        <v>51</v>
      </c>
      <c r="C73" s="133" t="s">
        <v>10906</v>
      </c>
      <c r="D73" s="116">
        <v>80</v>
      </c>
      <c r="E73" s="528">
        <v>80</v>
      </c>
      <c r="F73" s="338" t="s">
        <v>7606</v>
      </c>
    </row>
    <row r="74" spans="1:6" ht="15" customHeight="1">
      <c r="A74" s="134" t="s">
        <v>7604</v>
      </c>
      <c r="B74" s="133" t="s">
        <v>51</v>
      </c>
      <c r="C74" s="133" t="s">
        <v>10907</v>
      </c>
      <c r="D74" s="116">
        <v>100</v>
      </c>
      <c r="E74" s="528">
        <v>100</v>
      </c>
      <c r="F74" s="338" t="s">
        <v>7606</v>
      </c>
    </row>
    <row r="75" spans="1:6" ht="15" customHeight="1">
      <c r="A75" s="134" t="s">
        <v>592</v>
      </c>
      <c r="B75" s="133" t="s">
        <v>51</v>
      </c>
      <c r="C75" s="133" t="s">
        <v>10908</v>
      </c>
      <c r="D75" s="100">
        <v>100</v>
      </c>
      <c r="E75" s="528">
        <v>100</v>
      </c>
      <c r="F75" s="338" t="s">
        <v>592</v>
      </c>
    </row>
    <row r="76" spans="1:6" ht="15" customHeight="1">
      <c r="A76" s="134" t="s">
        <v>7607</v>
      </c>
      <c r="B76" s="133" t="s">
        <v>51</v>
      </c>
      <c r="C76" s="133" t="s">
        <v>10909</v>
      </c>
      <c r="D76" s="100">
        <v>20</v>
      </c>
      <c r="E76" s="528">
        <v>20</v>
      </c>
      <c r="F76" s="338" t="s">
        <v>608</v>
      </c>
    </row>
    <row r="77" spans="1:6" ht="15" customHeight="1">
      <c r="A77" s="134" t="s">
        <v>7607</v>
      </c>
      <c r="B77" s="133" t="s">
        <v>51</v>
      </c>
      <c r="C77" s="133" t="s">
        <v>10910</v>
      </c>
      <c r="D77" s="100">
        <v>20</v>
      </c>
      <c r="E77" s="528">
        <v>20</v>
      </c>
      <c r="F77" s="338" t="s">
        <v>608</v>
      </c>
    </row>
    <row r="78" spans="1:6" ht="15" customHeight="1">
      <c r="A78" s="134" t="s">
        <v>7607</v>
      </c>
      <c r="B78" s="133" t="s">
        <v>51</v>
      </c>
      <c r="C78" s="133" t="s">
        <v>10911</v>
      </c>
      <c r="D78" s="100">
        <v>20</v>
      </c>
      <c r="E78" s="528">
        <v>20</v>
      </c>
      <c r="F78" s="338" t="s">
        <v>608</v>
      </c>
    </row>
    <row r="79" spans="1:6" ht="15" customHeight="1">
      <c r="A79" s="134" t="s">
        <v>7607</v>
      </c>
      <c r="B79" s="133" t="s">
        <v>51</v>
      </c>
      <c r="C79" s="133" t="s">
        <v>10912</v>
      </c>
      <c r="D79" s="100">
        <v>20</v>
      </c>
      <c r="E79" s="528">
        <v>20</v>
      </c>
      <c r="F79" s="338" t="s">
        <v>608</v>
      </c>
    </row>
    <row r="80" spans="1:6" ht="15" customHeight="1">
      <c r="A80" s="134" t="s">
        <v>7607</v>
      </c>
      <c r="B80" s="133" t="s">
        <v>51</v>
      </c>
      <c r="C80" s="133" t="s">
        <v>10913</v>
      </c>
      <c r="D80" s="100">
        <v>20</v>
      </c>
      <c r="E80" s="528">
        <v>20</v>
      </c>
      <c r="F80" s="338" t="s">
        <v>608</v>
      </c>
    </row>
    <row r="81" spans="1:26" ht="15" customHeight="1">
      <c r="A81" s="134" t="s">
        <v>7148</v>
      </c>
      <c r="B81" s="133" t="s">
        <v>401</v>
      </c>
      <c r="C81" s="133" t="s">
        <v>10914</v>
      </c>
      <c r="D81" s="116" t="s">
        <v>10915</v>
      </c>
      <c r="E81" s="1146">
        <v>30</v>
      </c>
      <c r="F81" s="338" t="s">
        <v>2783</v>
      </c>
    </row>
    <row r="82" spans="1:26" ht="15" customHeight="1">
      <c r="A82" s="134" t="s">
        <v>7148</v>
      </c>
      <c r="B82" s="133" t="s">
        <v>401</v>
      </c>
      <c r="C82" s="133" t="s">
        <v>10916</v>
      </c>
      <c r="D82" s="116" t="s">
        <v>10915</v>
      </c>
      <c r="E82" s="528">
        <v>8</v>
      </c>
      <c r="F82" s="338" t="s">
        <v>2783</v>
      </c>
    </row>
    <row r="83" spans="1:26" ht="15" customHeight="1">
      <c r="A83" s="134" t="s">
        <v>7148</v>
      </c>
      <c r="B83" s="133" t="s">
        <v>401</v>
      </c>
      <c r="C83" s="133" t="s">
        <v>10917</v>
      </c>
      <c r="D83" s="116" t="s">
        <v>10915</v>
      </c>
      <c r="E83" s="528">
        <v>24</v>
      </c>
      <c r="F83" s="338" t="s">
        <v>2783</v>
      </c>
    </row>
    <row r="84" spans="1:26" ht="15.75" customHeight="1">
      <c r="A84" s="134" t="s">
        <v>7610</v>
      </c>
      <c r="B84" s="133" t="s">
        <v>141</v>
      </c>
      <c r="C84" s="133" t="s">
        <v>10882</v>
      </c>
      <c r="D84" s="116">
        <v>100</v>
      </c>
      <c r="E84" s="528">
        <v>100</v>
      </c>
      <c r="F84" s="216" t="str">
        <f t="shared" ref="F84:F96" si="2">A84</f>
        <v xml:space="preserve">Brad Remus </v>
      </c>
      <c r="G84" s="216"/>
      <c r="H84" s="216"/>
      <c r="I84" s="216"/>
      <c r="J84" s="216"/>
      <c r="K84" s="216"/>
      <c r="L84" s="216"/>
      <c r="M84" s="216"/>
      <c r="N84" s="216"/>
      <c r="O84" s="216"/>
      <c r="P84" s="216"/>
      <c r="Q84" s="216"/>
      <c r="R84" s="216"/>
      <c r="S84" s="216"/>
      <c r="T84" s="216"/>
      <c r="U84" s="216"/>
      <c r="V84" s="216"/>
      <c r="W84" s="216"/>
      <c r="X84" s="216"/>
      <c r="Y84" s="216"/>
      <c r="Z84" s="216"/>
    </row>
    <row r="85" spans="1:26" ht="15.75" customHeight="1">
      <c r="A85" s="134" t="s">
        <v>7610</v>
      </c>
      <c r="B85" s="133" t="s">
        <v>141</v>
      </c>
      <c r="C85" s="133" t="s">
        <v>10918</v>
      </c>
      <c r="D85" s="116">
        <v>50</v>
      </c>
      <c r="E85" s="528">
        <v>50</v>
      </c>
      <c r="F85" s="216" t="str">
        <f t="shared" si="2"/>
        <v xml:space="preserve">Brad Remus </v>
      </c>
      <c r="G85" s="216"/>
      <c r="H85" s="216"/>
      <c r="I85" s="216"/>
      <c r="J85" s="216"/>
      <c r="K85" s="216"/>
      <c r="L85" s="216"/>
      <c r="M85" s="216"/>
      <c r="N85" s="216"/>
      <c r="O85" s="216"/>
      <c r="P85" s="216"/>
      <c r="Q85" s="216"/>
      <c r="R85" s="216"/>
      <c r="S85" s="216"/>
      <c r="T85" s="216"/>
      <c r="U85" s="216"/>
      <c r="V85" s="216"/>
      <c r="W85" s="216"/>
      <c r="X85" s="216"/>
      <c r="Y85" s="216"/>
      <c r="Z85" s="216"/>
    </row>
    <row r="86" spans="1:26" ht="15.75" customHeight="1">
      <c r="A86" s="134" t="s">
        <v>2962</v>
      </c>
      <c r="B86" s="133" t="s">
        <v>141</v>
      </c>
      <c r="C86" s="133" t="s">
        <v>10882</v>
      </c>
      <c r="D86" s="100">
        <v>100</v>
      </c>
      <c r="E86" s="528">
        <v>100</v>
      </c>
      <c r="F86" s="216" t="str">
        <f t="shared" si="2"/>
        <v>Breazu Macarie</v>
      </c>
      <c r="G86" s="216"/>
      <c r="H86" s="216"/>
      <c r="I86" s="216"/>
      <c r="J86" s="216"/>
      <c r="K86" s="216"/>
      <c r="L86" s="216"/>
      <c r="M86" s="216"/>
      <c r="N86" s="216"/>
      <c r="O86" s="216"/>
      <c r="P86" s="216"/>
      <c r="Q86" s="216"/>
      <c r="R86" s="216"/>
      <c r="S86" s="216"/>
      <c r="T86" s="216"/>
      <c r="U86" s="216"/>
      <c r="V86" s="216"/>
      <c r="W86" s="216"/>
      <c r="X86" s="216"/>
      <c r="Y86" s="216"/>
      <c r="Z86" s="216"/>
    </row>
    <row r="87" spans="1:26" ht="15.75" customHeight="1">
      <c r="A87" s="134" t="s">
        <v>7404</v>
      </c>
      <c r="B87" s="133" t="s">
        <v>141</v>
      </c>
      <c r="C87" s="133" t="s">
        <v>10919</v>
      </c>
      <c r="D87" s="100">
        <v>80</v>
      </c>
      <c r="E87" s="528">
        <v>80</v>
      </c>
      <c r="F87" s="216" t="str">
        <f t="shared" si="2"/>
        <v>Crețulescu Radu</v>
      </c>
      <c r="G87" s="216"/>
      <c r="H87" s="216"/>
      <c r="I87" s="216"/>
      <c r="J87" s="216"/>
      <c r="K87" s="216"/>
      <c r="L87" s="216"/>
      <c r="M87" s="216"/>
      <c r="N87" s="216"/>
      <c r="O87" s="216"/>
      <c r="P87" s="216"/>
      <c r="Q87" s="216"/>
      <c r="R87" s="216"/>
      <c r="S87" s="216"/>
      <c r="T87" s="216"/>
      <c r="U87" s="216"/>
      <c r="V87" s="216"/>
      <c r="W87" s="216"/>
      <c r="X87" s="216"/>
      <c r="Y87" s="216"/>
      <c r="Z87" s="216"/>
    </row>
    <row r="88" spans="1:26" ht="15.75" customHeight="1">
      <c r="A88" s="134" t="s">
        <v>7404</v>
      </c>
      <c r="B88" s="133" t="s">
        <v>141</v>
      </c>
      <c r="C88" s="133" t="s">
        <v>10920</v>
      </c>
      <c r="D88" s="116">
        <v>100</v>
      </c>
      <c r="E88" s="528">
        <v>100</v>
      </c>
      <c r="F88" s="216" t="str">
        <f t="shared" si="2"/>
        <v>Crețulescu Radu</v>
      </c>
      <c r="G88" s="216"/>
      <c r="H88" s="216"/>
      <c r="I88" s="216"/>
      <c r="J88" s="216"/>
      <c r="K88" s="216"/>
      <c r="L88" s="216"/>
      <c r="M88" s="216"/>
      <c r="N88" s="216"/>
      <c r="O88" s="216"/>
      <c r="P88" s="216"/>
      <c r="Q88" s="216"/>
      <c r="R88" s="216"/>
      <c r="S88" s="216"/>
      <c r="T88" s="216"/>
      <c r="U88" s="216"/>
      <c r="V88" s="216"/>
      <c r="W88" s="216"/>
      <c r="X88" s="216"/>
      <c r="Y88" s="216"/>
      <c r="Z88" s="216"/>
    </row>
    <row r="89" spans="1:26" ht="15.75" customHeight="1">
      <c r="A89" s="134" t="s">
        <v>798</v>
      </c>
      <c r="B89" s="133" t="s">
        <v>141</v>
      </c>
      <c r="C89" s="133" t="s">
        <v>10921</v>
      </c>
      <c r="D89" s="100">
        <v>20</v>
      </c>
      <c r="E89" s="528">
        <v>20</v>
      </c>
      <c r="F89" s="216" t="str">
        <f t="shared" si="2"/>
        <v>Florea Adrian</v>
      </c>
      <c r="G89" s="216"/>
      <c r="H89" s="216"/>
      <c r="I89" s="216"/>
      <c r="J89" s="216"/>
      <c r="K89" s="216"/>
      <c r="L89" s="216"/>
      <c r="M89" s="216"/>
      <c r="N89" s="216"/>
      <c r="O89" s="216"/>
      <c r="P89" s="216"/>
      <c r="Q89" s="216"/>
      <c r="R89" s="216"/>
      <c r="S89" s="216"/>
      <c r="T89" s="216"/>
      <c r="U89" s="216"/>
      <c r="V89" s="216"/>
      <c r="W89" s="216"/>
      <c r="X89" s="216"/>
      <c r="Y89" s="216"/>
      <c r="Z89" s="216"/>
    </row>
    <row r="90" spans="1:26" ht="15.75" customHeight="1">
      <c r="A90" s="134" t="s">
        <v>3249</v>
      </c>
      <c r="B90" s="133" t="s">
        <v>141</v>
      </c>
      <c r="C90" s="133" t="s">
        <v>10919</v>
      </c>
      <c r="D90" s="100">
        <v>80</v>
      </c>
      <c r="E90" s="528">
        <v>80</v>
      </c>
      <c r="F90" s="216" t="str">
        <f t="shared" si="2"/>
        <v>Morariu Daniel</v>
      </c>
      <c r="G90" s="216"/>
      <c r="H90" s="216"/>
      <c r="I90" s="216"/>
      <c r="J90" s="216"/>
      <c r="K90" s="216"/>
      <c r="L90" s="216"/>
      <c r="M90" s="216"/>
      <c r="N90" s="216"/>
      <c r="O90" s="216"/>
      <c r="P90" s="216"/>
      <c r="Q90" s="216"/>
      <c r="R90" s="216"/>
      <c r="S90" s="216"/>
      <c r="T90" s="216"/>
      <c r="U90" s="216"/>
      <c r="V90" s="216"/>
      <c r="W90" s="216"/>
      <c r="X90" s="216"/>
      <c r="Y90" s="216"/>
      <c r="Z90" s="216"/>
    </row>
    <row r="91" spans="1:26" ht="15.75" customHeight="1">
      <c r="A91" s="134" t="s">
        <v>3249</v>
      </c>
      <c r="B91" s="133" t="s">
        <v>141</v>
      </c>
      <c r="C91" s="133" t="s">
        <v>10882</v>
      </c>
      <c r="D91" s="116">
        <v>100</v>
      </c>
      <c r="E91" s="528">
        <v>100</v>
      </c>
      <c r="F91" s="216" t="str">
        <f t="shared" si="2"/>
        <v>Morariu Daniel</v>
      </c>
      <c r="G91" s="1"/>
      <c r="H91" s="1"/>
      <c r="I91" s="216"/>
      <c r="J91" s="216"/>
      <c r="K91" s="216"/>
      <c r="L91" s="216"/>
      <c r="M91" s="216"/>
      <c r="N91" s="216"/>
      <c r="O91" s="216"/>
      <c r="P91" s="216"/>
      <c r="Q91" s="216"/>
      <c r="R91" s="216"/>
      <c r="S91" s="216"/>
      <c r="T91" s="216"/>
      <c r="U91" s="216"/>
      <c r="V91" s="216"/>
      <c r="W91" s="216"/>
      <c r="X91" s="216"/>
      <c r="Y91" s="216"/>
      <c r="Z91" s="216"/>
    </row>
    <row r="92" spans="1:26" ht="15" customHeight="1">
      <c r="A92" s="134" t="s">
        <v>1272</v>
      </c>
      <c r="B92" s="141" t="s">
        <v>141</v>
      </c>
      <c r="C92" s="116" t="s">
        <v>10922</v>
      </c>
      <c r="D92" s="116">
        <v>8</v>
      </c>
      <c r="E92" s="528">
        <v>8</v>
      </c>
      <c r="F92" s="216" t="str">
        <f t="shared" si="2"/>
        <v>Zamfirescu Bălă-Constantin</v>
      </c>
      <c r="G92" s="216"/>
      <c r="H92" s="216"/>
      <c r="I92" s="64"/>
      <c r="J92" s="64"/>
      <c r="K92" s="64"/>
      <c r="L92" s="64"/>
      <c r="M92" s="64"/>
      <c r="N92" s="64"/>
      <c r="O92" s="64"/>
      <c r="P92" s="64"/>
      <c r="Q92" s="64"/>
      <c r="R92" s="64"/>
      <c r="S92" s="64"/>
      <c r="T92" s="64"/>
      <c r="U92" s="64"/>
      <c r="V92" s="64"/>
      <c r="W92" s="64"/>
      <c r="X92" s="64"/>
      <c r="Y92" s="64"/>
      <c r="Z92" s="216"/>
    </row>
    <row r="93" spans="1:26" ht="15.75" customHeight="1">
      <c r="A93" s="134" t="s">
        <v>3417</v>
      </c>
      <c r="B93" s="133" t="s">
        <v>141</v>
      </c>
      <c r="C93" s="133" t="s">
        <v>10920</v>
      </c>
      <c r="D93" s="116">
        <v>100</v>
      </c>
      <c r="E93" s="528">
        <v>100</v>
      </c>
      <c r="F93" s="216" t="str">
        <f t="shared" si="2"/>
        <v>Pitic Antoniu</v>
      </c>
      <c r="G93" s="1"/>
      <c r="H93" s="1"/>
      <c r="I93" s="216"/>
      <c r="J93" s="216"/>
      <c r="K93" s="216"/>
      <c r="L93" s="216"/>
      <c r="M93" s="216"/>
      <c r="N93" s="216"/>
      <c r="O93" s="216"/>
      <c r="P93" s="216"/>
      <c r="Q93" s="216"/>
      <c r="R93" s="216"/>
      <c r="S93" s="216"/>
      <c r="T93" s="216"/>
      <c r="U93" s="216"/>
      <c r="V93" s="216"/>
      <c r="W93" s="216"/>
      <c r="X93" s="216"/>
      <c r="Y93" s="216"/>
      <c r="Z93" s="216"/>
    </row>
    <row r="94" spans="1:26" ht="15.75" customHeight="1">
      <c r="A94" s="134" t="s">
        <v>3450</v>
      </c>
      <c r="B94" s="133" t="s">
        <v>141</v>
      </c>
      <c r="C94" s="133" t="s">
        <v>10923</v>
      </c>
      <c r="D94" s="100">
        <v>80</v>
      </c>
      <c r="E94" s="528">
        <v>80</v>
      </c>
      <c r="F94" s="216" t="str">
        <f t="shared" si="2"/>
        <v>Viorel Alina</v>
      </c>
      <c r="G94" s="1"/>
      <c r="H94" s="1"/>
      <c r="I94" s="216"/>
      <c r="J94" s="216"/>
      <c r="K94" s="216"/>
      <c r="L94" s="216"/>
      <c r="M94" s="216"/>
      <c r="N94" s="216"/>
      <c r="O94" s="216"/>
      <c r="P94" s="216"/>
      <c r="Q94" s="216"/>
      <c r="R94" s="216"/>
      <c r="S94" s="216"/>
      <c r="T94" s="216"/>
      <c r="U94" s="216"/>
      <c r="V94" s="216"/>
      <c r="W94" s="216"/>
      <c r="X94" s="216"/>
      <c r="Y94" s="216"/>
      <c r="Z94" s="216"/>
    </row>
    <row r="95" spans="1:26" ht="15.75" customHeight="1">
      <c r="A95" s="134" t="s">
        <v>1204</v>
      </c>
      <c r="B95" s="133" t="s">
        <v>141</v>
      </c>
      <c r="C95" s="133" t="s">
        <v>10924</v>
      </c>
      <c r="D95" s="100" t="s">
        <v>10925</v>
      </c>
      <c r="E95" s="528">
        <v>56</v>
      </c>
      <c r="F95" s="216" t="str">
        <f t="shared" si="2"/>
        <v>Volovici Daniel</v>
      </c>
      <c r="G95" s="1"/>
      <c r="H95" s="1"/>
      <c r="I95" s="216"/>
      <c r="J95" s="216"/>
      <c r="K95" s="216"/>
      <c r="L95" s="216"/>
      <c r="M95" s="216"/>
      <c r="N95" s="216"/>
      <c r="O95" s="216"/>
      <c r="P95" s="216"/>
      <c r="Q95" s="216"/>
      <c r="R95" s="216"/>
      <c r="S95" s="216"/>
      <c r="T95" s="216"/>
      <c r="U95" s="216"/>
      <c r="V95" s="216"/>
      <c r="W95" s="216"/>
      <c r="X95" s="216"/>
      <c r="Y95" s="216"/>
      <c r="Z95" s="216"/>
    </row>
    <row r="96" spans="1:26" ht="15.75" customHeight="1">
      <c r="A96" s="134" t="s">
        <v>1204</v>
      </c>
      <c r="B96" s="133" t="s">
        <v>141</v>
      </c>
      <c r="C96" s="133" t="s">
        <v>10920</v>
      </c>
      <c r="D96" s="116">
        <v>100</v>
      </c>
      <c r="E96" s="528">
        <v>100</v>
      </c>
      <c r="F96" s="216" t="str">
        <f t="shared" si="2"/>
        <v>Volovici Daniel</v>
      </c>
      <c r="G96" s="1"/>
      <c r="H96" s="1"/>
      <c r="I96" s="216"/>
      <c r="J96" s="216"/>
      <c r="K96" s="216"/>
      <c r="L96" s="216"/>
      <c r="M96" s="216"/>
      <c r="N96" s="216"/>
      <c r="O96" s="216"/>
      <c r="P96" s="216"/>
      <c r="Q96" s="216"/>
      <c r="R96" s="216"/>
      <c r="S96" s="216"/>
      <c r="T96" s="216"/>
      <c r="U96" s="216"/>
      <c r="V96" s="216"/>
      <c r="W96" s="216"/>
      <c r="X96" s="216"/>
      <c r="Y96" s="216"/>
      <c r="Z96" s="216"/>
    </row>
    <row r="97" spans="1:26" ht="15.75" customHeight="1">
      <c r="A97" s="134" t="s">
        <v>6654</v>
      </c>
      <c r="B97" s="133" t="s">
        <v>141</v>
      </c>
      <c r="C97" s="133" t="s">
        <v>10926</v>
      </c>
      <c r="D97" s="116">
        <v>30</v>
      </c>
      <c r="E97" s="528">
        <v>30</v>
      </c>
      <c r="F97" s="216" t="s">
        <v>6654</v>
      </c>
      <c r="G97" s="1"/>
      <c r="H97" s="1"/>
      <c r="I97" s="216"/>
      <c r="J97" s="216"/>
      <c r="K97" s="216"/>
      <c r="L97" s="216"/>
      <c r="M97" s="216"/>
      <c r="N97" s="216"/>
      <c r="O97" s="216"/>
      <c r="P97" s="216"/>
      <c r="Q97" s="216"/>
      <c r="R97" s="216"/>
      <c r="S97" s="216"/>
      <c r="T97" s="216"/>
      <c r="U97" s="216"/>
      <c r="V97" s="216"/>
      <c r="W97" s="216"/>
      <c r="X97" s="216"/>
      <c r="Y97" s="216"/>
      <c r="Z97" s="216"/>
    </row>
    <row r="98" spans="1:26" ht="15.75" customHeight="1">
      <c r="A98" s="134" t="s">
        <v>6654</v>
      </c>
      <c r="B98" s="133" t="s">
        <v>141</v>
      </c>
      <c r="C98" s="1" t="s">
        <v>10882</v>
      </c>
      <c r="D98" s="116">
        <v>100</v>
      </c>
      <c r="E98" s="528">
        <v>100</v>
      </c>
      <c r="F98" s="216" t="s">
        <v>6654</v>
      </c>
      <c r="G98" s="1"/>
      <c r="H98" s="1"/>
      <c r="I98" s="216"/>
      <c r="J98" s="216"/>
      <c r="K98" s="216"/>
      <c r="L98" s="216"/>
      <c r="M98" s="216"/>
      <c r="N98" s="216"/>
      <c r="O98" s="216"/>
      <c r="P98" s="216"/>
      <c r="Q98" s="216"/>
      <c r="R98" s="216"/>
      <c r="S98" s="216"/>
      <c r="T98" s="216"/>
      <c r="U98" s="216"/>
      <c r="V98" s="216"/>
      <c r="W98" s="216"/>
      <c r="X98" s="216"/>
      <c r="Y98" s="216"/>
      <c r="Z98" s="216"/>
    </row>
    <row r="99" spans="1:26" ht="15.75" customHeight="1">
      <c r="A99" s="134" t="s">
        <v>6654</v>
      </c>
      <c r="B99" s="133" t="s">
        <v>141</v>
      </c>
      <c r="C99" s="133" t="s">
        <v>10927</v>
      </c>
      <c r="D99" s="116" t="s">
        <v>10928</v>
      </c>
      <c r="E99" s="528">
        <v>32</v>
      </c>
      <c r="F99" s="216" t="s">
        <v>6654</v>
      </c>
      <c r="G99" s="1"/>
      <c r="H99" s="1"/>
      <c r="I99" s="216"/>
      <c r="J99" s="216"/>
      <c r="K99" s="216"/>
      <c r="L99" s="216"/>
      <c r="M99" s="216"/>
      <c r="N99" s="216"/>
      <c r="O99" s="216"/>
      <c r="P99" s="216"/>
      <c r="Q99" s="216"/>
      <c r="R99" s="216"/>
      <c r="S99" s="216"/>
      <c r="T99" s="216"/>
      <c r="U99" s="216"/>
      <c r="V99" s="216"/>
      <c r="W99" s="216"/>
      <c r="X99" s="216"/>
      <c r="Y99" s="216"/>
      <c r="Z99" s="216"/>
    </row>
    <row r="100" spans="1:26" ht="15.75" customHeight="1">
      <c r="A100" s="134" t="s">
        <v>6654</v>
      </c>
      <c r="B100" s="133" t="s">
        <v>141</v>
      </c>
      <c r="C100" s="133" t="s">
        <v>10929</v>
      </c>
      <c r="D100" s="116" t="s">
        <v>10930</v>
      </c>
      <c r="E100" s="528">
        <v>8</v>
      </c>
      <c r="F100" s="216" t="s">
        <v>6654</v>
      </c>
      <c r="G100" s="1"/>
      <c r="H100" s="1"/>
      <c r="I100" s="216"/>
      <c r="J100" s="216"/>
      <c r="K100" s="216"/>
      <c r="L100" s="216"/>
      <c r="M100" s="216"/>
      <c r="N100" s="216"/>
      <c r="O100" s="216"/>
      <c r="P100" s="216"/>
      <c r="Q100" s="216"/>
      <c r="R100" s="216"/>
      <c r="S100" s="216"/>
      <c r="T100" s="216"/>
      <c r="U100" s="216"/>
      <c r="V100" s="216"/>
      <c r="W100" s="216"/>
      <c r="X100" s="216"/>
      <c r="Y100" s="216"/>
      <c r="Z100" s="216"/>
    </row>
    <row r="101" spans="1:26" ht="15.75" customHeight="1">
      <c r="A101" s="134" t="s">
        <v>730</v>
      </c>
      <c r="B101" s="108" t="s">
        <v>141</v>
      </c>
      <c r="C101" s="1" t="s">
        <v>10882</v>
      </c>
      <c r="D101" s="100">
        <v>100</v>
      </c>
      <c r="E101" s="528">
        <v>100</v>
      </c>
      <c r="F101" s="216" t="s">
        <v>730</v>
      </c>
      <c r="G101" s="1"/>
      <c r="H101" s="1"/>
      <c r="I101" s="216"/>
      <c r="J101" s="216"/>
      <c r="K101" s="216"/>
      <c r="L101" s="216"/>
      <c r="M101" s="216"/>
      <c r="N101" s="216"/>
      <c r="O101" s="216"/>
      <c r="P101" s="216"/>
      <c r="Q101" s="216"/>
      <c r="R101" s="216"/>
      <c r="S101" s="216"/>
      <c r="T101" s="216"/>
      <c r="U101" s="216"/>
      <c r="V101" s="216"/>
      <c r="W101" s="216"/>
      <c r="X101" s="216"/>
      <c r="Y101" s="216"/>
      <c r="Z101" s="216"/>
    </row>
    <row r="102" spans="1:26" ht="15.75" customHeight="1">
      <c r="A102" s="438" t="s">
        <v>7169</v>
      </c>
      <c r="B102" s="138" t="s">
        <v>141</v>
      </c>
      <c r="C102" s="138" t="s">
        <v>10853</v>
      </c>
      <c r="D102" s="229">
        <v>100</v>
      </c>
      <c r="E102" s="1117">
        <v>100</v>
      </c>
      <c r="F102" s="216" t="s">
        <v>7169</v>
      </c>
      <c r="G102" s="1"/>
      <c r="H102" s="1"/>
      <c r="I102" s="216"/>
      <c r="J102" s="216"/>
      <c r="K102" s="216"/>
      <c r="L102" s="216"/>
      <c r="M102" s="216"/>
      <c r="N102" s="216"/>
      <c r="O102" s="216"/>
      <c r="P102" s="216"/>
      <c r="Q102" s="216"/>
      <c r="R102" s="216"/>
      <c r="S102" s="216"/>
      <c r="T102" s="216"/>
      <c r="U102" s="216"/>
      <c r="V102" s="216"/>
      <c r="W102" s="216"/>
      <c r="X102" s="216"/>
      <c r="Y102" s="216"/>
      <c r="Z102" s="216"/>
    </row>
    <row r="103" spans="1:26" ht="15.75" customHeight="1">
      <c r="A103" s="134" t="s">
        <v>7401</v>
      </c>
      <c r="B103" s="133" t="s">
        <v>141</v>
      </c>
      <c r="C103" s="133" t="s">
        <v>10920</v>
      </c>
      <c r="D103" s="116">
        <v>100</v>
      </c>
      <c r="E103" s="528">
        <v>100</v>
      </c>
      <c r="F103" s="216" t="s">
        <v>7401</v>
      </c>
      <c r="G103" s="1"/>
      <c r="H103" s="1"/>
      <c r="I103" s="216"/>
      <c r="J103" s="216"/>
      <c r="K103" s="216"/>
      <c r="L103" s="216"/>
      <c r="M103" s="216"/>
      <c r="N103" s="216"/>
      <c r="O103" s="216"/>
      <c r="P103" s="216"/>
      <c r="Q103" s="216"/>
      <c r="R103" s="216"/>
      <c r="S103" s="216"/>
      <c r="T103" s="216"/>
      <c r="U103" s="216"/>
      <c r="V103" s="216"/>
      <c r="W103" s="216"/>
      <c r="X103" s="216"/>
      <c r="Y103" s="216"/>
      <c r="Z103" s="216"/>
    </row>
    <row r="104" spans="1:26" ht="15.75" customHeight="1">
      <c r="A104" s="134" t="s">
        <v>2825</v>
      </c>
      <c r="B104" s="133" t="s">
        <v>141</v>
      </c>
      <c r="C104" s="133" t="s">
        <v>10920</v>
      </c>
      <c r="D104" s="116">
        <v>100</v>
      </c>
      <c r="E104" s="528">
        <v>100</v>
      </c>
      <c r="F104" s="1223" t="s">
        <v>2825</v>
      </c>
      <c r="G104" s="1"/>
      <c r="H104" s="1"/>
      <c r="I104" s="216"/>
      <c r="J104" s="216"/>
      <c r="K104" s="216"/>
      <c r="L104" s="216"/>
      <c r="M104" s="216"/>
      <c r="N104" s="216"/>
      <c r="O104" s="216"/>
      <c r="P104" s="216"/>
      <c r="Q104" s="216"/>
      <c r="R104" s="216"/>
      <c r="S104" s="216"/>
      <c r="T104" s="216"/>
      <c r="U104" s="216"/>
      <c r="V104" s="216"/>
      <c r="W104" s="216"/>
      <c r="X104" s="216"/>
      <c r="Y104" s="216"/>
      <c r="Z104" s="216"/>
    </row>
    <row r="105" spans="1:26" ht="15.75" customHeight="1">
      <c r="A105" s="438" t="s">
        <v>758</v>
      </c>
      <c r="B105" s="108" t="s">
        <v>141</v>
      </c>
      <c r="C105" s="1" t="s">
        <v>10882</v>
      </c>
      <c r="D105" s="100">
        <v>100</v>
      </c>
      <c r="E105" s="528">
        <v>100</v>
      </c>
      <c r="F105" s="399" t="s">
        <v>758</v>
      </c>
      <c r="G105" s="1"/>
      <c r="H105" s="1"/>
      <c r="I105" s="216"/>
      <c r="J105" s="216"/>
      <c r="K105" s="216"/>
      <c r="L105" s="216"/>
      <c r="M105" s="216"/>
      <c r="N105" s="216"/>
      <c r="O105" s="216"/>
      <c r="P105" s="216"/>
      <c r="Q105" s="216"/>
      <c r="R105" s="216"/>
      <c r="S105" s="216"/>
      <c r="T105" s="216"/>
      <c r="U105" s="216"/>
      <c r="V105" s="216"/>
      <c r="W105" s="216"/>
      <c r="X105" s="216"/>
      <c r="Y105" s="216"/>
      <c r="Z105" s="216"/>
    </row>
    <row r="106" spans="1:26" ht="15.75" customHeight="1">
      <c r="A106" s="134" t="s">
        <v>7669</v>
      </c>
      <c r="B106" s="133" t="s">
        <v>141</v>
      </c>
      <c r="C106" s="133" t="s">
        <v>10882</v>
      </c>
      <c r="D106" s="100">
        <v>100</v>
      </c>
      <c r="E106" s="528">
        <v>100</v>
      </c>
      <c r="F106" s="399" t="s">
        <v>7669</v>
      </c>
      <c r="G106" s="1"/>
      <c r="H106" s="1"/>
      <c r="I106" s="216"/>
      <c r="J106" s="216"/>
      <c r="K106" s="216"/>
      <c r="L106" s="216"/>
      <c r="M106" s="216"/>
      <c r="N106" s="216"/>
      <c r="O106" s="216"/>
      <c r="P106" s="216"/>
      <c r="Q106" s="216"/>
      <c r="R106" s="216"/>
      <c r="S106" s="216"/>
      <c r="T106" s="216"/>
      <c r="U106" s="216"/>
      <c r="V106" s="216"/>
      <c r="W106" s="216"/>
      <c r="X106" s="216"/>
      <c r="Y106" s="216"/>
      <c r="Z106" s="216"/>
    </row>
    <row r="107" spans="1:26" ht="15.75" customHeight="1">
      <c r="A107" s="134" t="s">
        <v>761</v>
      </c>
      <c r="B107" s="133" t="s">
        <v>141</v>
      </c>
      <c r="C107" s="133" t="s">
        <v>10882</v>
      </c>
      <c r="D107" s="100">
        <v>100</v>
      </c>
      <c r="E107" s="528">
        <v>100</v>
      </c>
      <c r="F107" s="399" t="s">
        <v>761</v>
      </c>
      <c r="G107" s="1"/>
      <c r="H107" s="1"/>
      <c r="I107" s="216"/>
      <c r="J107" s="216"/>
      <c r="K107" s="216"/>
      <c r="L107" s="216"/>
      <c r="M107" s="216"/>
      <c r="N107" s="216"/>
      <c r="O107" s="216"/>
      <c r="P107" s="216"/>
      <c r="Q107" s="216"/>
      <c r="R107" s="216"/>
      <c r="S107" s="216"/>
      <c r="T107" s="216"/>
      <c r="U107" s="216"/>
      <c r="V107" s="216"/>
      <c r="W107" s="216"/>
      <c r="X107" s="216"/>
      <c r="Y107" s="216"/>
      <c r="Z107" s="216"/>
    </row>
    <row r="108" spans="1:26" ht="15.75" customHeight="1">
      <c r="A108" s="134" t="s">
        <v>7612</v>
      </c>
      <c r="B108" s="133" t="s">
        <v>141</v>
      </c>
      <c r="C108" s="133" t="s">
        <v>10882</v>
      </c>
      <c r="D108" s="100">
        <v>100</v>
      </c>
      <c r="E108" s="528">
        <v>100</v>
      </c>
      <c r="F108" s="399" t="s">
        <v>7612</v>
      </c>
      <c r="G108" s="1"/>
      <c r="H108" s="1"/>
      <c r="I108" s="216"/>
      <c r="J108" s="216"/>
      <c r="K108" s="216"/>
      <c r="L108" s="216"/>
      <c r="M108" s="216"/>
      <c r="N108" s="216"/>
      <c r="O108" s="216"/>
      <c r="P108" s="216"/>
      <c r="Q108" s="216"/>
      <c r="R108" s="216"/>
      <c r="S108" s="216"/>
      <c r="T108" s="216"/>
      <c r="U108" s="216"/>
      <c r="V108" s="216"/>
      <c r="W108" s="216"/>
      <c r="X108" s="216"/>
      <c r="Y108" s="216"/>
      <c r="Z108" s="216"/>
    </row>
    <row r="109" spans="1:26" ht="15.75" customHeight="1">
      <c r="A109" s="438" t="s">
        <v>7613</v>
      </c>
      <c r="B109" s="133" t="s">
        <v>141</v>
      </c>
      <c r="C109" s="133" t="s">
        <v>10882</v>
      </c>
      <c r="D109" s="100">
        <v>100</v>
      </c>
      <c r="E109" s="528">
        <v>100</v>
      </c>
      <c r="F109" s="399" t="s">
        <v>7613</v>
      </c>
      <c r="G109" s="1"/>
      <c r="H109" s="1"/>
      <c r="I109" s="216"/>
      <c r="J109" s="216"/>
      <c r="K109" s="216"/>
      <c r="L109" s="216"/>
      <c r="M109" s="216"/>
      <c r="N109" s="216"/>
      <c r="O109" s="216"/>
      <c r="P109" s="216"/>
      <c r="Q109" s="216"/>
      <c r="R109" s="216"/>
      <c r="S109" s="216"/>
      <c r="T109" s="216"/>
      <c r="U109" s="216"/>
      <c r="V109" s="216"/>
      <c r="W109" s="216"/>
      <c r="X109" s="216"/>
      <c r="Y109" s="216"/>
      <c r="Z109" s="216"/>
    </row>
    <row r="110" spans="1:26" ht="15.75" customHeight="1">
      <c r="A110" s="134" t="s">
        <v>798</v>
      </c>
      <c r="B110" s="133" t="s">
        <v>141</v>
      </c>
      <c r="C110" s="133" t="s">
        <v>10882</v>
      </c>
      <c r="D110" s="100">
        <v>100</v>
      </c>
      <c r="E110" s="528">
        <v>100</v>
      </c>
      <c r="F110" s="399" t="s">
        <v>798</v>
      </c>
      <c r="G110" s="1"/>
      <c r="H110" s="1"/>
      <c r="I110" s="216"/>
      <c r="J110" s="216"/>
      <c r="K110" s="216"/>
      <c r="L110" s="216"/>
      <c r="M110" s="216"/>
      <c r="N110" s="216"/>
      <c r="O110" s="216"/>
      <c r="P110" s="216"/>
      <c r="Q110" s="216"/>
      <c r="R110" s="216"/>
      <c r="S110" s="216"/>
      <c r="T110" s="216"/>
      <c r="U110" s="216"/>
      <c r="V110" s="216"/>
      <c r="W110" s="216"/>
      <c r="X110" s="216"/>
      <c r="Y110" s="216"/>
      <c r="Z110" s="216"/>
    </row>
    <row r="111" spans="1:26" ht="15.75" customHeight="1">
      <c r="A111" s="134" t="s">
        <v>829</v>
      </c>
      <c r="B111" s="133" t="s">
        <v>141</v>
      </c>
      <c r="C111" s="133" t="s">
        <v>10882</v>
      </c>
      <c r="D111" s="100">
        <v>100</v>
      </c>
      <c r="E111" s="528">
        <v>100</v>
      </c>
      <c r="F111" s="399" t="s">
        <v>829</v>
      </c>
      <c r="G111" s="1"/>
      <c r="H111" s="1"/>
      <c r="I111" s="216"/>
      <c r="J111" s="216"/>
      <c r="K111" s="216"/>
      <c r="L111" s="216"/>
      <c r="M111" s="216"/>
      <c r="N111" s="216"/>
      <c r="O111" s="216"/>
      <c r="P111" s="216"/>
      <c r="Q111" s="216"/>
      <c r="R111" s="216"/>
      <c r="S111" s="216"/>
      <c r="T111" s="216"/>
      <c r="U111" s="216"/>
      <c r="V111" s="216"/>
      <c r="W111" s="216"/>
      <c r="X111" s="216"/>
      <c r="Y111" s="216"/>
      <c r="Z111" s="216"/>
    </row>
    <row r="112" spans="1:26" ht="15.75" customHeight="1">
      <c r="A112" s="438" t="s">
        <v>7615</v>
      </c>
      <c r="B112" s="133" t="s">
        <v>141</v>
      </c>
      <c r="C112" s="133" t="s">
        <v>10882</v>
      </c>
      <c r="D112" s="100">
        <v>100</v>
      </c>
      <c r="E112" s="528">
        <v>100</v>
      </c>
      <c r="F112" s="399" t="s">
        <v>7615</v>
      </c>
      <c r="G112" s="1"/>
      <c r="H112" s="1"/>
      <c r="I112" s="216"/>
      <c r="J112" s="216"/>
      <c r="K112" s="216"/>
      <c r="L112" s="216"/>
      <c r="M112" s="216"/>
      <c r="N112" s="216"/>
      <c r="O112" s="216"/>
      <c r="P112" s="216"/>
      <c r="Q112" s="216"/>
      <c r="R112" s="216"/>
      <c r="S112" s="216"/>
      <c r="T112" s="216"/>
      <c r="U112" s="216"/>
      <c r="V112" s="216"/>
      <c r="W112" s="216"/>
      <c r="X112" s="216"/>
      <c r="Y112" s="216"/>
      <c r="Z112" s="216"/>
    </row>
    <row r="113" spans="1:26" ht="15.75" customHeight="1">
      <c r="A113" s="134" t="s">
        <v>1261</v>
      </c>
      <c r="B113" s="133" t="s">
        <v>141</v>
      </c>
      <c r="C113" s="133" t="s">
        <v>10882</v>
      </c>
      <c r="D113" s="100">
        <v>100</v>
      </c>
      <c r="E113" s="528">
        <v>100</v>
      </c>
      <c r="F113" s="399" t="s">
        <v>1261</v>
      </c>
      <c r="G113" s="1"/>
      <c r="H113" s="1"/>
      <c r="I113" s="216"/>
      <c r="J113" s="216"/>
      <c r="K113" s="216"/>
      <c r="L113" s="216"/>
      <c r="M113" s="216"/>
      <c r="N113" s="216"/>
      <c r="O113" s="216"/>
      <c r="P113" s="216"/>
      <c r="Q113" s="216"/>
      <c r="R113" s="216"/>
      <c r="S113" s="216"/>
      <c r="T113" s="216"/>
      <c r="U113" s="216"/>
      <c r="V113" s="216"/>
      <c r="W113" s="216"/>
      <c r="X113" s="216"/>
      <c r="Y113" s="216"/>
      <c r="Z113" s="216"/>
    </row>
    <row r="114" spans="1:26" ht="15.75" customHeight="1">
      <c r="A114" s="134" t="s">
        <v>1273</v>
      </c>
      <c r="B114" s="133" t="s">
        <v>141</v>
      </c>
      <c r="C114" s="133" t="s">
        <v>10882</v>
      </c>
      <c r="D114" s="100">
        <v>100</v>
      </c>
      <c r="E114" s="528">
        <v>100</v>
      </c>
      <c r="F114" s="399" t="s">
        <v>1273</v>
      </c>
      <c r="G114" s="1"/>
      <c r="H114" s="1"/>
      <c r="I114" s="216"/>
      <c r="J114" s="216"/>
      <c r="K114" s="216"/>
      <c r="L114" s="216"/>
      <c r="M114" s="216"/>
      <c r="N114" s="216"/>
      <c r="O114" s="216"/>
      <c r="P114" s="216"/>
      <c r="Q114" s="216"/>
      <c r="R114" s="216"/>
      <c r="S114" s="216"/>
      <c r="T114" s="216"/>
      <c r="U114" s="216"/>
      <c r="V114" s="216"/>
      <c r="W114" s="216"/>
      <c r="X114" s="216"/>
      <c r="Y114" s="216"/>
      <c r="Z114" s="216"/>
    </row>
    <row r="115" spans="1:26" ht="15.75" customHeight="1">
      <c r="A115" s="134" t="s">
        <v>3415</v>
      </c>
      <c r="B115" s="133" t="s">
        <v>141</v>
      </c>
      <c r="C115" s="133" t="s">
        <v>10882</v>
      </c>
      <c r="D115" s="100">
        <v>100</v>
      </c>
      <c r="E115" s="528">
        <v>100</v>
      </c>
      <c r="F115" s="399" t="s">
        <v>3415</v>
      </c>
      <c r="G115" s="1"/>
      <c r="H115" s="1"/>
      <c r="I115" s="216"/>
      <c r="J115" s="216"/>
      <c r="K115" s="216"/>
      <c r="L115" s="216"/>
      <c r="M115" s="216"/>
      <c r="N115" s="216"/>
      <c r="O115" s="216"/>
      <c r="P115" s="216"/>
      <c r="Q115" s="216"/>
      <c r="R115" s="216"/>
      <c r="S115" s="216"/>
      <c r="T115" s="216"/>
      <c r="U115" s="216"/>
      <c r="V115" s="216"/>
      <c r="W115" s="216"/>
      <c r="X115" s="216"/>
      <c r="Y115" s="216"/>
      <c r="Z115" s="216"/>
    </row>
    <row r="116" spans="1:26" ht="15.75" customHeight="1">
      <c r="A116" s="134" t="s">
        <v>906</v>
      </c>
      <c r="B116" s="133" t="s">
        <v>141</v>
      </c>
      <c r="C116" s="133" t="s">
        <v>10882</v>
      </c>
      <c r="D116" s="100">
        <v>100</v>
      </c>
      <c r="E116" s="528">
        <v>100</v>
      </c>
      <c r="F116" s="399" t="s">
        <v>906</v>
      </c>
      <c r="G116" s="1"/>
      <c r="H116" s="1"/>
      <c r="I116" s="216"/>
      <c r="J116" s="216"/>
      <c r="K116" s="216"/>
      <c r="L116" s="216"/>
      <c r="M116" s="216"/>
      <c r="N116" s="216"/>
      <c r="O116" s="216"/>
      <c r="P116" s="216"/>
      <c r="Q116" s="216"/>
      <c r="R116" s="216"/>
      <c r="S116" s="216"/>
      <c r="T116" s="216"/>
      <c r="U116" s="216"/>
      <c r="V116" s="216"/>
      <c r="W116" s="216"/>
      <c r="X116" s="216"/>
      <c r="Y116" s="216"/>
      <c r="Z116" s="216"/>
    </row>
    <row r="117" spans="1:26" ht="15.75" customHeight="1">
      <c r="A117" s="134" t="s">
        <v>3450</v>
      </c>
      <c r="B117" s="133" t="s">
        <v>141</v>
      </c>
      <c r="C117" s="133" t="s">
        <v>10882</v>
      </c>
      <c r="D117" s="100">
        <v>100</v>
      </c>
      <c r="E117" s="528">
        <v>100</v>
      </c>
      <c r="F117" s="399" t="s">
        <v>3450</v>
      </c>
      <c r="G117" s="1"/>
      <c r="H117" s="1"/>
      <c r="I117" s="216"/>
      <c r="J117" s="216"/>
      <c r="K117" s="216"/>
      <c r="L117" s="216"/>
      <c r="M117" s="216"/>
      <c r="N117" s="216"/>
      <c r="O117" s="216"/>
      <c r="P117" s="216"/>
      <c r="Q117" s="216"/>
      <c r="R117" s="216"/>
      <c r="S117" s="216"/>
      <c r="T117" s="216"/>
      <c r="U117" s="216"/>
      <c r="V117" s="216"/>
      <c r="W117" s="216"/>
      <c r="X117" s="216"/>
      <c r="Y117" s="216"/>
      <c r="Z117" s="216"/>
    </row>
    <row r="118" spans="1:26" ht="15.75" customHeight="1">
      <c r="A118" s="134" t="s">
        <v>1272</v>
      </c>
      <c r="B118" s="133" t="s">
        <v>141</v>
      </c>
      <c r="C118" s="133" t="s">
        <v>10882</v>
      </c>
      <c r="D118" s="100">
        <v>100</v>
      </c>
      <c r="E118" s="528">
        <v>100</v>
      </c>
      <c r="F118" s="399" t="s">
        <v>1272</v>
      </c>
      <c r="G118" s="1"/>
      <c r="H118" s="1"/>
      <c r="I118" s="216"/>
      <c r="J118" s="216"/>
      <c r="K118" s="216"/>
      <c r="L118" s="216"/>
      <c r="M118" s="216"/>
      <c r="N118" s="216"/>
      <c r="O118" s="216"/>
      <c r="P118" s="216"/>
      <c r="Q118" s="216"/>
      <c r="R118" s="216"/>
      <c r="S118" s="216"/>
      <c r="T118" s="216"/>
      <c r="U118" s="216"/>
      <c r="V118" s="216"/>
      <c r="W118" s="216"/>
      <c r="X118" s="216"/>
      <c r="Y118" s="216"/>
      <c r="Z118" s="216"/>
    </row>
    <row r="119" spans="1:26" ht="15.75" customHeight="1">
      <c r="A119" s="134" t="s">
        <v>7619</v>
      </c>
      <c r="B119" s="133" t="s">
        <v>141</v>
      </c>
      <c r="C119" s="133" t="s">
        <v>10882</v>
      </c>
      <c r="D119" s="100">
        <v>100</v>
      </c>
      <c r="E119" s="528">
        <v>100</v>
      </c>
      <c r="F119" s="399" t="s">
        <v>7619</v>
      </c>
      <c r="G119" s="1"/>
      <c r="H119" s="1"/>
      <c r="I119" s="216"/>
      <c r="J119" s="216"/>
      <c r="K119" s="216"/>
      <c r="L119" s="216"/>
      <c r="M119" s="216"/>
      <c r="N119" s="216"/>
      <c r="O119" s="216"/>
      <c r="P119" s="216"/>
      <c r="Q119" s="216"/>
      <c r="R119" s="216"/>
      <c r="S119" s="216"/>
      <c r="T119" s="216"/>
      <c r="U119" s="216"/>
      <c r="V119" s="216"/>
      <c r="W119" s="216"/>
      <c r="X119" s="216"/>
      <c r="Y119" s="216"/>
      <c r="Z119" s="216"/>
    </row>
    <row r="120" spans="1:26" ht="15.75" customHeight="1">
      <c r="A120" s="134" t="s">
        <v>114</v>
      </c>
      <c r="B120" s="133" t="s">
        <v>105</v>
      </c>
      <c r="C120" s="121" t="s">
        <v>10931</v>
      </c>
      <c r="D120" s="100">
        <v>100</v>
      </c>
      <c r="E120" s="528">
        <v>100</v>
      </c>
      <c r="F120" s="338" t="s">
        <v>114</v>
      </c>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5.75" customHeight="1">
      <c r="A121" s="134" t="s">
        <v>114</v>
      </c>
      <c r="B121" s="133" t="s">
        <v>105</v>
      </c>
      <c r="C121" s="121" t="s">
        <v>10932</v>
      </c>
      <c r="D121" s="116">
        <v>50</v>
      </c>
      <c r="E121" s="528">
        <v>50</v>
      </c>
      <c r="F121" s="338" t="s">
        <v>114</v>
      </c>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5.75" customHeight="1">
      <c r="A122" s="133" t="s">
        <v>139</v>
      </c>
      <c r="B122" s="133" t="s">
        <v>105</v>
      </c>
      <c r="C122" s="121" t="s">
        <v>10933</v>
      </c>
      <c r="D122" s="116" t="s">
        <v>10934</v>
      </c>
      <c r="E122" s="528">
        <f>8*2</f>
        <v>16</v>
      </c>
      <c r="F122" s="338" t="s">
        <v>916</v>
      </c>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15" customHeight="1">
      <c r="A123" s="133" t="s">
        <v>139</v>
      </c>
      <c r="B123" s="133" t="s">
        <v>105</v>
      </c>
      <c r="C123" s="121" t="s">
        <v>10935</v>
      </c>
      <c r="D123" s="116">
        <v>8</v>
      </c>
      <c r="E123" s="528">
        <v>8</v>
      </c>
      <c r="F123" s="338" t="s">
        <v>916</v>
      </c>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5" customHeight="1">
      <c r="A124" s="133" t="s">
        <v>139</v>
      </c>
      <c r="B124" s="133" t="s">
        <v>105</v>
      </c>
      <c r="C124" s="121" t="s">
        <v>10936</v>
      </c>
      <c r="D124" s="116">
        <v>8</v>
      </c>
      <c r="E124" s="528">
        <v>8</v>
      </c>
      <c r="F124" s="338" t="s">
        <v>916</v>
      </c>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5" customHeight="1">
      <c r="A125" s="133" t="s">
        <v>139</v>
      </c>
      <c r="B125" s="133" t="s">
        <v>105</v>
      </c>
      <c r="C125" s="121" t="s">
        <v>10937</v>
      </c>
      <c r="D125" s="116">
        <v>8</v>
      </c>
      <c r="E125" s="528">
        <v>8</v>
      </c>
      <c r="F125" s="338" t="s">
        <v>916</v>
      </c>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5" customHeight="1">
      <c r="A126" s="133" t="s">
        <v>139</v>
      </c>
      <c r="B126" s="133" t="s">
        <v>105</v>
      </c>
      <c r="C126" s="121" t="s">
        <v>10938</v>
      </c>
      <c r="D126" s="116">
        <v>30</v>
      </c>
      <c r="E126" s="528">
        <v>30</v>
      </c>
      <c r="F126" s="338" t="s">
        <v>916</v>
      </c>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5" customHeight="1">
      <c r="A127" s="133" t="s">
        <v>139</v>
      </c>
      <c r="B127" s="133" t="s">
        <v>105</v>
      </c>
      <c r="C127" s="121" t="s">
        <v>10939</v>
      </c>
      <c r="D127" s="116">
        <v>100</v>
      </c>
      <c r="E127" s="528">
        <v>100</v>
      </c>
      <c r="F127" s="338" t="s">
        <v>916</v>
      </c>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5" customHeight="1">
      <c r="A128" s="134" t="s">
        <v>6669</v>
      </c>
      <c r="B128" s="133" t="s">
        <v>105</v>
      </c>
      <c r="C128" s="121" t="s">
        <v>10940</v>
      </c>
      <c r="D128" s="116">
        <f t="shared" ref="D128:D129" si="3">30</f>
        <v>30</v>
      </c>
      <c r="E128" s="528">
        <f t="shared" ref="E128:E129" si="4">D128</f>
        <v>30</v>
      </c>
      <c r="F128" s="338" t="s">
        <v>931</v>
      </c>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15" customHeight="1">
      <c r="A129" s="134" t="s">
        <v>6669</v>
      </c>
      <c r="B129" s="133" t="s">
        <v>105</v>
      </c>
      <c r="C129" s="121" t="s">
        <v>10941</v>
      </c>
      <c r="D129" s="116">
        <f t="shared" si="3"/>
        <v>30</v>
      </c>
      <c r="E129" s="528">
        <f t="shared" si="4"/>
        <v>30</v>
      </c>
      <c r="F129" s="338" t="s">
        <v>931</v>
      </c>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15" customHeight="1">
      <c r="A130" s="134" t="s">
        <v>6669</v>
      </c>
      <c r="B130" s="133" t="s">
        <v>105</v>
      </c>
      <c r="C130" s="121" t="s">
        <v>10933</v>
      </c>
      <c r="D130" s="116" t="s">
        <v>10934</v>
      </c>
      <c r="E130" s="528">
        <f>8*2</f>
        <v>16</v>
      </c>
      <c r="F130" s="338" t="s">
        <v>931</v>
      </c>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ht="15" customHeight="1">
      <c r="A131" s="134" t="s">
        <v>6669</v>
      </c>
      <c r="B131" s="133" t="s">
        <v>105</v>
      </c>
      <c r="C131" s="121" t="s">
        <v>10942</v>
      </c>
      <c r="D131" s="116">
        <f t="shared" ref="D131:D133" si="5">8</f>
        <v>8</v>
      </c>
      <c r="E131" s="528">
        <v>8</v>
      </c>
      <c r="F131" s="338" t="s">
        <v>931</v>
      </c>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ht="15" customHeight="1">
      <c r="A132" s="134" t="s">
        <v>6669</v>
      </c>
      <c r="B132" s="133" t="s">
        <v>105</v>
      </c>
      <c r="C132" s="121" t="s">
        <v>10943</v>
      </c>
      <c r="D132" s="116">
        <f t="shared" si="5"/>
        <v>8</v>
      </c>
      <c r="E132" s="528">
        <v>8</v>
      </c>
      <c r="F132" s="338" t="s">
        <v>931</v>
      </c>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ht="15" customHeight="1">
      <c r="A133" s="134" t="s">
        <v>6669</v>
      </c>
      <c r="B133" s="133" t="s">
        <v>105</v>
      </c>
      <c r="C133" s="121" t="s">
        <v>10944</v>
      </c>
      <c r="D133" s="116">
        <f t="shared" si="5"/>
        <v>8</v>
      </c>
      <c r="E133" s="528">
        <v>8</v>
      </c>
      <c r="F133" s="338" t="s">
        <v>931</v>
      </c>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ht="15" customHeight="1">
      <c r="A134" s="134" t="s">
        <v>6669</v>
      </c>
      <c r="B134" s="133" t="s">
        <v>105</v>
      </c>
      <c r="C134" s="121" t="s">
        <v>10931</v>
      </c>
      <c r="D134" s="116">
        <v>100</v>
      </c>
      <c r="E134" s="528">
        <v>100</v>
      </c>
      <c r="F134" s="338" t="s">
        <v>931</v>
      </c>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ht="15" customHeight="1">
      <c r="A135" s="134" t="s">
        <v>7245</v>
      </c>
      <c r="B135" s="133" t="s">
        <v>105</v>
      </c>
      <c r="C135" s="121" t="s">
        <v>10923</v>
      </c>
      <c r="D135" s="100">
        <v>80</v>
      </c>
      <c r="E135" s="528">
        <v>80</v>
      </c>
      <c r="F135" s="338" t="s">
        <v>952</v>
      </c>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ht="15" customHeight="1">
      <c r="A136" s="134" t="s">
        <v>7245</v>
      </c>
      <c r="B136" s="133" t="s">
        <v>105</v>
      </c>
      <c r="C136" s="386" t="s">
        <v>10945</v>
      </c>
      <c r="D136" s="100">
        <v>100</v>
      </c>
      <c r="E136" s="100">
        <v>100</v>
      </c>
      <c r="F136" s="338" t="s">
        <v>952</v>
      </c>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ht="15" customHeight="1">
      <c r="A137" s="134" t="s">
        <v>123</v>
      </c>
      <c r="B137" s="133" t="s">
        <v>105</v>
      </c>
      <c r="C137" s="121" t="s">
        <v>10946</v>
      </c>
      <c r="D137" s="100">
        <v>8</v>
      </c>
      <c r="E137" s="528">
        <f>8/4</f>
        <v>2</v>
      </c>
      <c r="F137" s="338" t="s">
        <v>123</v>
      </c>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ht="15" customHeight="1">
      <c r="A138" s="134" t="s">
        <v>123</v>
      </c>
      <c r="B138" s="133" t="s">
        <v>105</v>
      </c>
      <c r="C138" s="121" t="s">
        <v>10947</v>
      </c>
      <c r="D138" s="100">
        <v>8</v>
      </c>
      <c r="E138" s="528">
        <v>8</v>
      </c>
      <c r="F138" s="338" t="s">
        <v>123</v>
      </c>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ht="15" customHeight="1">
      <c r="A139" s="134" t="s">
        <v>123</v>
      </c>
      <c r="B139" s="133" t="s">
        <v>105</v>
      </c>
      <c r="C139" s="121" t="s">
        <v>10948</v>
      </c>
      <c r="D139" s="100">
        <v>8</v>
      </c>
      <c r="E139" s="528">
        <v>8</v>
      </c>
      <c r="F139" s="338" t="s">
        <v>123</v>
      </c>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ht="15" customHeight="1">
      <c r="A140" s="134" t="s">
        <v>6722</v>
      </c>
      <c r="B140" s="133" t="s">
        <v>105</v>
      </c>
      <c r="C140" s="121" t="s">
        <v>10949</v>
      </c>
      <c r="D140" s="100">
        <v>30</v>
      </c>
      <c r="E140" s="528">
        <v>30</v>
      </c>
      <c r="F140" s="338" t="s">
        <v>104</v>
      </c>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ht="15" customHeight="1">
      <c r="A141" s="134" t="s">
        <v>6722</v>
      </c>
      <c r="B141" s="133" t="s">
        <v>105</v>
      </c>
      <c r="C141" s="121" t="s">
        <v>10950</v>
      </c>
      <c r="D141" s="100">
        <v>30</v>
      </c>
      <c r="E141" s="528">
        <v>30</v>
      </c>
      <c r="F141" s="338" t="s">
        <v>104</v>
      </c>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ht="15" customHeight="1">
      <c r="A142" s="134" t="s">
        <v>6722</v>
      </c>
      <c r="B142" s="133" t="s">
        <v>105</v>
      </c>
      <c r="C142" s="121" t="s">
        <v>10951</v>
      </c>
      <c r="D142" s="116">
        <v>50</v>
      </c>
      <c r="E142" s="528">
        <v>50</v>
      </c>
      <c r="F142" s="338" t="s">
        <v>104</v>
      </c>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ht="15" customHeight="1">
      <c r="A143" s="134" t="s">
        <v>6722</v>
      </c>
      <c r="B143" s="133" t="s">
        <v>105</v>
      </c>
      <c r="C143" s="121" t="s">
        <v>10952</v>
      </c>
      <c r="D143" s="116">
        <v>400</v>
      </c>
      <c r="E143" s="528">
        <v>400</v>
      </c>
      <c r="F143" s="338" t="s">
        <v>104</v>
      </c>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ht="15" customHeight="1">
      <c r="A144" s="134" t="s">
        <v>6722</v>
      </c>
      <c r="B144" s="133" t="s">
        <v>105</v>
      </c>
      <c r="C144" s="121" t="s">
        <v>10931</v>
      </c>
      <c r="D144" s="116">
        <v>100</v>
      </c>
      <c r="E144" s="528">
        <v>100</v>
      </c>
      <c r="F144" s="338" t="s">
        <v>104</v>
      </c>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ht="15" customHeight="1">
      <c r="A145" s="134" t="s">
        <v>10953</v>
      </c>
      <c r="B145" s="133" t="s">
        <v>105</v>
      </c>
      <c r="C145" s="121" t="s">
        <v>10954</v>
      </c>
      <c r="D145" s="116">
        <v>20</v>
      </c>
      <c r="E145" s="528">
        <f t="shared" ref="E145:E146" si="6">D145</f>
        <v>20</v>
      </c>
      <c r="F145" s="338" t="s">
        <v>132</v>
      </c>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ht="15" customHeight="1">
      <c r="A146" s="134" t="s">
        <v>7628</v>
      </c>
      <c r="B146" s="133" t="s">
        <v>105</v>
      </c>
      <c r="C146" s="121" t="s">
        <v>10863</v>
      </c>
      <c r="D146" s="100">
        <v>80</v>
      </c>
      <c r="E146" s="528">
        <f t="shared" si="6"/>
        <v>80</v>
      </c>
      <c r="F146" s="338" t="s">
        <v>124</v>
      </c>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ht="15" customHeight="1">
      <c r="A147" s="134" t="s">
        <v>7266</v>
      </c>
      <c r="B147" s="99" t="s">
        <v>105</v>
      </c>
      <c r="C147" s="121" t="s">
        <v>10955</v>
      </c>
      <c r="D147" s="116">
        <v>8</v>
      </c>
      <c r="E147" s="528">
        <v>8</v>
      </c>
      <c r="F147" s="338" t="s">
        <v>118</v>
      </c>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ht="15" customHeight="1">
      <c r="A148" s="134" t="s">
        <v>126</v>
      </c>
      <c r="B148" s="133" t="s">
        <v>105</v>
      </c>
      <c r="C148" s="121" t="s">
        <v>10916</v>
      </c>
      <c r="D148" s="100">
        <v>8</v>
      </c>
      <c r="E148" s="528">
        <f>D148*3</f>
        <v>24</v>
      </c>
      <c r="F148" s="338" t="s">
        <v>126</v>
      </c>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ht="15" customHeight="1">
      <c r="A149" s="134" t="s">
        <v>126</v>
      </c>
      <c r="B149" s="133" t="s">
        <v>105</v>
      </c>
      <c r="C149" s="121" t="s">
        <v>10956</v>
      </c>
      <c r="D149" s="116">
        <v>100</v>
      </c>
      <c r="E149" s="528">
        <v>100</v>
      </c>
      <c r="F149" s="338" t="s">
        <v>126</v>
      </c>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ht="15" customHeight="1">
      <c r="A150" s="134" t="s">
        <v>127</v>
      </c>
      <c r="B150" s="133" t="s">
        <v>3753</v>
      </c>
      <c r="C150" s="121" t="s">
        <v>10957</v>
      </c>
      <c r="D150" s="116">
        <v>100</v>
      </c>
      <c r="E150" s="528">
        <v>100</v>
      </c>
      <c r="F150" s="338" t="s">
        <v>127</v>
      </c>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ht="15" customHeight="1">
      <c r="A151" s="134" t="s">
        <v>127</v>
      </c>
      <c r="B151" s="133" t="s">
        <v>3753</v>
      </c>
      <c r="C151" s="121" t="s">
        <v>10958</v>
      </c>
      <c r="D151" s="116" t="s">
        <v>10959</v>
      </c>
      <c r="E151" s="528">
        <v>24</v>
      </c>
      <c r="F151" s="338" t="s">
        <v>127</v>
      </c>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ht="15" customHeight="1">
      <c r="A152" s="134" t="s">
        <v>107</v>
      </c>
      <c r="B152" s="133" t="s">
        <v>105</v>
      </c>
      <c r="C152" s="121" t="s">
        <v>10960</v>
      </c>
      <c r="D152" s="100" t="s">
        <v>10961</v>
      </c>
      <c r="E152" s="528">
        <v>16</v>
      </c>
      <c r="F152" s="338" t="s">
        <v>107</v>
      </c>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ht="15" customHeight="1">
      <c r="A153" s="134" t="s">
        <v>107</v>
      </c>
      <c r="B153" s="133" t="s">
        <v>105</v>
      </c>
      <c r="C153" s="121" t="s">
        <v>10962</v>
      </c>
      <c r="D153" s="116">
        <v>39</v>
      </c>
      <c r="E153" s="528">
        <v>39</v>
      </c>
      <c r="F153" s="338" t="s">
        <v>107</v>
      </c>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ht="15" customHeight="1">
      <c r="A154" s="134" t="s">
        <v>128</v>
      </c>
      <c r="B154" s="99" t="s">
        <v>105</v>
      </c>
      <c r="C154" s="121" t="s">
        <v>10963</v>
      </c>
      <c r="D154" s="116">
        <v>50</v>
      </c>
      <c r="E154" s="528">
        <v>50</v>
      </c>
      <c r="F154" s="338" t="s">
        <v>128</v>
      </c>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ht="15" customHeight="1">
      <c r="A155" s="134" t="s">
        <v>128</v>
      </c>
      <c r="B155" s="99" t="s">
        <v>105</v>
      </c>
      <c r="C155" s="121" t="s">
        <v>10956</v>
      </c>
      <c r="D155" s="100">
        <v>100</v>
      </c>
      <c r="E155" s="528">
        <v>100</v>
      </c>
      <c r="F155" s="338" t="s">
        <v>128</v>
      </c>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ht="15" customHeight="1">
      <c r="A156" s="134" t="s">
        <v>109</v>
      </c>
      <c r="B156" s="133" t="s">
        <v>105</v>
      </c>
      <c r="C156" s="121" t="s">
        <v>10964</v>
      </c>
      <c r="D156" s="100" t="s">
        <v>10961</v>
      </c>
      <c r="E156" s="528">
        <v>16</v>
      </c>
      <c r="F156" s="338" t="s">
        <v>109</v>
      </c>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ht="15" customHeight="1">
      <c r="A157" s="134" t="s">
        <v>109</v>
      </c>
      <c r="B157" s="133" t="s">
        <v>105</v>
      </c>
      <c r="C157" s="121" t="s">
        <v>10965</v>
      </c>
      <c r="D157" s="116">
        <v>49</v>
      </c>
      <c r="E157" s="528">
        <v>49</v>
      </c>
      <c r="F157" s="338" t="s">
        <v>109</v>
      </c>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15" customHeight="1">
      <c r="A158" s="134" t="s">
        <v>9232</v>
      </c>
      <c r="B158" s="133" t="s">
        <v>105</v>
      </c>
      <c r="C158" s="121" t="s">
        <v>10966</v>
      </c>
      <c r="D158" s="100">
        <v>80</v>
      </c>
      <c r="E158" s="528">
        <v>80</v>
      </c>
      <c r="F158" s="338" t="s">
        <v>119</v>
      </c>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15" customHeight="1">
      <c r="A159" s="134" t="s">
        <v>9232</v>
      </c>
      <c r="B159" s="133" t="s">
        <v>105</v>
      </c>
      <c r="C159" s="121" t="s">
        <v>10931</v>
      </c>
      <c r="D159" s="116">
        <v>100</v>
      </c>
      <c r="E159" s="528">
        <v>100</v>
      </c>
      <c r="F159" s="338" t="s">
        <v>119</v>
      </c>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15" customHeight="1">
      <c r="A160" s="134" t="s">
        <v>7428</v>
      </c>
      <c r="B160" s="133" t="s">
        <v>105</v>
      </c>
      <c r="C160" s="121" t="s">
        <v>10967</v>
      </c>
      <c r="D160" s="100">
        <v>8</v>
      </c>
      <c r="E160" s="100">
        <v>8</v>
      </c>
      <c r="F160" s="338" t="s">
        <v>129</v>
      </c>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15" customHeight="1">
      <c r="A161" s="134" t="s">
        <v>7428</v>
      </c>
      <c r="B161" s="133" t="s">
        <v>105</v>
      </c>
      <c r="C161" s="121" t="s">
        <v>10968</v>
      </c>
      <c r="D161" s="100">
        <v>80</v>
      </c>
      <c r="E161" s="100">
        <v>80</v>
      </c>
      <c r="F161" s="338" t="s">
        <v>129</v>
      </c>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15" customHeight="1">
      <c r="A162" s="134" t="s">
        <v>7428</v>
      </c>
      <c r="B162" s="133" t="s">
        <v>105</v>
      </c>
      <c r="C162" s="121" t="s">
        <v>10969</v>
      </c>
      <c r="D162" s="100">
        <v>8</v>
      </c>
      <c r="E162" s="100">
        <v>8</v>
      </c>
      <c r="F162" s="338" t="s">
        <v>129</v>
      </c>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5" customHeight="1">
      <c r="A163" s="134" t="s">
        <v>7428</v>
      </c>
      <c r="B163" s="133" t="s">
        <v>105</v>
      </c>
      <c r="C163" s="121" t="s">
        <v>10956</v>
      </c>
      <c r="D163" s="116">
        <v>100</v>
      </c>
      <c r="E163" s="116">
        <v>100</v>
      </c>
      <c r="F163" s="338" t="s">
        <v>129</v>
      </c>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5" customHeight="1">
      <c r="A164" s="134" t="s">
        <v>110</v>
      </c>
      <c r="B164" s="99" t="s">
        <v>105</v>
      </c>
      <c r="C164" s="121" t="s">
        <v>10970</v>
      </c>
      <c r="D164" s="100">
        <v>100</v>
      </c>
      <c r="E164" s="528">
        <v>100</v>
      </c>
      <c r="F164" s="338" t="s">
        <v>110</v>
      </c>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5" customHeight="1">
      <c r="A165" s="134" t="s">
        <v>110</v>
      </c>
      <c r="B165" s="99" t="s">
        <v>105</v>
      </c>
      <c r="C165" s="121" t="s">
        <v>10971</v>
      </c>
      <c r="D165" s="116">
        <v>50</v>
      </c>
      <c r="E165" s="528">
        <v>50</v>
      </c>
      <c r="F165" s="338" t="s">
        <v>110</v>
      </c>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5.75" customHeight="1">
      <c r="A166" s="134" t="s">
        <v>110</v>
      </c>
      <c r="B166" s="99" t="s">
        <v>105</v>
      </c>
      <c r="C166" s="121" t="s">
        <v>10942</v>
      </c>
      <c r="D166" s="116">
        <f t="shared" ref="D166:D168" si="7">8</f>
        <v>8</v>
      </c>
      <c r="E166" s="528">
        <v>8</v>
      </c>
      <c r="F166" s="338" t="s">
        <v>110</v>
      </c>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5.75" customHeight="1">
      <c r="A167" s="134" t="s">
        <v>110</v>
      </c>
      <c r="B167" s="99" t="s">
        <v>105</v>
      </c>
      <c r="C167" s="121" t="s">
        <v>10943</v>
      </c>
      <c r="D167" s="116">
        <f t="shared" si="7"/>
        <v>8</v>
      </c>
      <c r="E167" s="528">
        <v>8</v>
      </c>
      <c r="F167" s="338" t="s">
        <v>110</v>
      </c>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5.75" customHeight="1">
      <c r="A168" s="134" t="s">
        <v>110</v>
      </c>
      <c r="B168" s="99" t="s">
        <v>105</v>
      </c>
      <c r="C168" s="121" t="s">
        <v>10944</v>
      </c>
      <c r="D168" s="116">
        <f t="shared" si="7"/>
        <v>8</v>
      </c>
      <c r="E168" s="528">
        <v>8</v>
      </c>
      <c r="F168" s="338" t="s">
        <v>110</v>
      </c>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5.75" customHeight="1">
      <c r="A169" s="134" t="s">
        <v>110</v>
      </c>
      <c r="B169" s="99" t="s">
        <v>105</v>
      </c>
      <c r="C169" s="121" t="s">
        <v>10972</v>
      </c>
      <c r="D169" s="116">
        <v>8</v>
      </c>
      <c r="E169" s="528">
        <v>8</v>
      </c>
      <c r="F169" s="338" t="s">
        <v>110</v>
      </c>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5.75" customHeight="1">
      <c r="A170" s="134" t="s">
        <v>110</v>
      </c>
      <c r="B170" s="99" t="s">
        <v>105</v>
      </c>
      <c r="C170" s="121" t="s">
        <v>10973</v>
      </c>
      <c r="D170" s="116">
        <v>8</v>
      </c>
      <c r="E170" s="528">
        <v>8</v>
      </c>
      <c r="F170" s="338" t="s">
        <v>110</v>
      </c>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5.75" customHeight="1">
      <c r="A171" s="134" t="s">
        <v>110</v>
      </c>
      <c r="B171" s="99" t="s">
        <v>105</v>
      </c>
      <c r="C171" s="121" t="s">
        <v>10974</v>
      </c>
      <c r="D171" s="116">
        <v>8</v>
      </c>
      <c r="E171" s="528">
        <v>8</v>
      </c>
      <c r="F171" s="338" t="s">
        <v>110</v>
      </c>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5" customHeight="1">
      <c r="A172" s="134" t="s">
        <v>7639</v>
      </c>
      <c r="B172" s="133" t="s">
        <v>105</v>
      </c>
      <c r="C172" s="121" t="s">
        <v>10942</v>
      </c>
      <c r="D172" s="116">
        <f>8</f>
        <v>8</v>
      </c>
      <c r="E172" s="528">
        <v>8</v>
      </c>
      <c r="F172" s="338" t="s">
        <v>1005</v>
      </c>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5" customHeight="1">
      <c r="A173" s="134" t="s">
        <v>7639</v>
      </c>
      <c r="B173" s="133" t="s">
        <v>105</v>
      </c>
      <c r="C173" s="121" t="s">
        <v>10975</v>
      </c>
      <c r="D173" s="116">
        <v>8</v>
      </c>
      <c r="E173" s="528">
        <v>8</v>
      </c>
      <c r="F173" s="338" t="s">
        <v>1005</v>
      </c>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5" customHeight="1">
      <c r="A174" s="134" t="s">
        <v>7639</v>
      </c>
      <c r="B174" s="133" t="s">
        <v>105</v>
      </c>
      <c r="C174" s="121" t="s">
        <v>10976</v>
      </c>
      <c r="D174" s="116">
        <v>8</v>
      </c>
      <c r="E174" s="528">
        <v>8</v>
      </c>
      <c r="F174" s="338" t="s">
        <v>1005</v>
      </c>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5" customHeight="1">
      <c r="A175" s="134" t="s">
        <v>7639</v>
      </c>
      <c r="B175" s="133" t="s">
        <v>105</v>
      </c>
      <c r="C175" s="121" t="s">
        <v>10977</v>
      </c>
      <c r="D175" s="116">
        <v>8</v>
      </c>
      <c r="E175" s="528">
        <v>8</v>
      </c>
      <c r="F175" s="338" t="s">
        <v>1005</v>
      </c>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5" customHeight="1">
      <c r="A176" s="256" t="s">
        <v>7639</v>
      </c>
      <c r="B176" s="469" t="s">
        <v>105</v>
      </c>
      <c r="C176" s="121" t="s">
        <v>10944</v>
      </c>
      <c r="D176" s="116">
        <v>8</v>
      </c>
      <c r="E176" s="528">
        <v>8</v>
      </c>
      <c r="F176" s="338" t="s">
        <v>1005</v>
      </c>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5" customHeight="1">
      <c r="A177" s="256" t="s">
        <v>7639</v>
      </c>
      <c r="B177" s="469" t="s">
        <v>105</v>
      </c>
      <c r="C177" s="1224" t="s">
        <v>10933</v>
      </c>
      <c r="D177" s="116" t="s">
        <v>10934</v>
      </c>
      <c r="E177" s="528">
        <v>16</v>
      </c>
      <c r="F177" s="338" t="s">
        <v>1005</v>
      </c>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5" customHeight="1">
      <c r="A178" s="256" t="s">
        <v>7639</v>
      </c>
      <c r="B178" s="469" t="s">
        <v>105</v>
      </c>
      <c r="C178" s="1224" t="s">
        <v>10931</v>
      </c>
      <c r="D178" s="116">
        <v>100</v>
      </c>
      <c r="E178" s="528">
        <v>100</v>
      </c>
      <c r="F178" s="338" t="s">
        <v>1005</v>
      </c>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5" customHeight="1">
      <c r="A179" s="134" t="s">
        <v>130</v>
      </c>
      <c r="B179" s="133" t="s">
        <v>105</v>
      </c>
      <c r="C179" s="121" t="s">
        <v>10978</v>
      </c>
      <c r="D179" s="100">
        <v>8</v>
      </c>
      <c r="E179" s="528">
        <v>8</v>
      </c>
      <c r="F179" s="338" t="s">
        <v>130</v>
      </c>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5" customHeight="1">
      <c r="A180" s="134" t="s">
        <v>130</v>
      </c>
      <c r="B180" s="133" t="s">
        <v>105</v>
      </c>
      <c r="C180" s="121" t="s">
        <v>10979</v>
      </c>
      <c r="D180" s="116">
        <v>100</v>
      </c>
      <c r="E180" s="528">
        <v>100</v>
      </c>
      <c r="F180" s="338" t="s">
        <v>130</v>
      </c>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5" customHeight="1">
      <c r="A181" s="134" t="s">
        <v>138</v>
      </c>
      <c r="B181" s="133" t="s">
        <v>105</v>
      </c>
      <c r="C181" s="121" t="s">
        <v>10942</v>
      </c>
      <c r="D181" s="116">
        <f t="shared" ref="D181:D183" si="8">8</f>
        <v>8</v>
      </c>
      <c r="E181" s="528">
        <v>8</v>
      </c>
      <c r="F181" s="338" t="s">
        <v>138</v>
      </c>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5" customHeight="1">
      <c r="A182" s="134" t="s">
        <v>138</v>
      </c>
      <c r="B182" s="133" t="s">
        <v>105</v>
      </c>
      <c r="C182" s="121" t="s">
        <v>10943</v>
      </c>
      <c r="D182" s="116">
        <f t="shared" si="8"/>
        <v>8</v>
      </c>
      <c r="E182" s="528">
        <v>8</v>
      </c>
      <c r="F182" s="338" t="s">
        <v>138</v>
      </c>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5" customHeight="1">
      <c r="A183" s="134" t="s">
        <v>138</v>
      </c>
      <c r="B183" s="133" t="s">
        <v>105</v>
      </c>
      <c r="C183" s="121" t="s">
        <v>10976</v>
      </c>
      <c r="D183" s="116">
        <f t="shared" si="8"/>
        <v>8</v>
      </c>
      <c r="E183" s="528">
        <v>8</v>
      </c>
      <c r="F183" s="338" t="s">
        <v>138</v>
      </c>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5" customHeight="1">
      <c r="A184" s="134" t="s">
        <v>138</v>
      </c>
      <c r="B184" s="133" t="s">
        <v>105</v>
      </c>
      <c r="C184" s="121" t="s">
        <v>10980</v>
      </c>
      <c r="D184" s="116">
        <v>100</v>
      </c>
      <c r="E184" s="528">
        <v>100</v>
      </c>
      <c r="F184" s="338" t="s">
        <v>138</v>
      </c>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5" customHeight="1">
      <c r="A185" s="134" t="s">
        <v>111</v>
      </c>
      <c r="B185" s="133" t="s">
        <v>105</v>
      </c>
      <c r="C185" s="121" t="s">
        <v>10931</v>
      </c>
      <c r="D185" s="100">
        <v>100</v>
      </c>
      <c r="E185" s="528">
        <v>100</v>
      </c>
      <c r="F185" s="338" t="s">
        <v>111</v>
      </c>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5" customHeight="1">
      <c r="A186" s="447" t="s">
        <v>7640</v>
      </c>
      <c r="B186" s="162" t="s">
        <v>105</v>
      </c>
      <c r="C186" s="121" t="s">
        <v>10931</v>
      </c>
      <c r="D186" s="100">
        <v>100</v>
      </c>
      <c r="E186" s="528">
        <v>100</v>
      </c>
      <c r="F186" s="338" t="s">
        <v>112</v>
      </c>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5" customHeight="1">
      <c r="A187" s="134" t="s">
        <v>6907</v>
      </c>
      <c r="B187" s="133" t="s">
        <v>105</v>
      </c>
      <c r="C187" s="121" t="s">
        <v>10966</v>
      </c>
      <c r="D187" s="116">
        <v>80</v>
      </c>
      <c r="E187" s="528">
        <v>80</v>
      </c>
      <c r="F187" s="338" t="s">
        <v>113</v>
      </c>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5" customHeight="1">
      <c r="A188" s="134" t="s">
        <v>6907</v>
      </c>
      <c r="B188" s="133" t="s">
        <v>105</v>
      </c>
      <c r="C188" s="121" t="s">
        <v>10981</v>
      </c>
      <c r="D188" s="116">
        <v>30</v>
      </c>
      <c r="E188" s="528">
        <v>30</v>
      </c>
      <c r="F188" s="338" t="s">
        <v>113</v>
      </c>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5" customHeight="1">
      <c r="A189" s="134" t="s">
        <v>6907</v>
      </c>
      <c r="B189" s="133" t="s">
        <v>105</v>
      </c>
      <c r="C189" s="121" t="s">
        <v>10982</v>
      </c>
      <c r="D189" s="116">
        <v>30</v>
      </c>
      <c r="E189" s="528">
        <v>30</v>
      </c>
      <c r="F189" s="338" t="s">
        <v>113</v>
      </c>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5" customHeight="1">
      <c r="A190" s="134" t="s">
        <v>6907</v>
      </c>
      <c r="B190" s="133" t="s">
        <v>105</v>
      </c>
      <c r="C190" s="121" t="s">
        <v>10951</v>
      </c>
      <c r="D190" s="116">
        <v>50</v>
      </c>
      <c r="E190" s="528">
        <v>50</v>
      </c>
      <c r="F190" s="338" t="s">
        <v>113</v>
      </c>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5" customHeight="1">
      <c r="A191" s="134" t="s">
        <v>6907</v>
      </c>
      <c r="B191" s="133" t="s">
        <v>105</v>
      </c>
      <c r="C191" s="121" t="s">
        <v>10956</v>
      </c>
      <c r="D191" s="116">
        <v>100</v>
      </c>
      <c r="E191" s="528">
        <v>100</v>
      </c>
      <c r="F191" s="338" t="s">
        <v>113</v>
      </c>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5" customHeight="1">
      <c r="A192" s="134" t="s">
        <v>133</v>
      </c>
      <c r="B192" s="133" t="s">
        <v>3753</v>
      </c>
      <c r="C192" s="121" t="s">
        <v>10983</v>
      </c>
      <c r="D192" s="132" t="s">
        <v>10984</v>
      </c>
      <c r="E192" s="528">
        <v>24</v>
      </c>
      <c r="F192" s="338" t="s">
        <v>133</v>
      </c>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5" customHeight="1">
      <c r="A193" s="302" t="s">
        <v>133</v>
      </c>
      <c r="B193" s="301" t="s">
        <v>3753</v>
      </c>
      <c r="C193" s="289" t="s">
        <v>10985</v>
      </c>
      <c r="D193" s="305">
        <v>25</v>
      </c>
      <c r="E193" s="513">
        <v>25</v>
      </c>
      <c r="F193" s="338" t="s">
        <v>133</v>
      </c>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5" customHeight="1">
      <c r="A194" s="302" t="s">
        <v>133</v>
      </c>
      <c r="B194" s="301" t="s">
        <v>3753</v>
      </c>
      <c r="C194" s="289" t="s">
        <v>10986</v>
      </c>
      <c r="D194" s="305">
        <v>25</v>
      </c>
      <c r="E194" s="513">
        <v>25</v>
      </c>
      <c r="F194" s="338" t="s">
        <v>133</v>
      </c>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5" customHeight="1">
      <c r="A195" s="302" t="s">
        <v>133</v>
      </c>
      <c r="B195" s="301" t="s">
        <v>3753</v>
      </c>
      <c r="C195" s="289" t="s">
        <v>10987</v>
      </c>
      <c r="D195" s="305">
        <v>8</v>
      </c>
      <c r="E195" s="513">
        <v>8</v>
      </c>
      <c r="F195" s="338" t="s">
        <v>133</v>
      </c>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5" customHeight="1">
      <c r="A196" s="302" t="s">
        <v>133</v>
      </c>
      <c r="B196" s="301" t="s">
        <v>3753</v>
      </c>
      <c r="C196" s="289" t="s">
        <v>10988</v>
      </c>
      <c r="D196" s="305">
        <v>8</v>
      </c>
      <c r="E196" s="513">
        <v>8</v>
      </c>
      <c r="F196" s="338" t="s">
        <v>133</v>
      </c>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5" customHeight="1">
      <c r="A197" s="302" t="s">
        <v>133</v>
      </c>
      <c r="B197" s="301" t="s">
        <v>3753</v>
      </c>
      <c r="C197" s="896" t="s">
        <v>10989</v>
      </c>
      <c r="D197" s="305">
        <v>8</v>
      </c>
      <c r="E197" s="513">
        <v>8</v>
      </c>
      <c r="F197" s="338" t="s">
        <v>133</v>
      </c>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5" customHeight="1">
      <c r="A198" s="302" t="s">
        <v>133</v>
      </c>
      <c r="B198" s="301" t="s">
        <v>3753</v>
      </c>
      <c r="C198" s="1225" t="s">
        <v>10990</v>
      </c>
      <c r="D198" s="305">
        <v>20</v>
      </c>
      <c r="E198" s="513">
        <v>20</v>
      </c>
      <c r="F198" s="338" t="s">
        <v>133</v>
      </c>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5" customHeight="1">
      <c r="A199" s="302" t="s">
        <v>133</v>
      </c>
      <c r="B199" s="301" t="s">
        <v>3753</v>
      </c>
      <c r="C199" s="289" t="s">
        <v>10991</v>
      </c>
      <c r="D199" s="305">
        <v>10</v>
      </c>
      <c r="E199" s="513">
        <v>10</v>
      </c>
      <c r="F199" s="338" t="s">
        <v>133</v>
      </c>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5.75" customHeight="1"/>
    <row r="201" spans="1:26" ht="15" customHeight="1">
      <c r="A201" s="332" t="s">
        <v>169</v>
      </c>
      <c r="E201" s="1116">
        <f>SUM(E12:E199)</f>
        <v>9769.1666666666661</v>
      </c>
    </row>
    <row r="202" spans="1:26" ht="15.75" customHeight="1"/>
    <row r="203" spans="1:26" ht="15" customHeight="1">
      <c r="A203" s="1231" t="s">
        <v>1156</v>
      </c>
      <c r="B203" s="1232"/>
      <c r="C203" s="1232"/>
      <c r="D203" s="1232"/>
      <c r="E203" s="1232"/>
      <c r="F203" s="1232"/>
      <c r="G203" s="1232"/>
      <c r="H203" s="1233"/>
    </row>
    <row r="204" spans="1:26" ht="15.75" customHeight="1"/>
    <row r="205" spans="1:26" ht="15.75" customHeight="1"/>
    <row r="206" spans="1:26" ht="15.75" customHeight="1"/>
    <row r="207" spans="1:26" ht="15.75" customHeight="1"/>
    <row r="208" spans="1:26"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E8"/>
    <mergeCell ref="A9:E9"/>
    <mergeCell ref="A203:H203"/>
    <mergeCell ref="A2:E2"/>
    <mergeCell ref="A4:E4"/>
    <mergeCell ref="A5:E5"/>
    <mergeCell ref="A6:E6"/>
    <mergeCell ref="A7:E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AB1000"/>
  <sheetViews>
    <sheetView workbookViewId="0"/>
  </sheetViews>
  <sheetFormatPr defaultColWidth="14.3984375" defaultRowHeight="15" customHeight="1"/>
  <cols>
    <col min="1" max="1" width="23.73046875" customWidth="1"/>
    <col min="2" max="2" width="16" customWidth="1"/>
    <col min="3" max="3" width="15" customWidth="1"/>
    <col min="4" max="4" width="18.73046875" customWidth="1"/>
    <col min="5" max="5" width="9" customWidth="1"/>
    <col min="6" max="6" width="11.73046875" customWidth="1"/>
    <col min="7" max="7" width="18.265625" customWidth="1"/>
    <col min="8" max="10" width="15.265625" customWidth="1"/>
    <col min="11" max="13" width="9.1328125" customWidth="1"/>
    <col min="14" max="14" width="8.1328125" customWidth="1"/>
    <col min="15" max="15" width="10.1328125" customWidth="1"/>
    <col min="16" max="20" width="8.86328125" customWidth="1"/>
    <col min="21" max="28" width="8" customWidth="1"/>
  </cols>
  <sheetData>
    <row r="1" spans="1:28" ht="14.25">
      <c r="A1" s="64"/>
      <c r="B1" s="65"/>
      <c r="C1" s="1"/>
      <c r="D1" s="1"/>
      <c r="E1" s="1"/>
      <c r="F1" s="1"/>
      <c r="G1" s="1"/>
      <c r="H1" s="1"/>
      <c r="I1" s="1"/>
      <c r="J1" s="1"/>
      <c r="K1" s="1"/>
      <c r="L1" s="1"/>
      <c r="M1" s="1"/>
      <c r="N1" s="1"/>
    </row>
    <row r="2" spans="1:28" ht="21.75" customHeight="1">
      <c r="A2" s="1234" t="s">
        <v>1205</v>
      </c>
      <c r="B2" s="1227"/>
      <c r="C2" s="1227"/>
      <c r="D2" s="1227"/>
      <c r="E2" s="1227"/>
      <c r="F2" s="1227"/>
      <c r="G2" s="1227"/>
      <c r="H2" s="1227"/>
      <c r="I2" s="1227"/>
      <c r="J2" s="1227"/>
      <c r="K2" s="1227"/>
      <c r="L2" s="1235"/>
      <c r="M2" s="346"/>
      <c r="N2" s="346"/>
      <c r="O2" s="346"/>
      <c r="P2" s="347"/>
      <c r="Q2" s="348"/>
      <c r="R2" s="348"/>
      <c r="S2" s="348"/>
      <c r="T2" s="348"/>
      <c r="U2" s="348"/>
      <c r="V2" s="348"/>
      <c r="W2" s="348"/>
      <c r="X2" s="348"/>
      <c r="Y2" s="348"/>
      <c r="Z2" s="348"/>
      <c r="AA2" s="348"/>
      <c r="AB2" s="348"/>
    </row>
    <row r="3" spans="1:28" ht="18" customHeight="1">
      <c r="A3" s="80"/>
      <c r="B3" s="80"/>
      <c r="C3" s="80"/>
      <c r="D3" s="80"/>
      <c r="E3" s="80"/>
      <c r="F3" s="80"/>
      <c r="G3" s="80"/>
      <c r="H3" s="68"/>
      <c r="I3" s="68"/>
      <c r="J3" s="68"/>
      <c r="K3" s="68"/>
      <c r="L3" s="68"/>
      <c r="M3" s="68"/>
      <c r="N3" s="68"/>
      <c r="O3" s="69"/>
      <c r="P3" s="69"/>
      <c r="Q3" s="69"/>
      <c r="R3" s="69"/>
      <c r="S3" s="69"/>
      <c r="T3" s="69"/>
      <c r="U3" s="69"/>
      <c r="V3" s="69"/>
      <c r="W3" s="69"/>
      <c r="X3" s="69"/>
      <c r="Y3" s="69"/>
      <c r="Z3" s="69"/>
      <c r="AA3" s="69"/>
      <c r="AB3" s="69"/>
    </row>
    <row r="4" spans="1:28" ht="41.25" customHeight="1">
      <c r="A4" s="1236" t="s">
        <v>1206</v>
      </c>
      <c r="B4" s="1227"/>
      <c r="C4" s="1227"/>
      <c r="D4" s="1227"/>
      <c r="E4" s="1227"/>
      <c r="F4" s="1227"/>
      <c r="G4" s="1227"/>
      <c r="H4" s="1227"/>
      <c r="I4" s="1227"/>
      <c r="J4" s="1227"/>
      <c r="K4" s="1227"/>
      <c r="L4" s="1235"/>
      <c r="M4" s="346"/>
      <c r="N4" s="346"/>
      <c r="O4" s="346"/>
      <c r="P4" s="347"/>
      <c r="Q4" s="69"/>
      <c r="R4" s="69"/>
      <c r="S4" s="69"/>
      <c r="T4" s="69"/>
      <c r="U4" s="69"/>
      <c r="V4" s="69"/>
      <c r="W4" s="69"/>
      <c r="X4" s="69"/>
      <c r="Y4" s="69"/>
      <c r="Z4" s="69"/>
      <c r="AA4" s="69"/>
      <c r="AB4" s="69"/>
    </row>
    <row r="5" spans="1:28" ht="13.5" customHeight="1">
      <c r="A5" s="1237" t="s">
        <v>1207</v>
      </c>
      <c r="B5" s="1227"/>
      <c r="C5" s="1227"/>
      <c r="D5" s="1227"/>
      <c r="E5" s="1227"/>
      <c r="F5" s="1227"/>
      <c r="G5" s="1227"/>
      <c r="H5" s="1227"/>
      <c r="I5" s="1227"/>
      <c r="J5" s="1227"/>
      <c r="K5" s="1227"/>
      <c r="L5" s="1235"/>
      <c r="M5" s="346"/>
      <c r="N5" s="346"/>
      <c r="O5" s="346"/>
      <c r="P5" s="347"/>
      <c r="Q5" s="69"/>
      <c r="R5" s="69"/>
      <c r="S5" s="69"/>
      <c r="T5" s="69"/>
      <c r="U5" s="69"/>
      <c r="V5" s="69"/>
      <c r="W5" s="69"/>
      <c r="X5" s="69"/>
      <c r="Y5" s="69"/>
      <c r="Z5" s="69"/>
      <c r="AA5" s="69"/>
      <c r="AB5" s="69"/>
    </row>
    <row r="6" spans="1:28" ht="14.25" customHeight="1">
      <c r="A6" s="1236" t="s">
        <v>1208</v>
      </c>
      <c r="B6" s="1227"/>
      <c r="C6" s="1227"/>
      <c r="D6" s="1227"/>
      <c r="E6" s="1227"/>
      <c r="F6" s="1227"/>
      <c r="G6" s="1227"/>
      <c r="H6" s="1227"/>
      <c r="I6" s="1227"/>
      <c r="J6" s="1227"/>
      <c r="K6" s="1227"/>
      <c r="L6" s="1235"/>
      <c r="M6" s="346"/>
      <c r="N6" s="346"/>
      <c r="O6" s="346"/>
      <c r="P6" s="347"/>
      <c r="Q6" s="69"/>
      <c r="R6" s="69"/>
      <c r="S6" s="69"/>
      <c r="T6" s="69"/>
      <c r="U6" s="69"/>
      <c r="V6" s="69"/>
      <c r="W6" s="69"/>
      <c r="X6" s="69"/>
      <c r="Y6" s="69"/>
      <c r="Z6" s="69"/>
      <c r="AA6" s="69"/>
      <c r="AB6" s="69"/>
    </row>
    <row r="7" spans="1:28" ht="14.25" customHeight="1">
      <c r="A7" s="1226" t="s">
        <v>1209</v>
      </c>
      <c r="B7" s="1227"/>
      <c r="C7" s="1227"/>
      <c r="D7" s="1227"/>
      <c r="E7" s="1227"/>
      <c r="F7" s="1227"/>
      <c r="G7" s="1227"/>
      <c r="H7" s="1227"/>
      <c r="I7" s="1227"/>
      <c r="J7" s="1227"/>
      <c r="K7" s="1227"/>
      <c r="L7" s="1235"/>
      <c r="M7" s="346"/>
      <c r="N7" s="346"/>
      <c r="O7" s="346"/>
      <c r="P7" s="347"/>
      <c r="Q7" s="68"/>
      <c r="R7" s="68"/>
      <c r="S7" s="68"/>
      <c r="T7" s="68"/>
      <c r="U7" s="69"/>
      <c r="V7" s="69"/>
      <c r="W7" s="69"/>
      <c r="X7" s="69"/>
      <c r="Y7" s="69"/>
      <c r="Z7" s="69"/>
      <c r="AA7" s="69"/>
      <c r="AB7" s="69"/>
    </row>
    <row r="8" spans="1:28" ht="15" customHeight="1">
      <c r="A8" s="1237" t="s">
        <v>1210</v>
      </c>
      <c r="B8" s="1227"/>
      <c r="C8" s="1227"/>
      <c r="D8" s="1227"/>
      <c r="E8" s="1227"/>
      <c r="F8" s="1227"/>
      <c r="G8" s="1227"/>
      <c r="H8" s="1227"/>
      <c r="I8" s="1227"/>
      <c r="J8" s="1227"/>
      <c r="K8" s="1227"/>
      <c r="L8" s="1235"/>
      <c r="M8" s="346"/>
      <c r="N8" s="346"/>
      <c r="O8" s="346"/>
      <c r="P8" s="347"/>
      <c r="Q8" s="68"/>
      <c r="R8" s="68"/>
      <c r="S8" s="68"/>
      <c r="T8" s="68"/>
      <c r="U8" s="69"/>
      <c r="V8" s="69"/>
      <c r="W8" s="69"/>
      <c r="X8" s="69"/>
      <c r="Y8" s="69"/>
      <c r="Z8" s="69"/>
      <c r="AA8" s="69"/>
      <c r="AB8" s="69"/>
    </row>
    <row r="9" spans="1:28" ht="14.25" customHeight="1">
      <c r="A9" s="1226" t="s">
        <v>1211</v>
      </c>
      <c r="B9" s="1227"/>
      <c r="C9" s="1227"/>
      <c r="D9" s="1227"/>
      <c r="E9" s="1227"/>
      <c r="F9" s="1227"/>
      <c r="G9" s="1227"/>
      <c r="H9" s="1227"/>
      <c r="I9" s="1227"/>
      <c r="J9" s="1227"/>
      <c r="K9" s="1227"/>
      <c r="L9" s="1235"/>
      <c r="M9" s="346"/>
      <c r="N9" s="346"/>
      <c r="O9" s="346"/>
      <c r="P9" s="347"/>
      <c r="Q9" s="68"/>
      <c r="R9" s="68"/>
      <c r="S9" s="68"/>
      <c r="T9" s="68"/>
      <c r="U9" s="69"/>
      <c r="V9" s="69"/>
      <c r="W9" s="69"/>
      <c r="X9" s="69"/>
      <c r="Y9" s="69"/>
      <c r="Z9" s="69"/>
      <c r="AA9" s="69"/>
      <c r="AB9" s="69"/>
    </row>
    <row r="10" spans="1:28" ht="14.25" customHeight="1">
      <c r="A10" s="1226" t="s">
        <v>1212</v>
      </c>
      <c r="B10" s="1227"/>
      <c r="C10" s="1227"/>
      <c r="D10" s="1227"/>
      <c r="E10" s="1227"/>
      <c r="F10" s="1227"/>
      <c r="G10" s="1227"/>
      <c r="H10" s="1227"/>
      <c r="I10" s="1227"/>
      <c r="J10" s="1227"/>
      <c r="K10" s="1227"/>
      <c r="L10" s="1235"/>
      <c r="M10" s="346"/>
      <c r="N10" s="346"/>
      <c r="O10" s="346"/>
      <c r="P10" s="347"/>
      <c r="Q10" s="68"/>
      <c r="R10" s="68"/>
      <c r="S10" s="68"/>
      <c r="T10" s="68"/>
      <c r="U10" s="69"/>
      <c r="V10" s="69"/>
      <c r="W10" s="69"/>
      <c r="X10" s="69"/>
      <c r="Y10" s="69"/>
      <c r="Z10" s="69"/>
      <c r="AA10" s="69"/>
      <c r="AB10" s="69"/>
    </row>
    <row r="11" spans="1:28" ht="66.75" customHeight="1">
      <c r="A11" s="1229" t="s">
        <v>1213</v>
      </c>
      <c r="B11" s="1227"/>
      <c r="C11" s="1227"/>
      <c r="D11" s="1227"/>
      <c r="E11" s="1227"/>
      <c r="F11" s="1227"/>
      <c r="G11" s="1227"/>
      <c r="H11" s="1227"/>
      <c r="I11" s="1227"/>
      <c r="J11" s="1227"/>
      <c r="K11" s="1227"/>
      <c r="L11" s="1235"/>
      <c r="M11" s="346"/>
      <c r="N11" s="346"/>
      <c r="O11" s="346"/>
      <c r="P11" s="347"/>
      <c r="Q11" s="69"/>
      <c r="R11" s="69"/>
      <c r="S11" s="69"/>
      <c r="T11" s="69"/>
      <c r="U11" s="69"/>
      <c r="V11" s="69"/>
      <c r="W11" s="69"/>
      <c r="X11" s="69"/>
      <c r="Y11" s="69"/>
      <c r="Z11" s="69"/>
      <c r="AA11" s="69"/>
      <c r="AB11" s="69"/>
    </row>
    <row r="12" spans="1:28" ht="14.25">
      <c r="A12" s="349"/>
      <c r="B12" s="349"/>
      <c r="C12" s="349"/>
      <c r="D12" s="349"/>
      <c r="E12" s="349"/>
      <c r="F12" s="349"/>
      <c r="G12" s="349"/>
      <c r="H12" s="349"/>
      <c r="I12" s="349"/>
      <c r="J12" s="349"/>
      <c r="K12" s="349"/>
      <c r="L12" s="349"/>
      <c r="M12" s="349"/>
      <c r="N12" s="349"/>
      <c r="O12" s="69"/>
      <c r="P12" s="69"/>
      <c r="Q12" s="69"/>
      <c r="R12" s="69"/>
      <c r="S12" s="69"/>
      <c r="T12" s="69"/>
      <c r="U12" s="69"/>
      <c r="V12" s="69"/>
      <c r="W12" s="69"/>
      <c r="X12" s="69"/>
      <c r="Y12" s="69"/>
      <c r="Z12" s="69"/>
      <c r="AA12" s="69"/>
      <c r="AB12" s="69"/>
    </row>
    <row r="13" spans="1:28" ht="38.25">
      <c r="A13" s="350" t="s">
        <v>6</v>
      </c>
      <c r="B13" s="350" t="s">
        <v>1214</v>
      </c>
      <c r="C13" s="350" t="s">
        <v>1215</v>
      </c>
      <c r="D13" s="350" t="s">
        <v>1216</v>
      </c>
      <c r="E13" s="350" t="s">
        <v>1217</v>
      </c>
      <c r="F13" s="83" t="s">
        <v>7</v>
      </c>
      <c r="G13" s="350" t="s">
        <v>1218</v>
      </c>
      <c r="H13" s="350" t="s">
        <v>1219</v>
      </c>
      <c r="I13" s="350" t="s">
        <v>1220</v>
      </c>
      <c r="J13" s="350" t="s">
        <v>1221</v>
      </c>
      <c r="K13" s="350" t="s">
        <v>1222</v>
      </c>
      <c r="L13" s="351" t="s">
        <v>210</v>
      </c>
      <c r="M13" s="336" t="s">
        <v>211</v>
      </c>
      <c r="N13" s="349"/>
      <c r="O13" s="69"/>
      <c r="P13" s="69"/>
    </row>
    <row r="14" spans="1:28" ht="15" customHeight="1">
      <c r="A14" s="352" t="s">
        <v>1223</v>
      </c>
      <c r="B14" s="352" t="s">
        <v>1224</v>
      </c>
      <c r="C14" s="352" t="s">
        <v>1225</v>
      </c>
      <c r="D14" s="352" t="s">
        <v>1226</v>
      </c>
      <c r="E14" s="352" t="s">
        <v>1223</v>
      </c>
      <c r="F14" s="353" t="s">
        <v>401</v>
      </c>
      <c r="G14" s="354" t="s">
        <v>1227</v>
      </c>
      <c r="H14" s="352" t="s">
        <v>1228</v>
      </c>
      <c r="I14" s="352">
        <v>2022</v>
      </c>
      <c r="J14" s="352" t="s">
        <v>1229</v>
      </c>
      <c r="K14" s="352">
        <v>400</v>
      </c>
      <c r="L14" s="355">
        <v>400</v>
      </c>
      <c r="M14" s="338" t="s">
        <v>510</v>
      </c>
    </row>
    <row r="15" spans="1:28" ht="15" customHeight="1">
      <c r="A15" s="352" t="s">
        <v>1230</v>
      </c>
      <c r="B15" s="352" t="s">
        <v>1231</v>
      </c>
      <c r="C15" s="352" t="s">
        <v>1232</v>
      </c>
      <c r="D15" s="352" t="s">
        <v>1233</v>
      </c>
      <c r="E15" s="352" t="s">
        <v>1230</v>
      </c>
      <c r="F15" s="353" t="s">
        <v>51</v>
      </c>
      <c r="G15" s="354" t="s">
        <v>1234</v>
      </c>
      <c r="H15" s="352">
        <v>2022</v>
      </c>
      <c r="I15" s="352">
        <v>2022</v>
      </c>
      <c r="J15" s="352" t="s">
        <v>1235</v>
      </c>
      <c r="K15" s="352">
        <v>2000</v>
      </c>
      <c r="L15" s="356">
        <f>0.5*K15</f>
        <v>1000</v>
      </c>
      <c r="M15" s="338" t="s">
        <v>518</v>
      </c>
    </row>
    <row r="16" spans="1:28" ht="25.5">
      <c r="A16" s="357" t="s">
        <v>739</v>
      </c>
      <c r="B16" s="357" t="s">
        <v>1236</v>
      </c>
      <c r="C16" s="357" t="s">
        <v>1237</v>
      </c>
      <c r="D16" s="357" t="s">
        <v>1226</v>
      </c>
      <c r="E16" s="357" t="s">
        <v>739</v>
      </c>
      <c r="F16" s="358" t="s">
        <v>141</v>
      </c>
      <c r="G16" s="357"/>
      <c r="H16" s="357">
        <v>2021</v>
      </c>
      <c r="I16" s="357"/>
      <c r="J16" s="359" t="s">
        <v>1238</v>
      </c>
      <c r="K16" s="357">
        <v>400</v>
      </c>
      <c r="L16" s="360">
        <v>400</v>
      </c>
      <c r="M16" s="349" t="str">
        <f t="shared" ref="M16:M17" si="0">A16</f>
        <v>Brad Remus</v>
      </c>
      <c r="N16" s="349"/>
      <c r="O16" s="69"/>
      <c r="P16" s="69"/>
      <c r="Q16" s="216"/>
      <c r="R16" s="216"/>
      <c r="S16" s="216"/>
      <c r="T16" s="216"/>
      <c r="U16" s="216"/>
      <c r="V16" s="216"/>
      <c r="W16" s="216"/>
      <c r="X16" s="216"/>
      <c r="Y16" s="216"/>
      <c r="Z16" s="216"/>
      <c r="AA16" s="216"/>
      <c r="AB16" s="216"/>
    </row>
    <row r="17" spans="1:28" ht="204">
      <c r="A17" s="92" t="s">
        <v>156</v>
      </c>
      <c r="B17" s="92" t="s">
        <v>1239</v>
      </c>
      <c r="C17" s="92" t="s">
        <v>1240</v>
      </c>
      <c r="D17" s="92" t="s">
        <v>1233</v>
      </c>
      <c r="E17" s="92" t="s">
        <v>1241</v>
      </c>
      <c r="F17" s="92" t="s">
        <v>141</v>
      </c>
      <c r="G17" s="92" t="s">
        <v>1242</v>
      </c>
      <c r="H17" s="110">
        <v>2022</v>
      </c>
      <c r="I17" s="110" t="s">
        <v>1243</v>
      </c>
      <c r="J17" s="361">
        <v>24496</v>
      </c>
      <c r="K17" s="362">
        <f>200*J17/50000</f>
        <v>97.983999999999995</v>
      </c>
      <c r="L17" s="363">
        <v>97.98</v>
      </c>
      <c r="M17" s="349" t="str">
        <f t="shared" si="0"/>
        <v>FLOREA ADRIAN</v>
      </c>
      <c r="N17" s="349"/>
      <c r="O17" s="69"/>
      <c r="P17" s="69"/>
      <c r="Q17" s="216"/>
      <c r="R17" s="216"/>
      <c r="S17" s="216"/>
      <c r="T17" s="216"/>
      <c r="U17" s="216"/>
      <c r="V17" s="216"/>
      <c r="W17" s="216"/>
      <c r="X17" s="216"/>
      <c r="Y17" s="216"/>
      <c r="Z17" s="216"/>
      <c r="AA17" s="216"/>
      <c r="AB17" s="216"/>
    </row>
    <row r="18" spans="1:28" ht="89.25">
      <c r="A18" s="352" t="s">
        <v>829</v>
      </c>
      <c r="B18" s="352" t="s">
        <v>1244</v>
      </c>
      <c r="C18" s="352" t="s">
        <v>1245</v>
      </c>
      <c r="D18" s="352" t="s">
        <v>1226</v>
      </c>
      <c r="E18" s="352" t="s">
        <v>1246</v>
      </c>
      <c r="F18" s="353" t="s">
        <v>141</v>
      </c>
      <c r="G18" s="354" t="s">
        <v>1247</v>
      </c>
      <c r="H18" s="352">
        <v>2022</v>
      </c>
      <c r="I18" s="352"/>
      <c r="J18" s="352" t="s">
        <v>1248</v>
      </c>
      <c r="K18" s="352">
        <v>400</v>
      </c>
      <c r="L18" s="355">
        <v>66</v>
      </c>
      <c r="M18" s="349" t="s">
        <v>829</v>
      </c>
      <c r="N18" s="349"/>
      <c r="O18" s="69"/>
      <c r="P18" s="69"/>
      <c r="Q18" s="216"/>
      <c r="R18" s="216"/>
      <c r="S18" s="216"/>
      <c r="T18" s="216"/>
      <c r="U18" s="216"/>
      <c r="V18" s="216"/>
      <c r="W18" s="216"/>
      <c r="X18" s="216"/>
      <c r="Y18" s="216"/>
      <c r="Z18" s="216"/>
      <c r="AA18" s="216"/>
      <c r="AB18" s="216"/>
    </row>
    <row r="19" spans="1:28" ht="114.75">
      <c r="A19" s="352" t="s">
        <v>829</v>
      </c>
      <c r="B19" s="352" t="s">
        <v>1249</v>
      </c>
      <c r="C19" s="352" t="s">
        <v>1250</v>
      </c>
      <c r="D19" s="352" t="s">
        <v>1233</v>
      </c>
      <c r="E19" s="352" t="s">
        <v>829</v>
      </c>
      <c r="F19" s="353" t="s">
        <v>141</v>
      </c>
      <c r="G19" s="354" t="s">
        <v>1251</v>
      </c>
      <c r="H19" s="352">
        <v>2022</v>
      </c>
      <c r="I19" s="352">
        <v>2022</v>
      </c>
      <c r="J19" s="352" t="s">
        <v>1252</v>
      </c>
      <c r="K19" s="352">
        <v>1100</v>
      </c>
      <c r="L19" s="355">
        <v>550</v>
      </c>
      <c r="M19" s="349" t="s">
        <v>829</v>
      </c>
      <c r="N19" s="349"/>
      <c r="O19" s="69"/>
      <c r="P19" s="69"/>
      <c r="Q19" s="216"/>
      <c r="R19" s="216"/>
      <c r="S19" s="216"/>
      <c r="T19" s="216"/>
      <c r="U19" s="216"/>
      <c r="V19" s="216"/>
      <c r="W19" s="216"/>
      <c r="X19" s="216"/>
      <c r="Y19" s="216"/>
      <c r="Z19" s="216"/>
      <c r="AA19" s="216"/>
      <c r="AB19" s="216"/>
    </row>
    <row r="20" spans="1:28" ht="24" customHeight="1">
      <c r="A20" s="352" t="s">
        <v>829</v>
      </c>
      <c r="B20" s="352" t="s">
        <v>1253</v>
      </c>
      <c r="C20" s="352" t="s">
        <v>1254</v>
      </c>
      <c r="D20" s="352" t="s">
        <v>1226</v>
      </c>
      <c r="E20" s="352" t="s">
        <v>829</v>
      </c>
      <c r="F20" s="353" t="s">
        <v>141</v>
      </c>
      <c r="G20" s="354" t="s">
        <v>1255</v>
      </c>
      <c r="H20" s="352">
        <v>2022</v>
      </c>
      <c r="I20" s="352"/>
      <c r="J20" s="352" t="s">
        <v>1256</v>
      </c>
      <c r="K20" s="352">
        <v>400</v>
      </c>
      <c r="L20" s="355">
        <v>134</v>
      </c>
      <c r="M20" s="67" t="s">
        <v>829</v>
      </c>
      <c r="N20" s="216"/>
      <c r="O20" s="216"/>
      <c r="P20" s="216"/>
      <c r="Q20" s="216"/>
      <c r="R20" s="216"/>
      <c r="S20" s="216"/>
      <c r="T20" s="216"/>
      <c r="U20" s="216"/>
      <c r="V20" s="216"/>
      <c r="W20" s="216"/>
      <c r="X20" s="216"/>
      <c r="Y20" s="216"/>
      <c r="Z20" s="216"/>
      <c r="AA20" s="216"/>
      <c r="AB20" s="216"/>
    </row>
    <row r="21" spans="1:28" ht="22.5" customHeight="1">
      <c r="A21" s="364" t="s">
        <v>829</v>
      </c>
      <c r="B21" s="364" t="s">
        <v>1257</v>
      </c>
      <c r="C21" s="364" t="s">
        <v>1258</v>
      </c>
      <c r="D21" s="364" t="s">
        <v>1226</v>
      </c>
      <c r="E21" s="364" t="s">
        <v>829</v>
      </c>
      <c r="F21" s="364" t="s">
        <v>141</v>
      </c>
      <c r="G21" s="365" t="s">
        <v>1259</v>
      </c>
      <c r="H21" s="364">
        <v>2022</v>
      </c>
      <c r="I21" s="364"/>
      <c r="J21" s="364" t="s">
        <v>1260</v>
      </c>
      <c r="K21" s="364">
        <v>96</v>
      </c>
      <c r="L21" s="366">
        <v>96</v>
      </c>
      <c r="M21" s="67" t="s">
        <v>829</v>
      </c>
      <c r="N21" s="1"/>
      <c r="O21" s="216"/>
      <c r="P21" s="216"/>
      <c r="Q21" s="216"/>
      <c r="R21" s="216"/>
      <c r="S21" s="216"/>
      <c r="T21" s="216"/>
      <c r="U21" s="216"/>
      <c r="V21" s="216"/>
      <c r="W21" s="216"/>
      <c r="X21" s="216"/>
      <c r="Y21" s="216"/>
      <c r="Z21" s="216"/>
      <c r="AA21" s="216"/>
      <c r="AB21" s="216"/>
    </row>
    <row r="22" spans="1:28" ht="15.75" customHeight="1">
      <c r="A22" s="352" t="s">
        <v>1261</v>
      </c>
      <c r="B22" s="352" t="s">
        <v>1262</v>
      </c>
      <c r="C22" s="352" t="s">
        <v>1263</v>
      </c>
      <c r="D22" s="352" t="s">
        <v>1233</v>
      </c>
      <c r="E22" s="352" t="s">
        <v>1264</v>
      </c>
      <c r="F22" s="353"/>
      <c r="G22" s="354" t="s">
        <v>1251</v>
      </c>
      <c r="H22" s="352">
        <v>2022</v>
      </c>
      <c r="I22" s="352" t="s">
        <v>1265</v>
      </c>
      <c r="J22" s="367" t="s">
        <v>1252</v>
      </c>
      <c r="K22" s="368">
        <v>1100</v>
      </c>
      <c r="L22" s="355">
        <v>550</v>
      </c>
      <c r="M22" s="1" t="str">
        <f t="shared" ref="M22:M24" si="1">A22</f>
        <v>Neghină Cătălina</v>
      </c>
      <c r="N22" s="1"/>
      <c r="O22" s="216"/>
      <c r="P22" s="216"/>
      <c r="Q22" s="216"/>
      <c r="R22" s="216"/>
      <c r="S22" s="216"/>
      <c r="T22" s="216"/>
      <c r="U22" s="216"/>
      <c r="V22" s="216"/>
      <c r="W22" s="216"/>
      <c r="X22" s="216"/>
      <c r="Y22" s="216"/>
      <c r="Z22" s="216"/>
      <c r="AA22" s="216"/>
      <c r="AB22" s="216"/>
    </row>
    <row r="23" spans="1:28" ht="24" customHeight="1">
      <c r="A23" s="352" t="s">
        <v>1261</v>
      </c>
      <c r="B23" s="352" t="s">
        <v>1266</v>
      </c>
      <c r="C23" s="352" t="s">
        <v>1267</v>
      </c>
      <c r="D23" s="352" t="s">
        <v>1226</v>
      </c>
      <c r="E23" s="352" t="s">
        <v>1261</v>
      </c>
      <c r="F23" s="353" t="s">
        <v>141</v>
      </c>
      <c r="G23" s="354" t="s">
        <v>1268</v>
      </c>
      <c r="H23" s="352" t="s">
        <v>1269</v>
      </c>
      <c r="I23" s="352"/>
      <c r="J23" s="352"/>
      <c r="K23" s="352">
        <v>400</v>
      </c>
      <c r="L23" s="355">
        <v>200</v>
      </c>
      <c r="M23" s="1" t="str">
        <f t="shared" si="1"/>
        <v>Neghină Cătălina</v>
      </c>
      <c r="N23" s="1"/>
      <c r="O23" s="216"/>
      <c r="P23" s="216"/>
      <c r="Q23" s="216"/>
      <c r="R23" s="216"/>
      <c r="S23" s="216"/>
      <c r="T23" s="216"/>
      <c r="U23" s="216"/>
      <c r="V23" s="216"/>
      <c r="W23" s="216"/>
      <c r="X23" s="216"/>
      <c r="Y23" s="216"/>
      <c r="Z23" s="216"/>
      <c r="AA23" s="216"/>
      <c r="AB23" s="216"/>
    </row>
    <row r="24" spans="1:28" ht="15.75" customHeight="1">
      <c r="A24" s="364" t="s">
        <v>1261</v>
      </c>
      <c r="B24" s="364" t="s">
        <v>1270</v>
      </c>
      <c r="C24" s="352" t="s">
        <v>1267</v>
      </c>
      <c r="D24" s="364" t="s">
        <v>1226</v>
      </c>
      <c r="E24" s="364" t="s">
        <v>1246</v>
      </c>
      <c r="F24" s="364" t="s">
        <v>141</v>
      </c>
      <c r="G24" s="364" t="s">
        <v>1271</v>
      </c>
      <c r="H24" s="352" t="s">
        <v>1269</v>
      </c>
      <c r="I24" s="364"/>
      <c r="J24" s="364"/>
      <c r="K24" s="364">
        <v>400</v>
      </c>
      <c r="L24" s="366">
        <v>66</v>
      </c>
      <c r="M24" s="1" t="str">
        <f t="shared" si="1"/>
        <v>Neghină Cătălina</v>
      </c>
      <c r="N24" s="1"/>
      <c r="O24" s="216"/>
      <c r="P24" s="216"/>
      <c r="Q24" s="216"/>
      <c r="R24" s="216"/>
      <c r="S24" s="216"/>
      <c r="T24" s="216"/>
      <c r="U24" s="216"/>
      <c r="V24" s="216"/>
      <c r="W24" s="216"/>
      <c r="X24" s="216"/>
      <c r="Y24" s="216"/>
      <c r="Z24" s="216"/>
      <c r="AA24" s="216"/>
      <c r="AB24" s="216"/>
    </row>
    <row r="25" spans="1:28" ht="15.75" customHeight="1">
      <c r="A25" s="352" t="s">
        <v>1272</v>
      </c>
      <c r="B25" s="352" t="s">
        <v>1244</v>
      </c>
      <c r="C25" s="352" t="s">
        <v>1245</v>
      </c>
      <c r="D25" s="352" t="s">
        <v>1226</v>
      </c>
      <c r="E25" s="352" t="s">
        <v>1246</v>
      </c>
      <c r="F25" s="353" t="s">
        <v>141</v>
      </c>
      <c r="G25" s="354" t="s">
        <v>1247</v>
      </c>
      <c r="H25" s="352">
        <v>2022</v>
      </c>
      <c r="I25" s="352"/>
      <c r="J25" s="352" t="s">
        <v>1248</v>
      </c>
      <c r="K25" s="352">
        <v>400</v>
      </c>
      <c r="L25" s="355">
        <v>66</v>
      </c>
      <c r="M25" s="1" t="s">
        <v>865</v>
      </c>
      <c r="N25" s="1"/>
      <c r="O25" s="216"/>
      <c r="P25" s="216"/>
      <c r="Q25" s="216"/>
      <c r="R25" s="216"/>
      <c r="S25" s="216"/>
      <c r="T25" s="216"/>
      <c r="U25" s="216"/>
      <c r="V25" s="216"/>
      <c r="W25" s="216"/>
      <c r="X25" s="216"/>
      <c r="Y25" s="216"/>
      <c r="Z25" s="216"/>
      <c r="AA25" s="216"/>
      <c r="AB25" s="216"/>
    </row>
    <row r="26" spans="1:28" ht="15.75" customHeight="1">
      <c r="A26" s="352" t="s">
        <v>1272</v>
      </c>
      <c r="B26" s="352" t="s">
        <v>1253</v>
      </c>
      <c r="C26" s="352" t="s">
        <v>1254</v>
      </c>
      <c r="D26" s="352" t="s">
        <v>1226</v>
      </c>
      <c r="E26" s="352" t="s">
        <v>829</v>
      </c>
      <c r="F26" s="353" t="s">
        <v>141</v>
      </c>
      <c r="G26" s="354" t="s">
        <v>1255</v>
      </c>
      <c r="H26" s="352">
        <v>2022</v>
      </c>
      <c r="I26" s="352"/>
      <c r="J26" s="352" t="s">
        <v>1256</v>
      </c>
      <c r="K26" s="352">
        <v>400</v>
      </c>
      <c r="L26" s="355">
        <v>133</v>
      </c>
      <c r="M26" s="1" t="s">
        <v>865</v>
      </c>
      <c r="N26" s="1"/>
      <c r="O26" s="216"/>
      <c r="P26" s="216"/>
      <c r="Q26" s="216"/>
      <c r="R26" s="216"/>
      <c r="S26" s="216"/>
      <c r="T26" s="216"/>
      <c r="U26" s="216"/>
      <c r="V26" s="216"/>
      <c r="W26" s="216"/>
      <c r="X26" s="216"/>
      <c r="Y26" s="216"/>
      <c r="Z26" s="216"/>
      <c r="AA26" s="216"/>
      <c r="AB26" s="216"/>
    </row>
    <row r="27" spans="1:28" ht="15.75" customHeight="1">
      <c r="A27" s="352" t="s">
        <v>1272</v>
      </c>
      <c r="B27" s="352" t="s">
        <v>1231</v>
      </c>
      <c r="C27" s="352" t="s">
        <v>1232</v>
      </c>
      <c r="D27" s="352" t="s">
        <v>1233</v>
      </c>
      <c r="E27" s="352" t="s">
        <v>1230</v>
      </c>
      <c r="F27" s="353" t="s">
        <v>51</v>
      </c>
      <c r="G27" s="354" t="s">
        <v>1234</v>
      </c>
      <c r="H27" s="352">
        <v>2022</v>
      </c>
      <c r="I27" s="352">
        <v>2022</v>
      </c>
      <c r="J27" s="352" t="s">
        <v>1235</v>
      </c>
      <c r="K27" s="352">
        <v>2000</v>
      </c>
      <c r="L27" s="355">
        <v>300</v>
      </c>
      <c r="M27" s="1" t="s">
        <v>865</v>
      </c>
      <c r="N27" s="1"/>
      <c r="O27" s="216"/>
      <c r="P27" s="216"/>
      <c r="Q27" s="216"/>
      <c r="R27" s="216"/>
      <c r="S27" s="216"/>
      <c r="T27" s="216"/>
      <c r="U27" s="216"/>
      <c r="V27" s="216"/>
      <c r="W27" s="216"/>
      <c r="X27" s="216"/>
      <c r="Y27" s="216"/>
      <c r="Z27" s="216"/>
      <c r="AA27" s="216"/>
      <c r="AB27" s="216"/>
    </row>
    <row r="28" spans="1:28" ht="15.75" customHeight="1">
      <c r="A28" s="352" t="s">
        <v>1273</v>
      </c>
      <c r="B28" s="352" t="s">
        <v>1253</v>
      </c>
      <c r="C28" s="352" t="s">
        <v>1254</v>
      </c>
      <c r="D28" s="352" t="s">
        <v>1226</v>
      </c>
      <c r="E28" s="352" t="s">
        <v>1274</v>
      </c>
      <c r="F28" s="353" t="s">
        <v>141</v>
      </c>
      <c r="G28" s="354" t="s">
        <v>1255</v>
      </c>
      <c r="H28" s="352">
        <v>2022</v>
      </c>
      <c r="I28" s="352"/>
      <c r="J28" s="352"/>
      <c r="K28" s="352">
        <v>400</v>
      </c>
      <c r="L28" s="355">
        <v>133</v>
      </c>
      <c r="M28" s="1" t="str">
        <f t="shared" ref="M28:M30" si="2">A28</f>
        <v>Mihai Neghina</v>
      </c>
      <c r="N28" s="1"/>
      <c r="O28" s="216"/>
      <c r="P28" s="216"/>
      <c r="Q28" s="216"/>
      <c r="R28" s="216"/>
      <c r="S28" s="216"/>
      <c r="T28" s="216"/>
      <c r="U28" s="216"/>
      <c r="V28" s="216"/>
      <c r="W28" s="216"/>
      <c r="X28" s="216"/>
      <c r="Y28" s="216"/>
      <c r="Z28" s="216"/>
      <c r="AA28" s="216"/>
      <c r="AB28" s="216"/>
    </row>
    <row r="29" spans="1:28" ht="15.75" customHeight="1">
      <c r="A29" s="352" t="s">
        <v>1273</v>
      </c>
      <c r="B29" s="352" t="s">
        <v>1244</v>
      </c>
      <c r="C29" s="352" t="s">
        <v>1275</v>
      </c>
      <c r="D29" s="352" t="s">
        <v>1226</v>
      </c>
      <c r="E29" s="352" t="s">
        <v>1273</v>
      </c>
      <c r="F29" s="353" t="s">
        <v>141</v>
      </c>
      <c r="G29" s="354" t="s">
        <v>1271</v>
      </c>
      <c r="H29" s="352" t="s">
        <v>1228</v>
      </c>
      <c r="I29" s="352"/>
      <c r="J29" s="352"/>
      <c r="K29" s="352">
        <v>400</v>
      </c>
      <c r="L29" s="355">
        <v>68</v>
      </c>
      <c r="M29" s="1" t="str">
        <f t="shared" si="2"/>
        <v>Mihai Neghina</v>
      </c>
      <c r="N29" s="1"/>
      <c r="O29" s="216"/>
      <c r="P29" s="216"/>
      <c r="Q29" s="216"/>
      <c r="R29" s="216"/>
      <c r="S29" s="216"/>
      <c r="T29" s="216"/>
      <c r="U29" s="216"/>
      <c r="V29" s="216"/>
      <c r="W29" s="216"/>
      <c r="X29" s="216"/>
      <c r="Y29" s="216"/>
      <c r="Z29" s="216"/>
      <c r="AA29" s="216"/>
      <c r="AB29" s="216"/>
    </row>
    <row r="30" spans="1:28" ht="15.75" customHeight="1">
      <c r="A30" s="364" t="s">
        <v>1273</v>
      </c>
      <c r="B30" s="364" t="s">
        <v>1266</v>
      </c>
      <c r="C30" s="364" t="s">
        <v>1276</v>
      </c>
      <c r="D30" s="364" t="s">
        <v>1226</v>
      </c>
      <c r="E30" s="364" t="s">
        <v>1277</v>
      </c>
      <c r="F30" s="364" t="s">
        <v>141</v>
      </c>
      <c r="G30" s="365" t="s">
        <v>1268</v>
      </c>
      <c r="H30" s="352" t="s">
        <v>1228</v>
      </c>
      <c r="I30" s="364"/>
      <c r="J30" s="364"/>
      <c r="K30" s="364">
        <v>400</v>
      </c>
      <c r="L30" s="366">
        <v>100</v>
      </c>
      <c r="M30" s="1" t="str">
        <f t="shared" si="2"/>
        <v>Mihai Neghina</v>
      </c>
      <c r="N30" s="1"/>
      <c r="O30" s="216"/>
      <c r="P30" s="216"/>
      <c r="Q30" s="216"/>
      <c r="R30" s="216"/>
      <c r="S30" s="216"/>
      <c r="T30" s="216"/>
      <c r="U30" s="216"/>
      <c r="V30" s="216"/>
      <c r="W30" s="216"/>
      <c r="X30" s="216"/>
      <c r="Y30" s="216"/>
      <c r="Z30" s="216"/>
      <c r="AA30" s="216"/>
      <c r="AB30" s="216"/>
    </row>
    <row r="31" spans="1:28" ht="15" customHeight="1">
      <c r="A31" s="369" t="s">
        <v>1278</v>
      </c>
      <c r="B31" s="369" t="s">
        <v>1279</v>
      </c>
      <c r="C31" s="369" t="s">
        <v>1280</v>
      </c>
      <c r="D31" s="369" t="s">
        <v>1226</v>
      </c>
      <c r="E31" s="369" t="s">
        <v>1281</v>
      </c>
      <c r="F31" s="370"/>
      <c r="G31" s="371" t="s">
        <v>1282</v>
      </c>
      <c r="H31" s="369">
        <v>2021</v>
      </c>
      <c r="I31" s="369"/>
      <c r="J31" s="369" t="s">
        <v>1283</v>
      </c>
      <c r="K31" s="369" t="s">
        <v>1284</v>
      </c>
      <c r="L31" s="372">
        <v>400</v>
      </c>
      <c r="M31" s="338" t="s">
        <v>134</v>
      </c>
      <c r="N31" s="216"/>
      <c r="O31" s="216"/>
      <c r="P31" s="216"/>
      <c r="Q31" s="216"/>
      <c r="R31" s="216"/>
      <c r="S31" s="216"/>
      <c r="T31" s="216"/>
      <c r="U31" s="216"/>
      <c r="V31" s="216"/>
      <c r="W31" s="216"/>
      <c r="X31" s="216"/>
      <c r="Y31" s="216"/>
      <c r="Z31" s="216"/>
      <c r="AA31" s="216"/>
      <c r="AB31" s="216"/>
    </row>
    <row r="32" spans="1:28" ht="15" customHeight="1">
      <c r="A32" s="352" t="s">
        <v>1278</v>
      </c>
      <c r="B32" s="352" t="s">
        <v>1285</v>
      </c>
      <c r="C32" s="352" t="s">
        <v>1286</v>
      </c>
      <c r="D32" s="352" t="s">
        <v>1226</v>
      </c>
      <c r="E32" s="352" t="s">
        <v>1281</v>
      </c>
      <c r="F32" s="216"/>
      <c r="G32" s="354" t="s">
        <v>1247</v>
      </c>
      <c r="H32" s="352">
        <v>2021</v>
      </c>
      <c r="I32" s="352"/>
      <c r="J32" s="352" t="s">
        <v>1287</v>
      </c>
      <c r="K32" s="352">
        <v>76.599999999999994</v>
      </c>
      <c r="L32" s="373">
        <v>400</v>
      </c>
      <c r="M32" s="338" t="s">
        <v>134</v>
      </c>
      <c r="N32" s="216"/>
      <c r="O32" s="216"/>
      <c r="P32" s="216"/>
      <c r="Q32" s="216"/>
      <c r="R32" s="216"/>
      <c r="S32" s="216"/>
      <c r="T32" s="216"/>
      <c r="U32" s="216"/>
      <c r="V32" s="216"/>
      <c r="W32" s="216"/>
      <c r="X32" s="216"/>
      <c r="Y32" s="216"/>
      <c r="Z32" s="216"/>
      <c r="AA32" s="216"/>
      <c r="AB32" s="216"/>
    </row>
    <row r="33" spans="1:28" ht="15" customHeight="1">
      <c r="A33" s="216"/>
      <c r="B33" s="216"/>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c r="AA33" s="216"/>
      <c r="AB33" s="216"/>
    </row>
    <row r="34" spans="1:28" ht="15.75" customHeight="1"/>
    <row r="35" spans="1:28" ht="15" customHeight="1">
      <c r="A35" s="332" t="s">
        <v>169</v>
      </c>
      <c r="L35" s="374">
        <f>SUM(L14:L32)</f>
        <v>5159.9799999999996</v>
      </c>
    </row>
    <row r="36" spans="1:28" ht="15.75" customHeight="1"/>
    <row r="37" spans="1:28" ht="15" customHeight="1">
      <c r="A37" s="1231" t="s">
        <v>1156</v>
      </c>
      <c r="B37" s="1232"/>
      <c r="C37" s="1232"/>
      <c r="D37" s="1232"/>
      <c r="E37" s="1232"/>
      <c r="F37" s="1232"/>
      <c r="G37" s="1232"/>
      <c r="H37" s="1233"/>
    </row>
    <row r="38" spans="1:28" ht="15.75" customHeight="1"/>
    <row r="39" spans="1:28" ht="15.75" customHeight="1"/>
    <row r="40" spans="1:28" ht="15.75" customHeight="1"/>
    <row r="41" spans="1:28" ht="15.75" customHeight="1"/>
    <row r="42" spans="1:28" ht="15.75" customHeight="1"/>
    <row r="43" spans="1:28" ht="15.75" customHeight="1"/>
    <row r="44" spans="1:28" ht="15.75" customHeight="1"/>
    <row r="45" spans="1:28" ht="15.75" customHeight="1"/>
    <row r="46" spans="1:28" ht="15.75" customHeight="1"/>
    <row r="47" spans="1:28" ht="15.75" customHeight="1"/>
    <row r="48" spans="1:2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37:H37"/>
    <mergeCell ref="A2:L2"/>
    <mergeCell ref="A4:L4"/>
    <mergeCell ref="A5:L5"/>
    <mergeCell ref="A6:L6"/>
    <mergeCell ref="A7:L7"/>
    <mergeCell ref="A8:L8"/>
    <mergeCell ref="A9:L9"/>
  </mergeCells>
  <hyperlinks>
    <hyperlink ref="G14" r:id="rId1" xr:uid="{00000000-0004-0000-0300-000000000000}"/>
    <hyperlink ref="G15" r:id="rId2" xr:uid="{00000000-0004-0000-0300-000001000000}"/>
    <hyperlink ref="G18" r:id="rId3" xr:uid="{00000000-0004-0000-0300-000002000000}"/>
    <hyperlink ref="G19" r:id="rId4" xr:uid="{00000000-0004-0000-0300-000003000000}"/>
    <hyperlink ref="G20" r:id="rId5" xr:uid="{00000000-0004-0000-0300-000004000000}"/>
    <hyperlink ref="G21" r:id="rId6" xr:uid="{00000000-0004-0000-0300-000005000000}"/>
    <hyperlink ref="G22" r:id="rId7" xr:uid="{00000000-0004-0000-0300-000006000000}"/>
    <hyperlink ref="G25" r:id="rId8" xr:uid="{00000000-0004-0000-0300-000007000000}"/>
    <hyperlink ref="G26" r:id="rId9" xr:uid="{00000000-0004-0000-0300-000008000000}"/>
    <hyperlink ref="G27" r:id="rId10" xr:uid="{00000000-0004-0000-0300-000009000000}"/>
    <hyperlink ref="G28" r:id="rId11" xr:uid="{00000000-0004-0000-0300-00000A000000}"/>
    <hyperlink ref="G29" r:id="rId12" xr:uid="{00000000-0004-0000-0300-00000B000000}"/>
    <hyperlink ref="G30" r:id="rId13" xr:uid="{00000000-0004-0000-0300-00000C000000}"/>
    <hyperlink ref="G31" r:id="rId14" xr:uid="{00000000-0004-0000-0300-00000D000000}"/>
    <hyperlink ref="G32" r:id="rId15" xr:uid="{00000000-0004-0000-0300-00000E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X1344"/>
  <sheetViews>
    <sheetView workbookViewId="0"/>
  </sheetViews>
  <sheetFormatPr defaultColWidth="14.3984375" defaultRowHeight="15" customHeight="1"/>
  <cols>
    <col min="1" max="1" width="24.86328125" customWidth="1"/>
    <col min="2" max="2" width="15.3984375" customWidth="1"/>
    <col min="3" max="3" width="8.265625" customWidth="1"/>
    <col min="4" max="4" width="17.3984375" customWidth="1"/>
    <col min="5" max="5" width="12" customWidth="1"/>
    <col min="6" max="6" width="20.3984375" customWidth="1"/>
    <col min="7" max="7" width="13.73046875" customWidth="1"/>
    <col min="8" max="9" width="7.86328125" customWidth="1"/>
    <col min="10" max="10" width="8.86328125" customWidth="1"/>
    <col min="11" max="11" width="9.1328125" customWidth="1"/>
    <col min="12" max="12" width="8.86328125" customWidth="1"/>
    <col min="13" max="24" width="8" customWidth="1"/>
  </cols>
  <sheetData>
    <row r="1" spans="1:24" ht="14.25">
      <c r="A1" s="64"/>
      <c r="B1" s="65"/>
      <c r="C1" s="1"/>
      <c r="D1" s="1"/>
      <c r="E1" s="1"/>
      <c r="F1" s="1"/>
      <c r="G1" s="1"/>
      <c r="H1" s="1"/>
      <c r="I1" s="1"/>
      <c r="J1" s="1"/>
      <c r="K1" s="1"/>
    </row>
    <row r="2" spans="1:24" ht="15.75" customHeight="1">
      <c r="A2" s="1234" t="s">
        <v>1288</v>
      </c>
      <c r="B2" s="1227"/>
      <c r="C2" s="1227"/>
      <c r="D2" s="1227"/>
      <c r="E2" s="1227"/>
      <c r="F2" s="1227"/>
      <c r="G2" s="1227"/>
      <c r="H2" s="1227"/>
      <c r="I2" s="1227"/>
      <c r="J2" s="1227"/>
      <c r="K2" s="1228"/>
      <c r="L2" s="69"/>
      <c r="M2" s="69"/>
      <c r="N2" s="69"/>
      <c r="O2" s="69"/>
      <c r="P2" s="69"/>
      <c r="Q2" s="69"/>
      <c r="R2" s="69"/>
      <c r="S2" s="69"/>
      <c r="T2" s="69"/>
      <c r="U2" s="69"/>
      <c r="V2" s="69"/>
      <c r="W2" s="69"/>
      <c r="X2" s="69"/>
    </row>
    <row r="3" spans="1:24" ht="15.75" customHeight="1">
      <c r="A3" s="375"/>
      <c r="B3" s="375"/>
      <c r="C3" s="375"/>
      <c r="D3" s="375"/>
      <c r="E3" s="375"/>
      <c r="F3" s="375"/>
      <c r="G3" s="375"/>
      <c r="H3" s="375"/>
      <c r="I3" s="375"/>
      <c r="J3" s="375"/>
      <c r="K3" s="375"/>
      <c r="L3" s="69"/>
      <c r="M3" s="69"/>
      <c r="N3" s="69"/>
      <c r="O3" s="69"/>
      <c r="P3" s="69"/>
      <c r="Q3" s="69"/>
      <c r="R3" s="69"/>
      <c r="S3" s="69"/>
      <c r="T3" s="69"/>
      <c r="U3" s="69"/>
      <c r="V3" s="69"/>
      <c r="W3" s="69"/>
      <c r="X3" s="69"/>
    </row>
    <row r="4" spans="1:24" ht="28.5" customHeight="1">
      <c r="A4" s="1229" t="s">
        <v>1289</v>
      </c>
      <c r="B4" s="1227"/>
      <c r="C4" s="1227"/>
      <c r="D4" s="1227"/>
      <c r="E4" s="1227"/>
      <c r="F4" s="1227"/>
      <c r="G4" s="1227"/>
      <c r="H4" s="1227"/>
      <c r="I4" s="1227"/>
      <c r="J4" s="1227"/>
      <c r="K4" s="1228"/>
      <c r="L4" s="69"/>
      <c r="M4" s="69"/>
      <c r="N4" s="69"/>
      <c r="O4" s="69"/>
      <c r="P4" s="69"/>
      <c r="Q4" s="69"/>
      <c r="R4" s="69"/>
      <c r="S4" s="69"/>
      <c r="T4" s="69"/>
      <c r="U4" s="69"/>
      <c r="V4" s="69"/>
      <c r="W4" s="69"/>
      <c r="X4" s="69"/>
    </row>
    <row r="5" spans="1:24" ht="23.25" customHeight="1">
      <c r="A5" s="1226" t="s">
        <v>1290</v>
      </c>
      <c r="B5" s="1227"/>
      <c r="C5" s="1227"/>
      <c r="D5" s="1227"/>
      <c r="E5" s="1227"/>
      <c r="F5" s="1227"/>
      <c r="G5" s="1227"/>
      <c r="H5" s="1227"/>
      <c r="I5" s="1227"/>
      <c r="J5" s="1227"/>
      <c r="K5" s="1228"/>
      <c r="L5" s="69"/>
      <c r="M5" s="69"/>
      <c r="N5" s="69"/>
      <c r="O5" s="69"/>
      <c r="P5" s="69"/>
      <c r="Q5" s="69"/>
      <c r="R5" s="69"/>
      <c r="S5" s="69"/>
      <c r="T5" s="69"/>
      <c r="U5" s="69"/>
      <c r="V5" s="69"/>
      <c r="W5" s="69"/>
      <c r="X5" s="69"/>
    </row>
    <row r="6" spans="1:24" ht="14.25">
      <c r="A6" s="1226" t="s">
        <v>1291</v>
      </c>
      <c r="B6" s="1227"/>
      <c r="C6" s="1227"/>
      <c r="D6" s="1227"/>
      <c r="E6" s="1227"/>
      <c r="F6" s="1227"/>
      <c r="G6" s="1227"/>
      <c r="H6" s="1227"/>
      <c r="I6" s="1227"/>
      <c r="J6" s="1227"/>
      <c r="K6" s="1228"/>
      <c r="L6" s="69"/>
      <c r="M6" s="69"/>
      <c r="N6" s="69"/>
      <c r="O6" s="69"/>
      <c r="P6" s="69"/>
      <c r="Q6" s="69"/>
      <c r="R6" s="69"/>
      <c r="S6" s="69"/>
      <c r="T6" s="69"/>
      <c r="U6" s="69"/>
      <c r="V6" s="69"/>
      <c r="W6" s="69"/>
      <c r="X6" s="69"/>
    </row>
    <row r="7" spans="1:24" ht="14.25">
      <c r="A7" s="1226" t="s">
        <v>1292</v>
      </c>
      <c r="B7" s="1227"/>
      <c r="C7" s="1227"/>
      <c r="D7" s="1227"/>
      <c r="E7" s="1227"/>
      <c r="F7" s="1227"/>
      <c r="G7" s="1227"/>
      <c r="H7" s="1227"/>
      <c r="I7" s="1227"/>
      <c r="J7" s="1227"/>
      <c r="K7" s="1228"/>
      <c r="L7" s="69"/>
      <c r="M7" s="69"/>
      <c r="N7" s="69"/>
      <c r="O7" s="69"/>
      <c r="P7" s="69"/>
      <c r="Q7" s="69"/>
      <c r="R7" s="69"/>
      <c r="S7" s="69"/>
      <c r="T7" s="69"/>
      <c r="U7" s="69"/>
      <c r="V7" s="69"/>
      <c r="W7" s="69"/>
      <c r="X7" s="69"/>
    </row>
    <row r="8" spans="1:24" ht="14.25">
      <c r="A8" s="1226" t="s">
        <v>1293</v>
      </c>
      <c r="B8" s="1227"/>
      <c r="C8" s="1227"/>
      <c r="D8" s="1227"/>
      <c r="E8" s="1227"/>
      <c r="F8" s="1227"/>
      <c r="G8" s="1227"/>
      <c r="H8" s="1227"/>
      <c r="I8" s="1227"/>
      <c r="J8" s="1227"/>
      <c r="K8" s="1228"/>
      <c r="L8" s="69"/>
      <c r="M8" s="69"/>
      <c r="N8" s="69"/>
      <c r="O8" s="69"/>
      <c r="P8" s="69"/>
      <c r="Q8" s="69"/>
      <c r="R8" s="69"/>
      <c r="S8" s="69"/>
      <c r="T8" s="69"/>
      <c r="U8" s="69"/>
      <c r="V8" s="69"/>
      <c r="W8" s="69"/>
      <c r="X8" s="69"/>
    </row>
    <row r="9" spans="1:24" ht="14.25">
      <c r="A9" s="1238" t="s">
        <v>1294</v>
      </c>
      <c r="B9" s="1227"/>
      <c r="C9" s="1227"/>
      <c r="D9" s="1227"/>
      <c r="E9" s="1227"/>
      <c r="F9" s="1227"/>
      <c r="G9" s="1227"/>
      <c r="H9" s="1227"/>
      <c r="I9" s="1227"/>
      <c r="J9" s="1227"/>
      <c r="K9" s="1228"/>
      <c r="L9" s="69"/>
      <c r="M9" s="69"/>
      <c r="N9" s="69"/>
      <c r="O9" s="69"/>
      <c r="P9" s="69"/>
      <c r="Q9" s="69"/>
      <c r="R9" s="69"/>
      <c r="S9" s="69"/>
      <c r="T9" s="69"/>
      <c r="U9" s="69"/>
      <c r="V9" s="69"/>
      <c r="W9" s="69"/>
      <c r="X9" s="69"/>
    </row>
    <row r="10" spans="1:24" ht="27" customHeight="1">
      <c r="A10" s="1226" t="s">
        <v>1295</v>
      </c>
      <c r="B10" s="1227"/>
      <c r="C10" s="1227"/>
      <c r="D10" s="1227"/>
      <c r="E10" s="1227"/>
      <c r="F10" s="1227"/>
      <c r="G10" s="1227"/>
      <c r="H10" s="1227"/>
      <c r="I10" s="1227"/>
      <c r="J10" s="1227"/>
      <c r="K10" s="1228"/>
      <c r="L10" s="69"/>
      <c r="M10" s="69"/>
      <c r="N10" s="69"/>
      <c r="O10" s="69"/>
      <c r="P10" s="69"/>
      <c r="Q10" s="69"/>
      <c r="R10" s="69"/>
      <c r="S10" s="69"/>
      <c r="T10" s="69"/>
      <c r="U10" s="69"/>
      <c r="V10" s="69"/>
      <c r="W10" s="69"/>
      <c r="X10" s="69"/>
    </row>
    <row r="11" spans="1:24" ht="14.25">
      <c r="A11" s="1226" t="s">
        <v>1296</v>
      </c>
      <c r="B11" s="1227"/>
      <c r="C11" s="1227"/>
      <c r="D11" s="1227"/>
      <c r="E11" s="1227"/>
      <c r="F11" s="1227"/>
      <c r="G11" s="1227"/>
      <c r="H11" s="1227"/>
      <c r="I11" s="1227"/>
      <c r="J11" s="1227"/>
      <c r="K11" s="1228"/>
      <c r="L11" s="69"/>
      <c r="M11" s="69"/>
      <c r="N11" s="69"/>
      <c r="O11" s="69"/>
      <c r="P11" s="69"/>
      <c r="Q11" s="69"/>
      <c r="R11" s="69"/>
      <c r="S11" s="69"/>
      <c r="T11" s="69"/>
      <c r="U11" s="69"/>
      <c r="V11" s="69"/>
      <c r="W11" s="69"/>
      <c r="X11" s="69"/>
    </row>
    <row r="12" spans="1:24" ht="14.25">
      <c r="A12" s="1226" t="s">
        <v>1297</v>
      </c>
      <c r="B12" s="1227"/>
      <c r="C12" s="1227"/>
      <c r="D12" s="1227"/>
      <c r="E12" s="1227"/>
      <c r="F12" s="1227"/>
      <c r="G12" s="1227"/>
      <c r="H12" s="1227"/>
      <c r="I12" s="1227"/>
      <c r="J12" s="1227"/>
      <c r="K12" s="1228"/>
      <c r="L12" s="69"/>
      <c r="M12" s="69"/>
      <c r="N12" s="69"/>
      <c r="O12" s="69"/>
      <c r="P12" s="69"/>
      <c r="Q12" s="69"/>
      <c r="R12" s="69"/>
      <c r="S12" s="69"/>
      <c r="T12" s="69"/>
      <c r="U12" s="69"/>
      <c r="V12" s="69"/>
      <c r="W12" s="69"/>
      <c r="X12" s="69"/>
    </row>
    <row r="13" spans="1:24" ht="30" customHeight="1">
      <c r="A13" s="1229" t="s">
        <v>1298</v>
      </c>
      <c r="B13" s="1227"/>
      <c r="C13" s="1227"/>
      <c r="D13" s="1227"/>
      <c r="E13" s="1227"/>
      <c r="F13" s="1227"/>
      <c r="G13" s="1227"/>
      <c r="H13" s="1227"/>
      <c r="I13" s="1227"/>
      <c r="J13" s="1227"/>
      <c r="K13" s="1228"/>
      <c r="L13" s="69"/>
      <c r="M13" s="69"/>
      <c r="N13" s="69"/>
      <c r="O13" s="69"/>
      <c r="P13" s="69"/>
      <c r="Q13" s="69"/>
      <c r="R13" s="69"/>
      <c r="S13" s="69"/>
      <c r="T13" s="69"/>
      <c r="U13" s="69"/>
      <c r="V13" s="69"/>
      <c r="W13" s="69"/>
      <c r="X13" s="69"/>
    </row>
    <row r="14" spans="1:24" ht="14.25">
      <c r="A14" s="64"/>
      <c r="B14" s="65"/>
      <c r="C14" s="1"/>
      <c r="D14" s="1"/>
      <c r="E14" s="1"/>
      <c r="F14" s="1"/>
      <c r="G14" s="1"/>
      <c r="H14" s="1"/>
      <c r="I14" s="1"/>
      <c r="J14" s="1"/>
      <c r="K14" s="1"/>
    </row>
    <row r="15" spans="1:24" ht="63.75" customHeight="1">
      <c r="A15" s="350" t="s">
        <v>1299</v>
      </c>
      <c r="B15" s="83" t="s">
        <v>1300</v>
      </c>
      <c r="C15" s="83" t="s">
        <v>7</v>
      </c>
      <c r="D15" s="376" t="s">
        <v>1301</v>
      </c>
      <c r="E15" s="377" t="s">
        <v>1302</v>
      </c>
      <c r="F15" s="376" t="s">
        <v>1303</v>
      </c>
      <c r="G15" s="82" t="s">
        <v>1304</v>
      </c>
      <c r="H15" s="82" t="s">
        <v>204</v>
      </c>
      <c r="I15" s="82" t="s">
        <v>205</v>
      </c>
      <c r="J15" s="81" t="s">
        <v>206</v>
      </c>
      <c r="K15" s="350" t="s">
        <v>210</v>
      </c>
      <c r="L15" s="336" t="s">
        <v>211</v>
      </c>
    </row>
    <row r="16" spans="1:24" ht="15" customHeight="1">
      <c r="A16" s="134" t="s">
        <v>1305</v>
      </c>
      <c r="B16" s="91" t="s">
        <v>1306</v>
      </c>
      <c r="C16" s="133" t="s">
        <v>51</v>
      </c>
      <c r="D16" s="134" t="s">
        <v>1307</v>
      </c>
      <c r="E16" s="378" t="s">
        <v>1308</v>
      </c>
      <c r="F16" s="134" t="s">
        <v>1309</v>
      </c>
      <c r="G16" s="379">
        <v>2</v>
      </c>
      <c r="H16" s="379">
        <v>2</v>
      </c>
      <c r="I16" s="379">
        <v>2</v>
      </c>
      <c r="J16" s="272">
        <v>50</v>
      </c>
      <c r="K16" s="134">
        <v>25</v>
      </c>
      <c r="L16" s="338" t="s">
        <v>221</v>
      </c>
    </row>
    <row r="17" spans="1:12" ht="15" customHeight="1">
      <c r="A17" s="134" t="s">
        <v>1310</v>
      </c>
      <c r="B17" s="91" t="s">
        <v>1311</v>
      </c>
      <c r="C17" s="133" t="s">
        <v>51</v>
      </c>
      <c r="D17" s="134" t="s">
        <v>1312</v>
      </c>
      <c r="E17" s="378" t="s">
        <v>1313</v>
      </c>
      <c r="F17" s="380" t="s">
        <v>1314</v>
      </c>
      <c r="G17" s="379">
        <v>2</v>
      </c>
      <c r="H17" s="379">
        <v>2</v>
      </c>
      <c r="I17" s="379">
        <v>4</v>
      </c>
      <c r="J17" s="119">
        <v>50</v>
      </c>
      <c r="K17" s="381">
        <v>25</v>
      </c>
      <c r="L17" s="338" t="s">
        <v>1315</v>
      </c>
    </row>
    <row r="18" spans="1:12" ht="15" customHeight="1">
      <c r="A18" s="134" t="s">
        <v>1310</v>
      </c>
      <c r="B18" s="256" t="s">
        <v>1311</v>
      </c>
      <c r="C18" s="133" t="s">
        <v>51</v>
      </c>
      <c r="D18" s="134" t="s">
        <v>1316</v>
      </c>
      <c r="E18" s="382" t="s">
        <v>1317</v>
      </c>
      <c r="F18" s="99" t="s">
        <v>1318</v>
      </c>
      <c r="G18" s="379">
        <v>2</v>
      </c>
      <c r="H18" s="379">
        <v>2</v>
      </c>
      <c r="I18" s="379">
        <v>4</v>
      </c>
      <c r="J18" s="383">
        <v>50</v>
      </c>
      <c r="K18" s="381">
        <v>25</v>
      </c>
      <c r="L18" s="338" t="s">
        <v>1315</v>
      </c>
    </row>
    <row r="19" spans="1:12" ht="15" customHeight="1">
      <c r="A19" s="134" t="s">
        <v>1310</v>
      </c>
      <c r="B19" s="91" t="s">
        <v>1311</v>
      </c>
      <c r="C19" s="133" t="s">
        <v>51</v>
      </c>
      <c r="D19" s="134" t="s">
        <v>1319</v>
      </c>
      <c r="E19" s="382" t="s">
        <v>1320</v>
      </c>
      <c r="F19" s="380" t="s">
        <v>1321</v>
      </c>
      <c r="G19" s="379">
        <v>2</v>
      </c>
      <c r="H19" s="379">
        <v>2</v>
      </c>
      <c r="I19" s="379">
        <v>4</v>
      </c>
      <c r="J19" s="383">
        <v>50</v>
      </c>
      <c r="K19" s="381">
        <v>25</v>
      </c>
      <c r="L19" s="338" t="s">
        <v>1315</v>
      </c>
    </row>
    <row r="20" spans="1:12" ht="15" customHeight="1">
      <c r="A20" s="134" t="s">
        <v>1322</v>
      </c>
      <c r="B20" s="134" t="s">
        <v>1323</v>
      </c>
      <c r="C20" s="133" t="s">
        <v>105</v>
      </c>
      <c r="D20" s="134" t="s">
        <v>1324</v>
      </c>
      <c r="E20" s="134" t="s">
        <v>1325</v>
      </c>
      <c r="F20" s="384" t="s">
        <v>1326</v>
      </c>
      <c r="G20" s="134">
        <v>1</v>
      </c>
      <c r="H20" s="134">
        <v>1</v>
      </c>
      <c r="I20" s="134">
        <v>5</v>
      </c>
      <c r="J20" s="134">
        <v>50</v>
      </c>
      <c r="K20" s="134">
        <v>50</v>
      </c>
      <c r="L20" s="338" t="s">
        <v>1315</v>
      </c>
    </row>
    <row r="21" spans="1:12" ht="15" customHeight="1">
      <c r="A21" s="134" t="s">
        <v>1327</v>
      </c>
      <c r="B21" s="134" t="s">
        <v>1328</v>
      </c>
      <c r="C21" s="133" t="s">
        <v>51</v>
      </c>
      <c r="D21" s="134" t="s">
        <v>1329</v>
      </c>
      <c r="E21" s="382" t="s">
        <v>1330</v>
      </c>
      <c r="F21" s="134" t="s">
        <v>635</v>
      </c>
      <c r="G21" s="99">
        <v>3</v>
      </c>
      <c r="H21" s="99">
        <v>3</v>
      </c>
      <c r="I21" s="99">
        <v>4</v>
      </c>
      <c r="J21" s="385">
        <v>50</v>
      </c>
      <c r="K21" s="114">
        <f t="shared" ref="K21:K22" si="0">J21/H21</f>
        <v>16.666666666666668</v>
      </c>
      <c r="L21" s="338" t="s">
        <v>1331</v>
      </c>
    </row>
    <row r="22" spans="1:12" ht="15" customHeight="1">
      <c r="A22" s="134" t="s">
        <v>1327</v>
      </c>
      <c r="B22" s="134" t="s">
        <v>1328</v>
      </c>
      <c r="C22" s="133" t="s">
        <v>51</v>
      </c>
      <c r="D22" s="134" t="s">
        <v>1332</v>
      </c>
      <c r="E22" s="382" t="s">
        <v>1333</v>
      </c>
      <c r="F22" s="134" t="s">
        <v>635</v>
      </c>
      <c r="G22" s="99">
        <v>3</v>
      </c>
      <c r="H22" s="99">
        <v>3</v>
      </c>
      <c r="I22" s="99">
        <v>4</v>
      </c>
      <c r="J22" s="385">
        <v>50</v>
      </c>
      <c r="K22" s="114">
        <f t="shared" si="0"/>
        <v>16.666666666666668</v>
      </c>
      <c r="L22" s="338" t="s">
        <v>1331</v>
      </c>
    </row>
    <row r="23" spans="1:12" ht="15" customHeight="1">
      <c r="A23" s="386" t="s">
        <v>1334</v>
      </c>
      <c r="B23" s="386" t="s">
        <v>1335</v>
      </c>
      <c r="C23" s="387" t="s">
        <v>51</v>
      </c>
      <c r="D23" s="379" t="s">
        <v>1336</v>
      </c>
      <c r="E23" s="379" t="s">
        <v>1337</v>
      </c>
      <c r="F23" s="134" t="s">
        <v>1338</v>
      </c>
      <c r="G23" s="379">
        <v>2</v>
      </c>
      <c r="H23" s="379">
        <v>2</v>
      </c>
      <c r="I23" s="379">
        <v>2</v>
      </c>
      <c r="J23" s="119">
        <v>50</v>
      </c>
      <c r="K23" s="134">
        <v>25</v>
      </c>
      <c r="L23" s="338" t="s">
        <v>1339</v>
      </c>
    </row>
    <row r="24" spans="1:12" ht="15" customHeight="1">
      <c r="A24" s="386" t="s">
        <v>1334</v>
      </c>
      <c r="B24" s="386" t="s">
        <v>1335</v>
      </c>
      <c r="C24" s="387" t="s">
        <v>51</v>
      </c>
      <c r="D24" s="386" t="s">
        <v>1340</v>
      </c>
      <c r="E24" s="119" t="s">
        <v>1341</v>
      </c>
      <c r="F24" s="134" t="s">
        <v>1338</v>
      </c>
      <c r="G24" s="379">
        <v>2</v>
      </c>
      <c r="H24" s="379">
        <v>2</v>
      </c>
      <c r="I24" s="379">
        <v>2</v>
      </c>
      <c r="J24" s="119">
        <v>50</v>
      </c>
      <c r="K24" s="134">
        <v>25</v>
      </c>
      <c r="L24" s="338" t="s">
        <v>1339</v>
      </c>
    </row>
    <row r="25" spans="1:12" ht="15" customHeight="1">
      <c r="A25" s="386" t="s">
        <v>1334</v>
      </c>
      <c r="B25" s="386" t="s">
        <v>1335</v>
      </c>
      <c r="C25" s="387" t="s">
        <v>51</v>
      </c>
      <c r="D25" s="386" t="s">
        <v>1342</v>
      </c>
      <c r="E25" s="119" t="s">
        <v>1343</v>
      </c>
      <c r="F25" s="134" t="s">
        <v>1338</v>
      </c>
      <c r="G25" s="379">
        <v>2</v>
      </c>
      <c r="H25" s="379">
        <v>2</v>
      </c>
      <c r="I25" s="379">
        <v>2</v>
      </c>
      <c r="J25" s="119">
        <v>50</v>
      </c>
      <c r="K25" s="134">
        <v>25</v>
      </c>
      <c r="L25" s="338" t="s">
        <v>1339</v>
      </c>
    </row>
    <row r="26" spans="1:12" ht="15" customHeight="1">
      <c r="A26" s="386" t="s">
        <v>1334</v>
      </c>
      <c r="B26" s="386" t="s">
        <v>1335</v>
      </c>
      <c r="C26" s="387" t="s">
        <v>51</v>
      </c>
      <c r="D26" s="379" t="s">
        <v>1344</v>
      </c>
      <c r="E26" s="119" t="s">
        <v>1345</v>
      </c>
      <c r="F26" s="134" t="s">
        <v>1338</v>
      </c>
      <c r="G26" s="379">
        <v>2</v>
      </c>
      <c r="H26" s="379">
        <v>2</v>
      </c>
      <c r="I26" s="379">
        <v>2</v>
      </c>
      <c r="J26" s="119">
        <v>50</v>
      </c>
      <c r="K26" s="134">
        <v>25</v>
      </c>
      <c r="L26" s="338" t="s">
        <v>1339</v>
      </c>
    </row>
    <row r="27" spans="1:12" ht="15" customHeight="1">
      <c r="A27" s="386" t="s">
        <v>1334</v>
      </c>
      <c r="B27" s="386" t="s">
        <v>1335</v>
      </c>
      <c r="C27" s="387" t="s">
        <v>51</v>
      </c>
      <c r="D27" s="379" t="s">
        <v>1346</v>
      </c>
      <c r="E27" s="119" t="s">
        <v>1347</v>
      </c>
      <c r="F27" s="134" t="s">
        <v>1338</v>
      </c>
      <c r="G27" s="379">
        <v>2</v>
      </c>
      <c r="H27" s="379">
        <v>2</v>
      </c>
      <c r="I27" s="379">
        <v>2</v>
      </c>
      <c r="J27" s="119">
        <v>50</v>
      </c>
      <c r="K27" s="134">
        <v>25</v>
      </c>
      <c r="L27" s="338" t="s">
        <v>1339</v>
      </c>
    </row>
    <row r="28" spans="1:12" ht="15" customHeight="1">
      <c r="A28" s="386" t="s">
        <v>1334</v>
      </c>
      <c r="B28" s="386" t="s">
        <v>1348</v>
      </c>
      <c r="C28" s="387" t="s">
        <v>51</v>
      </c>
      <c r="D28" s="379" t="s">
        <v>1336</v>
      </c>
      <c r="E28" s="379" t="s">
        <v>1337</v>
      </c>
      <c r="F28" s="134" t="s">
        <v>1338</v>
      </c>
      <c r="G28" s="379">
        <v>2</v>
      </c>
      <c r="H28" s="379">
        <v>2</v>
      </c>
      <c r="I28" s="379">
        <v>2</v>
      </c>
      <c r="J28" s="119">
        <v>50</v>
      </c>
      <c r="K28" s="134">
        <v>25</v>
      </c>
      <c r="L28" s="338" t="s">
        <v>1339</v>
      </c>
    </row>
    <row r="29" spans="1:12" ht="15" customHeight="1">
      <c r="A29" s="386" t="s">
        <v>1334</v>
      </c>
      <c r="B29" s="386" t="s">
        <v>1348</v>
      </c>
      <c r="C29" s="387" t="s">
        <v>51</v>
      </c>
      <c r="D29" s="379" t="s">
        <v>1344</v>
      </c>
      <c r="E29" s="119" t="s">
        <v>1345</v>
      </c>
      <c r="F29" s="134" t="s">
        <v>1338</v>
      </c>
      <c r="G29" s="379">
        <v>2</v>
      </c>
      <c r="H29" s="379">
        <v>2</v>
      </c>
      <c r="I29" s="379">
        <v>2</v>
      </c>
      <c r="J29" s="119">
        <v>50</v>
      </c>
      <c r="K29" s="134">
        <v>25</v>
      </c>
      <c r="L29" s="338" t="s">
        <v>1339</v>
      </c>
    </row>
    <row r="30" spans="1:12" ht="15" customHeight="1">
      <c r="A30" s="386" t="s">
        <v>1349</v>
      </c>
      <c r="B30" s="388" t="s">
        <v>1350</v>
      </c>
      <c r="C30" s="387" t="s">
        <v>51</v>
      </c>
      <c r="D30" s="379" t="s">
        <v>1336</v>
      </c>
      <c r="E30" s="379" t="s">
        <v>1337</v>
      </c>
      <c r="F30" s="134" t="s">
        <v>1338</v>
      </c>
      <c r="G30" s="379">
        <v>2</v>
      </c>
      <c r="H30" s="379">
        <v>2</v>
      </c>
      <c r="I30" s="379">
        <v>2</v>
      </c>
      <c r="J30" s="119">
        <v>50</v>
      </c>
      <c r="K30" s="134">
        <v>25</v>
      </c>
      <c r="L30" s="338" t="s">
        <v>1339</v>
      </c>
    </row>
    <row r="31" spans="1:12" ht="15" customHeight="1">
      <c r="A31" s="386" t="s">
        <v>1349</v>
      </c>
      <c r="B31" s="389" t="s">
        <v>1351</v>
      </c>
      <c r="C31" s="387" t="s">
        <v>51</v>
      </c>
      <c r="D31" s="379" t="s">
        <v>1346</v>
      </c>
      <c r="E31" s="119" t="s">
        <v>1347</v>
      </c>
      <c r="F31" s="134" t="s">
        <v>1338</v>
      </c>
      <c r="G31" s="379">
        <v>2</v>
      </c>
      <c r="H31" s="379">
        <v>2</v>
      </c>
      <c r="I31" s="379">
        <v>2</v>
      </c>
      <c r="J31" s="119">
        <v>50</v>
      </c>
      <c r="K31" s="134">
        <v>25</v>
      </c>
      <c r="L31" s="338" t="s">
        <v>1339</v>
      </c>
    </row>
    <row r="32" spans="1:12" ht="15" customHeight="1">
      <c r="A32" s="386" t="s">
        <v>1349</v>
      </c>
      <c r="B32" s="386" t="s">
        <v>1352</v>
      </c>
      <c r="C32" s="387" t="s">
        <v>51</v>
      </c>
      <c r="D32" s="379" t="s">
        <v>1353</v>
      </c>
      <c r="E32" s="119" t="s">
        <v>1347</v>
      </c>
      <c r="F32" s="134" t="s">
        <v>1338</v>
      </c>
      <c r="G32" s="379">
        <v>2</v>
      </c>
      <c r="H32" s="379">
        <v>2</v>
      </c>
      <c r="I32" s="379">
        <v>2</v>
      </c>
      <c r="J32" s="119">
        <v>50</v>
      </c>
      <c r="K32" s="134">
        <v>25</v>
      </c>
      <c r="L32" s="338" t="s">
        <v>1339</v>
      </c>
    </row>
    <row r="33" spans="1:12" ht="15" customHeight="1">
      <c r="A33" s="134" t="s">
        <v>1354</v>
      </c>
      <c r="B33" s="91" t="s">
        <v>1355</v>
      </c>
      <c r="C33" s="133" t="s">
        <v>51</v>
      </c>
      <c r="D33" s="133" t="s">
        <v>1356</v>
      </c>
      <c r="E33" s="130" t="s">
        <v>1357</v>
      </c>
      <c r="F33" s="134" t="s">
        <v>1358</v>
      </c>
      <c r="G33" s="379">
        <v>1</v>
      </c>
      <c r="H33" s="379">
        <v>1</v>
      </c>
      <c r="I33" s="379">
        <v>1</v>
      </c>
      <c r="J33" s="272">
        <v>50</v>
      </c>
      <c r="K33" s="134">
        <v>50</v>
      </c>
      <c r="L33" s="338" t="s">
        <v>1359</v>
      </c>
    </row>
    <row r="34" spans="1:12" ht="15" customHeight="1">
      <c r="A34" s="379" t="s">
        <v>1360</v>
      </c>
      <c r="B34" s="390" t="s">
        <v>1361</v>
      </c>
      <c r="C34" s="121" t="s">
        <v>51</v>
      </c>
      <c r="D34" s="379" t="s">
        <v>1362</v>
      </c>
      <c r="E34" s="391" t="s">
        <v>1363</v>
      </c>
      <c r="F34" s="119" t="s">
        <v>1338</v>
      </c>
      <c r="G34" s="119">
        <v>2</v>
      </c>
      <c r="H34" s="119">
        <v>1</v>
      </c>
      <c r="I34" s="119">
        <v>6</v>
      </c>
      <c r="J34" s="119">
        <v>50</v>
      </c>
      <c r="K34" s="119">
        <v>25</v>
      </c>
      <c r="L34" s="338" t="s">
        <v>249</v>
      </c>
    </row>
    <row r="35" spans="1:12" ht="15" customHeight="1">
      <c r="A35" s="379" t="s">
        <v>1360</v>
      </c>
      <c r="B35" s="390" t="s">
        <v>1361</v>
      </c>
      <c r="C35" s="118" t="s">
        <v>51</v>
      </c>
      <c r="D35" s="379" t="s">
        <v>1364</v>
      </c>
      <c r="E35" s="392" t="s">
        <v>1365</v>
      </c>
      <c r="F35" s="393" t="s">
        <v>1338</v>
      </c>
      <c r="G35" s="394">
        <v>2</v>
      </c>
      <c r="H35" s="394">
        <v>1</v>
      </c>
      <c r="I35" s="394">
        <v>6</v>
      </c>
      <c r="J35" s="385">
        <v>50</v>
      </c>
      <c r="K35" s="395">
        <v>25</v>
      </c>
      <c r="L35" s="338" t="s">
        <v>249</v>
      </c>
    </row>
    <row r="36" spans="1:12" ht="15" customHeight="1">
      <c r="A36" s="379" t="s">
        <v>1360</v>
      </c>
      <c r="B36" s="390" t="s">
        <v>1361</v>
      </c>
      <c r="C36" s="118" t="s">
        <v>51</v>
      </c>
      <c r="D36" s="379" t="s">
        <v>1366</v>
      </c>
      <c r="E36" s="392" t="s">
        <v>1367</v>
      </c>
      <c r="F36" s="393" t="s">
        <v>1338</v>
      </c>
      <c r="G36" s="394">
        <v>2</v>
      </c>
      <c r="H36" s="394">
        <v>1</v>
      </c>
      <c r="I36" s="394">
        <v>6</v>
      </c>
      <c r="J36" s="385">
        <v>50</v>
      </c>
      <c r="K36" s="395">
        <v>25</v>
      </c>
      <c r="L36" s="338" t="s">
        <v>249</v>
      </c>
    </row>
    <row r="37" spans="1:12" ht="15" customHeight="1">
      <c r="A37" s="379" t="s">
        <v>1360</v>
      </c>
      <c r="B37" s="390" t="s">
        <v>1361</v>
      </c>
      <c r="C37" s="118" t="s">
        <v>51</v>
      </c>
      <c r="D37" s="379" t="s">
        <v>1368</v>
      </c>
      <c r="E37" s="392" t="s">
        <v>1369</v>
      </c>
      <c r="F37" s="393" t="s">
        <v>1338</v>
      </c>
      <c r="G37" s="394">
        <v>2</v>
      </c>
      <c r="H37" s="394">
        <v>1</v>
      </c>
      <c r="I37" s="394">
        <v>6</v>
      </c>
      <c r="J37" s="385">
        <v>50</v>
      </c>
      <c r="K37" s="395">
        <v>25</v>
      </c>
      <c r="L37" s="338" t="s">
        <v>249</v>
      </c>
    </row>
    <row r="38" spans="1:12" ht="15" customHeight="1">
      <c r="A38" s="379" t="s">
        <v>1360</v>
      </c>
      <c r="B38" s="390" t="s">
        <v>1361</v>
      </c>
      <c r="C38" s="118" t="s">
        <v>51</v>
      </c>
      <c r="D38" s="379" t="s">
        <v>1370</v>
      </c>
      <c r="E38" s="392" t="s">
        <v>1371</v>
      </c>
      <c r="F38" s="393" t="s">
        <v>1338</v>
      </c>
      <c r="G38" s="394">
        <v>2</v>
      </c>
      <c r="H38" s="394">
        <v>1</v>
      </c>
      <c r="I38" s="394">
        <v>6</v>
      </c>
      <c r="J38" s="385">
        <v>50</v>
      </c>
      <c r="K38" s="395">
        <v>25</v>
      </c>
      <c r="L38" s="338" t="s">
        <v>249</v>
      </c>
    </row>
    <row r="39" spans="1:12" ht="15" customHeight="1">
      <c r="A39" s="379" t="s">
        <v>1360</v>
      </c>
      <c r="B39" s="390" t="s">
        <v>1361</v>
      </c>
      <c r="C39" s="118" t="s">
        <v>51</v>
      </c>
      <c r="D39" s="379" t="s">
        <v>1372</v>
      </c>
      <c r="E39" s="392" t="s">
        <v>1373</v>
      </c>
      <c r="F39" s="393" t="s">
        <v>1338</v>
      </c>
      <c r="G39" s="394">
        <v>2</v>
      </c>
      <c r="H39" s="394">
        <v>1</v>
      </c>
      <c r="I39" s="394">
        <v>6</v>
      </c>
      <c r="J39" s="385">
        <v>50</v>
      </c>
      <c r="K39" s="395">
        <v>25</v>
      </c>
      <c r="L39" s="338" t="s">
        <v>249</v>
      </c>
    </row>
    <row r="40" spans="1:12" ht="15" customHeight="1">
      <c r="A40" s="379" t="s">
        <v>1360</v>
      </c>
      <c r="B40" s="390" t="s">
        <v>1361</v>
      </c>
      <c r="C40" s="118" t="s">
        <v>51</v>
      </c>
      <c r="D40" s="379" t="s">
        <v>1374</v>
      </c>
      <c r="E40" s="392" t="s">
        <v>1375</v>
      </c>
      <c r="F40" s="393" t="s">
        <v>1338</v>
      </c>
      <c r="G40" s="394">
        <v>2</v>
      </c>
      <c r="H40" s="394">
        <v>1</v>
      </c>
      <c r="I40" s="394">
        <v>6</v>
      </c>
      <c r="J40" s="385">
        <v>50</v>
      </c>
      <c r="K40" s="395">
        <v>25</v>
      </c>
      <c r="L40" s="338" t="s">
        <v>249</v>
      </c>
    </row>
    <row r="41" spans="1:12" ht="15" customHeight="1">
      <c r="A41" s="390" t="s">
        <v>1360</v>
      </c>
      <c r="B41" s="390" t="s">
        <v>1361</v>
      </c>
      <c r="C41" s="118" t="s">
        <v>51</v>
      </c>
      <c r="D41" s="379" t="s">
        <v>1376</v>
      </c>
      <c r="E41" s="392" t="s">
        <v>1377</v>
      </c>
      <c r="F41" s="393" t="s">
        <v>1338</v>
      </c>
      <c r="G41" s="394">
        <v>2</v>
      </c>
      <c r="H41" s="394">
        <v>1</v>
      </c>
      <c r="I41" s="394">
        <v>6</v>
      </c>
      <c r="J41" s="385">
        <v>50</v>
      </c>
      <c r="K41" s="395">
        <v>25</v>
      </c>
      <c r="L41" s="338" t="s">
        <v>249</v>
      </c>
    </row>
    <row r="42" spans="1:12" ht="15" customHeight="1">
      <c r="A42" s="390" t="s">
        <v>1360</v>
      </c>
      <c r="B42" s="390" t="s">
        <v>1361</v>
      </c>
      <c r="C42" s="118" t="s">
        <v>51</v>
      </c>
      <c r="D42" s="379" t="s">
        <v>1378</v>
      </c>
      <c r="E42" s="392" t="s">
        <v>1379</v>
      </c>
      <c r="F42" s="393" t="s">
        <v>1338</v>
      </c>
      <c r="G42" s="394">
        <v>2</v>
      </c>
      <c r="H42" s="394">
        <v>1</v>
      </c>
      <c r="I42" s="394">
        <v>6</v>
      </c>
      <c r="J42" s="385">
        <v>50</v>
      </c>
      <c r="K42" s="395">
        <v>25</v>
      </c>
      <c r="L42" s="338" t="s">
        <v>249</v>
      </c>
    </row>
    <row r="43" spans="1:12" ht="15" customHeight="1">
      <c r="A43" s="390" t="s">
        <v>1360</v>
      </c>
      <c r="B43" s="390" t="s">
        <v>1361</v>
      </c>
      <c r="C43" s="118" t="s">
        <v>51</v>
      </c>
      <c r="D43" s="379" t="s">
        <v>1380</v>
      </c>
      <c r="E43" s="392" t="s">
        <v>1381</v>
      </c>
      <c r="F43" s="393" t="s">
        <v>1338</v>
      </c>
      <c r="G43" s="394">
        <v>2</v>
      </c>
      <c r="H43" s="394">
        <v>1</v>
      </c>
      <c r="I43" s="394">
        <v>6</v>
      </c>
      <c r="J43" s="385">
        <v>50</v>
      </c>
      <c r="K43" s="395">
        <v>25</v>
      </c>
      <c r="L43" s="338" t="s">
        <v>249</v>
      </c>
    </row>
    <row r="44" spans="1:12" ht="15" customHeight="1">
      <c r="A44" s="390" t="s">
        <v>1360</v>
      </c>
      <c r="B44" s="390" t="s">
        <v>1361</v>
      </c>
      <c r="C44" s="118" t="s">
        <v>51</v>
      </c>
      <c r="D44" s="379" t="s">
        <v>1382</v>
      </c>
      <c r="E44" s="392" t="s">
        <v>1383</v>
      </c>
      <c r="F44" s="393" t="s">
        <v>1338</v>
      </c>
      <c r="G44" s="394">
        <v>2</v>
      </c>
      <c r="H44" s="394">
        <v>1</v>
      </c>
      <c r="I44" s="394">
        <v>6</v>
      </c>
      <c r="J44" s="385">
        <v>50</v>
      </c>
      <c r="K44" s="395">
        <v>25</v>
      </c>
      <c r="L44" s="338" t="s">
        <v>249</v>
      </c>
    </row>
    <row r="45" spans="1:12" ht="15" customHeight="1">
      <c r="A45" s="390" t="s">
        <v>1360</v>
      </c>
      <c r="B45" s="390" t="s">
        <v>1361</v>
      </c>
      <c r="C45" s="118" t="s">
        <v>51</v>
      </c>
      <c r="D45" s="379" t="s">
        <v>1384</v>
      </c>
      <c r="E45" s="392" t="s">
        <v>1385</v>
      </c>
      <c r="F45" s="393" t="s">
        <v>1338</v>
      </c>
      <c r="G45" s="394">
        <v>2</v>
      </c>
      <c r="H45" s="394">
        <v>1</v>
      </c>
      <c r="I45" s="394">
        <v>6</v>
      </c>
      <c r="J45" s="385">
        <v>50</v>
      </c>
      <c r="K45" s="395">
        <v>25</v>
      </c>
      <c r="L45" s="338" t="s">
        <v>249</v>
      </c>
    </row>
    <row r="46" spans="1:12" ht="15" customHeight="1">
      <c r="A46" s="390" t="s">
        <v>1360</v>
      </c>
      <c r="B46" s="390" t="s">
        <v>1361</v>
      </c>
      <c r="C46" s="118" t="s">
        <v>51</v>
      </c>
      <c r="D46" s="379" t="s">
        <v>1386</v>
      </c>
      <c r="E46" s="392" t="s">
        <v>1387</v>
      </c>
      <c r="F46" s="393" t="s">
        <v>1338</v>
      </c>
      <c r="G46" s="394">
        <v>2</v>
      </c>
      <c r="H46" s="394">
        <v>1</v>
      </c>
      <c r="I46" s="394">
        <v>6</v>
      </c>
      <c r="J46" s="385">
        <v>50</v>
      </c>
      <c r="K46" s="395">
        <v>25</v>
      </c>
      <c r="L46" s="338" t="s">
        <v>249</v>
      </c>
    </row>
    <row r="47" spans="1:12" ht="15" customHeight="1">
      <c r="A47" s="390" t="s">
        <v>1360</v>
      </c>
      <c r="B47" s="390" t="s">
        <v>1361</v>
      </c>
      <c r="C47" s="118" t="s">
        <v>51</v>
      </c>
      <c r="D47" s="379" t="s">
        <v>1388</v>
      </c>
      <c r="E47" s="392" t="s">
        <v>1389</v>
      </c>
      <c r="F47" s="393" t="s">
        <v>1338</v>
      </c>
      <c r="G47" s="394">
        <v>2</v>
      </c>
      <c r="H47" s="394">
        <v>1</v>
      </c>
      <c r="I47" s="394">
        <v>6</v>
      </c>
      <c r="J47" s="385">
        <v>50</v>
      </c>
      <c r="K47" s="395">
        <v>25</v>
      </c>
      <c r="L47" s="338" t="s">
        <v>249</v>
      </c>
    </row>
    <row r="48" spans="1:12" ht="15" customHeight="1">
      <c r="A48" s="390" t="s">
        <v>1360</v>
      </c>
      <c r="B48" s="390" t="s">
        <v>1361</v>
      </c>
      <c r="C48" s="118" t="s">
        <v>51</v>
      </c>
      <c r="D48" s="379" t="s">
        <v>1390</v>
      </c>
      <c r="E48" s="392" t="s">
        <v>1391</v>
      </c>
      <c r="F48" s="393" t="s">
        <v>1338</v>
      </c>
      <c r="G48" s="394">
        <v>2</v>
      </c>
      <c r="H48" s="394">
        <v>1</v>
      </c>
      <c r="I48" s="394">
        <v>6</v>
      </c>
      <c r="J48" s="385">
        <v>50</v>
      </c>
      <c r="K48" s="395">
        <v>25</v>
      </c>
      <c r="L48" s="338" t="s">
        <v>249</v>
      </c>
    </row>
    <row r="49" spans="1:12" ht="15" customHeight="1">
      <c r="A49" s="390" t="s">
        <v>1360</v>
      </c>
      <c r="B49" s="390" t="s">
        <v>1361</v>
      </c>
      <c r="C49" s="118" t="s">
        <v>51</v>
      </c>
      <c r="D49" s="379" t="s">
        <v>1392</v>
      </c>
      <c r="E49" s="392" t="s">
        <v>1393</v>
      </c>
      <c r="F49" s="393" t="s">
        <v>1338</v>
      </c>
      <c r="G49" s="394">
        <v>2</v>
      </c>
      <c r="H49" s="394">
        <v>1</v>
      </c>
      <c r="I49" s="394">
        <v>6</v>
      </c>
      <c r="J49" s="385">
        <v>50</v>
      </c>
      <c r="K49" s="395">
        <v>25</v>
      </c>
      <c r="L49" s="338" t="s">
        <v>249</v>
      </c>
    </row>
    <row r="50" spans="1:12" ht="15" customHeight="1">
      <c r="A50" s="390" t="s">
        <v>1360</v>
      </c>
      <c r="B50" s="390" t="s">
        <v>1361</v>
      </c>
      <c r="C50" s="118" t="s">
        <v>51</v>
      </c>
      <c r="D50" s="379" t="s">
        <v>1394</v>
      </c>
      <c r="E50" s="392" t="s">
        <v>1395</v>
      </c>
      <c r="F50" s="393" t="s">
        <v>1338</v>
      </c>
      <c r="G50" s="394">
        <v>2</v>
      </c>
      <c r="H50" s="394">
        <v>1</v>
      </c>
      <c r="I50" s="394">
        <v>6</v>
      </c>
      <c r="J50" s="385">
        <v>50</v>
      </c>
      <c r="K50" s="395">
        <v>25</v>
      </c>
      <c r="L50" s="338" t="s">
        <v>249</v>
      </c>
    </row>
    <row r="51" spans="1:12" ht="15" customHeight="1">
      <c r="A51" s="390" t="s">
        <v>1360</v>
      </c>
      <c r="B51" s="390" t="s">
        <v>1361</v>
      </c>
      <c r="C51" s="118" t="s">
        <v>51</v>
      </c>
      <c r="D51" s="379" t="s">
        <v>1396</v>
      </c>
      <c r="E51" s="392" t="s">
        <v>1397</v>
      </c>
      <c r="F51" s="393" t="s">
        <v>1338</v>
      </c>
      <c r="G51" s="394">
        <v>2</v>
      </c>
      <c r="H51" s="394">
        <v>1</v>
      </c>
      <c r="I51" s="394">
        <v>6</v>
      </c>
      <c r="J51" s="385">
        <v>50</v>
      </c>
      <c r="K51" s="395">
        <v>25</v>
      </c>
      <c r="L51" s="338" t="s">
        <v>249</v>
      </c>
    </row>
    <row r="52" spans="1:12" ht="15" customHeight="1">
      <c r="A52" s="390" t="s">
        <v>1360</v>
      </c>
      <c r="B52" s="390" t="s">
        <v>1361</v>
      </c>
      <c r="C52" s="118" t="s">
        <v>51</v>
      </c>
      <c r="D52" s="379" t="s">
        <v>1398</v>
      </c>
      <c r="E52" s="392" t="s">
        <v>1399</v>
      </c>
      <c r="F52" s="393" t="s">
        <v>1338</v>
      </c>
      <c r="G52" s="394">
        <v>2</v>
      </c>
      <c r="H52" s="394">
        <v>1</v>
      </c>
      <c r="I52" s="394">
        <v>6</v>
      </c>
      <c r="J52" s="385">
        <v>50</v>
      </c>
      <c r="K52" s="395">
        <v>25</v>
      </c>
      <c r="L52" s="338" t="s">
        <v>249</v>
      </c>
    </row>
    <row r="53" spans="1:12" ht="15" customHeight="1">
      <c r="A53" s="390" t="s">
        <v>1360</v>
      </c>
      <c r="B53" s="390" t="s">
        <v>1361</v>
      </c>
      <c r="C53" s="118" t="s">
        <v>51</v>
      </c>
      <c r="D53" s="379" t="s">
        <v>1400</v>
      </c>
      <c r="E53" s="392" t="s">
        <v>1401</v>
      </c>
      <c r="F53" s="393" t="s">
        <v>1338</v>
      </c>
      <c r="G53" s="394">
        <v>2</v>
      </c>
      <c r="H53" s="394">
        <v>1</v>
      </c>
      <c r="I53" s="394">
        <v>6</v>
      </c>
      <c r="J53" s="385">
        <v>50</v>
      </c>
      <c r="K53" s="395">
        <v>25</v>
      </c>
      <c r="L53" s="338" t="s">
        <v>249</v>
      </c>
    </row>
    <row r="54" spans="1:12" ht="15" customHeight="1">
      <c r="A54" s="390" t="s">
        <v>1360</v>
      </c>
      <c r="B54" s="390" t="s">
        <v>1361</v>
      </c>
      <c r="C54" s="118" t="s">
        <v>51</v>
      </c>
      <c r="D54" s="379" t="s">
        <v>1402</v>
      </c>
      <c r="E54" s="392" t="s">
        <v>1403</v>
      </c>
      <c r="F54" s="393" t="s">
        <v>1338</v>
      </c>
      <c r="G54" s="394">
        <v>2</v>
      </c>
      <c r="H54" s="394">
        <v>1</v>
      </c>
      <c r="I54" s="394">
        <v>6</v>
      </c>
      <c r="J54" s="385">
        <v>50</v>
      </c>
      <c r="K54" s="395">
        <v>25</v>
      </c>
      <c r="L54" s="338" t="s">
        <v>249</v>
      </c>
    </row>
    <row r="55" spans="1:12" ht="15" customHeight="1">
      <c r="A55" s="390" t="s">
        <v>1360</v>
      </c>
      <c r="B55" s="390" t="s">
        <v>1361</v>
      </c>
      <c r="C55" s="118" t="s">
        <v>51</v>
      </c>
      <c r="D55" s="379" t="s">
        <v>1404</v>
      </c>
      <c r="E55" s="392" t="s">
        <v>1405</v>
      </c>
      <c r="F55" s="393" t="s">
        <v>1338</v>
      </c>
      <c r="G55" s="394">
        <v>2</v>
      </c>
      <c r="H55" s="394">
        <v>1</v>
      </c>
      <c r="I55" s="394">
        <v>6</v>
      </c>
      <c r="J55" s="385">
        <v>50</v>
      </c>
      <c r="K55" s="395">
        <v>25</v>
      </c>
      <c r="L55" s="338" t="s">
        <v>249</v>
      </c>
    </row>
    <row r="56" spans="1:12" ht="15" customHeight="1">
      <c r="A56" s="390" t="s">
        <v>1360</v>
      </c>
      <c r="B56" s="390" t="s">
        <v>1361</v>
      </c>
      <c r="C56" s="118" t="s">
        <v>51</v>
      </c>
      <c r="D56" s="379" t="s">
        <v>1406</v>
      </c>
      <c r="E56" s="392" t="s">
        <v>1407</v>
      </c>
      <c r="F56" s="393" t="s">
        <v>1338</v>
      </c>
      <c r="G56" s="394">
        <v>2</v>
      </c>
      <c r="H56" s="394">
        <v>1</v>
      </c>
      <c r="I56" s="394">
        <v>6</v>
      </c>
      <c r="J56" s="385">
        <v>50</v>
      </c>
      <c r="K56" s="395">
        <v>25</v>
      </c>
      <c r="L56" s="338" t="s">
        <v>249</v>
      </c>
    </row>
    <row r="57" spans="1:12" ht="15" customHeight="1">
      <c r="A57" s="390" t="s">
        <v>1360</v>
      </c>
      <c r="B57" s="390" t="s">
        <v>1361</v>
      </c>
      <c r="C57" s="118" t="s">
        <v>51</v>
      </c>
      <c r="D57" s="379" t="s">
        <v>1408</v>
      </c>
      <c r="E57" s="392" t="s">
        <v>1409</v>
      </c>
      <c r="F57" s="393" t="s">
        <v>1338</v>
      </c>
      <c r="G57" s="394">
        <v>2</v>
      </c>
      <c r="H57" s="394">
        <v>1</v>
      </c>
      <c r="I57" s="394">
        <v>6</v>
      </c>
      <c r="J57" s="385">
        <v>50</v>
      </c>
      <c r="K57" s="395">
        <v>25</v>
      </c>
      <c r="L57" s="338" t="s">
        <v>249</v>
      </c>
    </row>
    <row r="58" spans="1:12" ht="15" customHeight="1">
      <c r="A58" s="390" t="s">
        <v>1360</v>
      </c>
      <c r="B58" s="390" t="s">
        <v>1361</v>
      </c>
      <c r="C58" s="118" t="s">
        <v>51</v>
      </c>
      <c r="D58" s="379" t="s">
        <v>1410</v>
      </c>
      <c r="E58" s="392" t="s">
        <v>1411</v>
      </c>
      <c r="F58" s="393" t="s">
        <v>1338</v>
      </c>
      <c r="G58" s="394">
        <v>2</v>
      </c>
      <c r="H58" s="394">
        <v>1</v>
      </c>
      <c r="I58" s="394">
        <v>6</v>
      </c>
      <c r="J58" s="385">
        <v>50</v>
      </c>
      <c r="K58" s="395">
        <v>25</v>
      </c>
      <c r="L58" s="338" t="s">
        <v>249</v>
      </c>
    </row>
    <row r="59" spans="1:12" ht="15" customHeight="1">
      <c r="A59" s="390" t="s">
        <v>1360</v>
      </c>
      <c r="B59" s="390" t="s">
        <v>1361</v>
      </c>
      <c r="C59" s="118" t="s">
        <v>51</v>
      </c>
      <c r="D59" s="379" t="s">
        <v>1412</v>
      </c>
      <c r="E59" s="392" t="s">
        <v>1413</v>
      </c>
      <c r="F59" s="393" t="s">
        <v>1338</v>
      </c>
      <c r="G59" s="394">
        <v>2</v>
      </c>
      <c r="H59" s="394">
        <v>1</v>
      </c>
      <c r="I59" s="394">
        <v>6</v>
      </c>
      <c r="J59" s="385">
        <v>50</v>
      </c>
      <c r="K59" s="395">
        <v>25</v>
      </c>
      <c r="L59" s="338" t="s">
        <v>249</v>
      </c>
    </row>
    <row r="60" spans="1:12" ht="15" customHeight="1">
      <c r="A60" s="390" t="s">
        <v>1360</v>
      </c>
      <c r="B60" s="390" t="s">
        <v>1361</v>
      </c>
      <c r="C60" s="118" t="s">
        <v>51</v>
      </c>
      <c r="D60" s="379" t="s">
        <v>1414</v>
      </c>
      <c r="E60" s="392" t="s">
        <v>1415</v>
      </c>
      <c r="F60" s="393" t="s">
        <v>1338</v>
      </c>
      <c r="G60" s="394">
        <v>2</v>
      </c>
      <c r="H60" s="394">
        <v>1</v>
      </c>
      <c r="I60" s="394">
        <v>6</v>
      </c>
      <c r="J60" s="385">
        <v>50</v>
      </c>
      <c r="K60" s="395">
        <v>25</v>
      </c>
      <c r="L60" s="338" t="s">
        <v>249</v>
      </c>
    </row>
    <row r="61" spans="1:12" ht="15" customHeight="1">
      <c r="A61" s="390" t="s">
        <v>1360</v>
      </c>
      <c r="B61" s="390" t="s">
        <v>1361</v>
      </c>
      <c r="C61" s="118" t="s">
        <v>51</v>
      </c>
      <c r="D61" s="379" t="s">
        <v>1416</v>
      </c>
      <c r="E61" s="392" t="s">
        <v>1417</v>
      </c>
      <c r="F61" s="393" t="s">
        <v>1338</v>
      </c>
      <c r="G61" s="394">
        <v>2</v>
      </c>
      <c r="H61" s="394">
        <v>1</v>
      </c>
      <c r="I61" s="394">
        <v>6</v>
      </c>
      <c r="J61" s="385">
        <v>50</v>
      </c>
      <c r="K61" s="395">
        <v>25</v>
      </c>
      <c r="L61" s="338" t="s">
        <v>249</v>
      </c>
    </row>
    <row r="62" spans="1:12" ht="15" customHeight="1">
      <c r="A62" s="390" t="s">
        <v>1360</v>
      </c>
      <c r="B62" s="390" t="s">
        <v>1361</v>
      </c>
      <c r="C62" s="118" t="s">
        <v>51</v>
      </c>
      <c r="D62" s="379" t="s">
        <v>1418</v>
      </c>
      <c r="E62" s="392" t="s">
        <v>1419</v>
      </c>
      <c r="F62" s="393" t="s">
        <v>1338</v>
      </c>
      <c r="G62" s="394">
        <v>2</v>
      </c>
      <c r="H62" s="394">
        <v>1</v>
      </c>
      <c r="I62" s="394">
        <v>6</v>
      </c>
      <c r="J62" s="385">
        <v>50</v>
      </c>
      <c r="K62" s="395">
        <v>25</v>
      </c>
      <c r="L62" s="338" t="s">
        <v>249</v>
      </c>
    </row>
    <row r="63" spans="1:12" ht="15" customHeight="1">
      <c r="A63" s="390" t="s">
        <v>1360</v>
      </c>
      <c r="B63" s="390" t="s">
        <v>1361</v>
      </c>
      <c r="C63" s="118" t="s">
        <v>51</v>
      </c>
      <c r="D63" s="379" t="s">
        <v>1420</v>
      </c>
      <c r="E63" s="392" t="s">
        <v>1421</v>
      </c>
      <c r="F63" s="393" t="s">
        <v>1338</v>
      </c>
      <c r="G63" s="394">
        <v>2</v>
      </c>
      <c r="H63" s="394">
        <v>1</v>
      </c>
      <c r="I63" s="394">
        <v>6</v>
      </c>
      <c r="J63" s="385">
        <v>50</v>
      </c>
      <c r="K63" s="395">
        <v>25</v>
      </c>
      <c r="L63" s="338" t="s">
        <v>249</v>
      </c>
    </row>
    <row r="64" spans="1:12" ht="15" customHeight="1">
      <c r="A64" s="390" t="s">
        <v>1360</v>
      </c>
      <c r="B64" s="390" t="s">
        <v>1361</v>
      </c>
      <c r="C64" s="118" t="s">
        <v>51</v>
      </c>
      <c r="D64" s="379" t="s">
        <v>1422</v>
      </c>
      <c r="E64" s="392" t="s">
        <v>1423</v>
      </c>
      <c r="F64" s="393" t="s">
        <v>1338</v>
      </c>
      <c r="G64" s="394">
        <v>2</v>
      </c>
      <c r="H64" s="394">
        <v>1</v>
      </c>
      <c r="I64" s="394">
        <v>6</v>
      </c>
      <c r="J64" s="385">
        <v>50</v>
      </c>
      <c r="K64" s="395">
        <v>25</v>
      </c>
      <c r="L64" s="338" t="s">
        <v>249</v>
      </c>
    </row>
    <row r="65" spans="1:12" ht="15" customHeight="1">
      <c r="A65" s="390" t="s">
        <v>1424</v>
      </c>
      <c r="B65" s="396" t="s">
        <v>1425</v>
      </c>
      <c r="C65" s="118" t="s">
        <v>51</v>
      </c>
      <c r="D65" s="379" t="s">
        <v>1426</v>
      </c>
      <c r="E65" s="392" t="s">
        <v>1427</v>
      </c>
      <c r="F65" s="393" t="s">
        <v>1338</v>
      </c>
      <c r="G65" s="394">
        <v>2</v>
      </c>
      <c r="H65" s="394">
        <v>2</v>
      </c>
      <c r="I65" s="394">
        <v>6</v>
      </c>
      <c r="J65" s="385">
        <v>50</v>
      </c>
      <c r="K65" s="395">
        <v>12.5</v>
      </c>
      <c r="L65" s="338" t="s">
        <v>249</v>
      </c>
    </row>
    <row r="66" spans="1:12" ht="15" customHeight="1">
      <c r="A66" s="390" t="s">
        <v>1424</v>
      </c>
      <c r="B66" s="396" t="s">
        <v>1425</v>
      </c>
      <c r="C66" s="118" t="s">
        <v>51</v>
      </c>
      <c r="D66" s="379" t="s">
        <v>1428</v>
      </c>
      <c r="E66" s="392" t="s">
        <v>1429</v>
      </c>
      <c r="F66" s="393" t="s">
        <v>1338</v>
      </c>
      <c r="G66" s="394">
        <v>2</v>
      </c>
      <c r="H66" s="394">
        <v>2</v>
      </c>
      <c r="I66" s="394">
        <v>6</v>
      </c>
      <c r="J66" s="385">
        <v>50</v>
      </c>
      <c r="K66" s="395">
        <v>12.5</v>
      </c>
      <c r="L66" s="338" t="s">
        <v>249</v>
      </c>
    </row>
    <row r="67" spans="1:12" ht="15" customHeight="1">
      <c r="A67" s="390" t="s">
        <v>1424</v>
      </c>
      <c r="B67" s="396" t="s">
        <v>1425</v>
      </c>
      <c r="C67" s="118" t="s">
        <v>51</v>
      </c>
      <c r="D67" s="379" t="s">
        <v>1430</v>
      </c>
      <c r="E67" s="392" t="s">
        <v>1431</v>
      </c>
      <c r="F67" s="393" t="s">
        <v>1338</v>
      </c>
      <c r="G67" s="394">
        <v>2</v>
      </c>
      <c r="H67" s="394">
        <v>2</v>
      </c>
      <c r="I67" s="394">
        <v>6</v>
      </c>
      <c r="J67" s="385">
        <v>50</v>
      </c>
      <c r="K67" s="395">
        <v>12.5</v>
      </c>
      <c r="L67" s="338" t="s">
        <v>249</v>
      </c>
    </row>
    <row r="68" spans="1:12" ht="15" customHeight="1">
      <c r="A68" s="390" t="s">
        <v>1424</v>
      </c>
      <c r="B68" s="396" t="s">
        <v>1425</v>
      </c>
      <c r="C68" s="118" t="s">
        <v>51</v>
      </c>
      <c r="D68" s="379" t="s">
        <v>1432</v>
      </c>
      <c r="E68" s="392" t="s">
        <v>1433</v>
      </c>
      <c r="F68" s="393" t="s">
        <v>1338</v>
      </c>
      <c r="G68" s="394">
        <v>2</v>
      </c>
      <c r="H68" s="394">
        <v>2</v>
      </c>
      <c r="I68" s="394">
        <v>6</v>
      </c>
      <c r="J68" s="385">
        <v>50</v>
      </c>
      <c r="K68" s="395">
        <v>12.5</v>
      </c>
      <c r="L68" s="338" t="s">
        <v>249</v>
      </c>
    </row>
    <row r="69" spans="1:12" ht="15" customHeight="1">
      <c r="A69" s="390" t="s">
        <v>1424</v>
      </c>
      <c r="B69" s="396" t="s">
        <v>1425</v>
      </c>
      <c r="C69" s="118" t="s">
        <v>51</v>
      </c>
      <c r="D69" s="379" t="s">
        <v>1434</v>
      </c>
      <c r="E69" s="392" t="s">
        <v>1435</v>
      </c>
      <c r="F69" s="393" t="s">
        <v>1338</v>
      </c>
      <c r="G69" s="394">
        <v>2</v>
      </c>
      <c r="H69" s="394">
        <v>2</v>
      </c>
      <c r="I69" s="394">
        <v>6</v>
      </c>
      <c r="J69" s="385">
        <v>50</v>
      </c>
      <c r="K69" s="395">
        <v>12.5</v>
      </c>
      <c r="L69" s="338" t="s">
        <v>249</v>
      </c>
    </row>
    <row r="70" spans="1:12" ht="15" customHeight="1">
      <c r="A70" s="390" t="s">
        <v>1424</v>
      </c>
      <c r="B70" s="396" t="s">
        <v>1425</v>
      </c>
      <c r="C70" s="118" t="s">
        <v>51</v>
      </c>
      <c r="D70" s="379" t="s">
        <v>1436</v>
      </c>
      <c r="E70" s="392" t="s">
        <v>1437</v>
      </c>
      <c r="F70" s="393" t="s">
        <v>1338</v>
      </c>
      <c r="G70" s="394">
        <v>2</v>
      </c>
      <c r="H70" s="394">
        <v>2</v>
      </c>
      <c r="I70" s="394">
        <v>6</v>
      </c>
      <c r="J70" s="385">
        <v>50</v>
      </c>
      <c r="K70" s="395">
        <v>12.5</v>
      </c>
      <c r="L70" s="338" t="s">
        <v>249</v>
      </c>
    </row>
    <row r="71" spans="1:12" ht="15" customHeight="1">
      <c r="A71" s="390" t="s">
        <v>1424</v>
      </c>
      <c r="B71" s="396" t="s">
        <v>1425</v>
      </c>
      <c r="C71" s="118" t="s">
        <v>51</v>
      </c>
      <c r="D71" s="379" t="s">
        <v>1438</v>
      </c>
      <c r="E71" s="392" t="s">
        <v>1439</v>
      </c>
      <c r="F71" s="393" t="s">
        <v>1338</v>
      </c>
      <c r="G71" s="394">
        <v>2</v>
      </c>
      <c r="H71" s="394">
        <v>2</v>
      </c>
      <c r="I71" s="394">
        <v>6</v>
      </c>
      <c r="J71" s="385">
        <v>50</v>
      </c>
      <c r="K71" s="395">
        <v>12.5</v>
      </c>
      <c r="L71" s="338" t="s">
        <v>249</v>
      </c>
    </row>
    <row r="72" spans="1:12" ht="15" customHeight="1">
      <c r="A72" s="390" t="s">
        <v>1424</v>
      </c>
      <c r="B72" s="396" t="s">
        <v>1425</v>
      </c>
      <c r="C72" s="118" t="s">
        <v>51</v>
      </c>
      <c r="D72" s="379" t="s">
        <v>1440</v>
      </c>
      <c r="E72" s="392" t="s">
        <v>1441</v>
      </c>
      <c r="F72" s="393" t="s">
        <v>1338</v>
      </c>
      <c r="G72" s="394">
        <v>2</v>
      </c>
      <c r="H72" s="394">
        <v>2</v>
      </c>
      <c r="I72" s="394">
        <v>6</v>
      </c>
      <c r="J72" s="385">
        <v>50</v>
      </c>
      <c r="K72" s="395">
        <v>12.5</v>
      </c>
      <c r="L72" s="338" t="s">
        <v>249</v>
      </c>
    </row>
    <row r="73" spans="1:12" ht="15" customHeight="1">
      <c r="A73" s="390" t="s">
        <v>1424</v>
      </c>
      <c r="B73" s="396" t="s">
        <v>1425</v>
      </c>
      <c r="C73" s="118" t="s">
        <v>51</v>
      </c>
      <c r="D73" s="379" t="s">
        <v>1442</v>
      </c>
      <c r="E73" s="392" t="s">
        <v>1443</v>
      </c>
      <c r="F73" s="393" t="s">
        <v>1338</v>
      </c>
      <c r="G73" s="394">
        <v>2</v>
      </c>
      <c r="H73" s="394">
        <v>2</v>
      </c>
      <c r="I73" s="394">
        <v>6</v>
      </c>
      <c r="J73" s="385">
        <v>50</v>
      </c>
      <c r="K73" s="395">
        <v>12.5</v>
      </c>
      <c r="L73" s="338" t="s">
        <v>249</v>
      </c>
    </row>
    <row r="74" spans="1:12" ht="15" customHeight="1">
      <c r="A74" s="390" t="s">
        <v>1424</v>
      </c>
      <c r="B74" s="396" t="s">
        <v>1425</v>
      </c>
      <c r="C74" s="118" t="s">
        <v>51</v>
      </c>
      <c r="D74" s="379" t="s">
        <v>1444</v>
      </c>
      <c r="E74" s="392" t="s">
        <v>1445</v>
      </c>
      <c r="F74" s="393" t="s">
        <v>1338</v>
      </c>
      <c r="G74" s="394">
        <v>2</v>
      </c>
      <c r="H74" s="394">
        <v>2</v>
      </c>
      <c r="I74" s="394">
        <v>6</v>
      </c>
      <c r="J74" s="385">
        <v>50</v>
      </c>
      <c r="K74" s="395">
        <v>12.5</v>
      </c>
      <c r="L74" s="338" t="s">
        <v>249</v>
      </c>
    </row>
    <row r="75" spans="1:12" ht="15" customHeight="1">
      <c r="A75" s="390" t="s">
        <v>1424</v>
      </c>
      <c r="B75" s="396" t="s">
        <v>1425</v>
      </c>
      <c r="C75" s="118" t="s">
        <v>51</v>
      </c>
      <c r="D75" s="379" t="s">
        <v>1446</v>
      </c>
      <c r="E75" s="392" t="s">
        <v>1447</v>
      </c>
      <c r="F75" s="393" t="s">
        <v>1338</v>
      </c>
      <c r="G75" s="394">
        <v>2</v>
      </c>
      <c r="H75" s="394">
        <v>2</v>
      </c>
      <c r="I75" s="394">
        <v>6</v>
      </c>
      <c r="J75" s="385">
        <v>50</v>
      </c>
      <c r="K75" s="395">
        <v>12.5</v>
      </c>
      <c r="L75" s="338" t="s">
        <v>249</v>
      </c>
    </row>
    <row r="76" spans="1:12" ht="15" customHeight="1">
      <c r="A76" s="390" t="s">
        <v>1424</v>
      </c>
      <c r="B76" s="396" t="s">
        <v>1425</v>
      </c>
      <c r="C76" s="118" t="s">
        <v>51</v>
      </c>
      <c r="D76" s="379" t="s">
        <v>1448</v>
      </c>
      <c r="E76" s="392" t="s">
        <v>1449</v>
      </c>
      <c r="F76" s="393" t="s">
        <v>1338</v>
      </c>
      <c r="G76" s="394">
        <v>2</v>
      </c>
      <c r="H76" s="394">
        <v>2</v>
      </c>
      <c r="I76" s="394">
        <v>6</v>
      </c>
      <c r="J76" s="385">
        <v>50</v>
      </c>
      <c r="K76" s="395">
        <v>12.5</v>
      </c>
      <c r="L76" s="338" t="s">
        <v>249</v>
      </c>
    </row>
    <row r="77" spans="1:12" ht="15" customHeight="1">
      <c r="A77" s="390" t="s">
        <v>1424</v>
      </c>
      <c r="B77" s="396" t="s">
        <v>1425</v>
      </c>
      <c r="C77" s="118" t="s">
        <v>51</v>
      </c>
      <c r="D77" s="379" t="s">
        <v>1450</v>
      </c>
      <c r="E77" s="392" t="s">
        <v>1451</v>
      </c>
      <c r="F77" s="393" t="s">
        <v>1338</v>
      </c>
      <c r="G77" s="394">
        <v>2</v>
      </c>
      <c r="H77" s="394">
        <v>2</v>
      </c>
      <c r="I77" s="394">
        <v>6</v>
      </c>
      <c r="J77" s="385">
        <v>50</v>
      </c>
      <c r="K77" s="395">
        <v>12.5</v>
      </c>
      <c r="L77" s="338" t="s">
        <v>249</v>
      </c>
    </row>
    <row r="78" spans="1:12" ht="15" customHeight="1">
      <c r="A78" s="390" t="s">
        <v>1424</v>
      </c>
      <c r="B78" s="396" t="s">
        <v>1425</v>
      </c>
      <c r="C78" s="118" t="s">
        <v>51</v>
      </c>
      <c r="D78" s="379" t="s">
        <v>1452</v>
      </c>
      <c r="E78" s="392" t="s">
        <v>1453</v>
      </c>
      <c r="F78" s="393" t="s">
        <v>1338</v>
      </c>
      <c r="G78" s="394">
        <v>2</v>
      </c>
      <c r="H78" s="394">
        <v>2</v>
      </c>
      <c r="I78" s="394">
        <v>6</v>
      </c>
      <c r="J78" s="385">
        <v>50</v>
      </c>
      <c r="K78" s="395">
        <v>12.5</v>
      </c>
      <c r="L78" s="338" t="s">
        <v>249</v>
      </c>
    </row>
    <row r="79" spans="1:12" ht="15" customHeight="1">
      <c r="A79" s="390" t="s">
        <v>1424</v>
      </c>
      <c r="B79" s="396" t="s">
        <v>1425</v>
      </c>
      <c r="C79" s="118" t="s">
        <v>51</v>
      </c>
      <c r="D79" s="379" t="s">
        <v>1454</v>
      </c>
      <c r="E79" s="392" t="s">
        <v>1455</v>
      </c>
      <c r="F79" s="393" t="s">
        <v>1338</v>
      </c>
      <c r="G79" s="394">
        <v>2</v>
      </c>
      <c r="H79" s="394">
        <v>2</v>
      </c>
      <c r="I79" s="394">
        <v>6</v>
      </c>
      <c r="J79" s="385">
        <v>50</v>
      </c>
      <c r="K79" s="395">
        <v>12.5</v>
      </c>
      <c r="L79" s="338" t="s">
        <v>249</v>
      </c>
    </row>
    <row r="80" spans="1:12" ht="15" customHeight="1">
      <c r="A80" s="390" t="s">
        <v>1424</v>
      </c>
      <c r="B80" s="396" t="s">
        <v>1425</v>
      </c>
      <c r="C80" s="118" t="s">
        <v>51</v>
      </c>
      <c r="D80" s="379" t="s">
        <v>1456</v>
      </c>
      <c r="E80" s="392" t="s">
        <v>1457</v>
      </c>
      <c r="F80" s="393" t="s">
        <v>1338</v>
      </c>
      <c r="G80" s="394">
        <v>2</v>
      </c>
      <c r="H80" s="394">
        <v>2</v>
      </c>
      <c r="I80" s="394">
        <v>6</v>
      </c>
      <c r="J80" s="385">
        <v>50</v>
      </c>
      <c r="K80" s="395">
        <v>12.5</v>
      </c>
      <c r="L80" s="338" t="s">
        <v>249</v>
      </c>
    </row>
    <row r="81" spans="1:12" ht="15" customHeight="1">
      <c r="A81" s="390" t="s">
        <v>1424</v>
      </c>
      <c r="B81" s="396" t="s">
        <v>1425</v>
      </c>
      <c r="C81" s="118" t="s">
        <v>51</v>
      </c>
      <c r="D81" s="379" t="s">
        <v>1458</v>
      </c>
      <c r="E81" s="392" t="s">
        <v>1459</v>
      </c>
      <c r="F81" s="393" t="s">
        <v>1338</v>
      </c>
      <c r="G81" s="394">
        <v>2</v>
      </c>
      <c r="H81" s="394">
        <v>2</v>
      </c>
      <c r="I81" s="394">
        <v>6</v>
      </c>
      <c r="J81" s="385">
        <v>50</v>
      </c>
      <c r="K81" s="395">
        <v>12.5</v>
      </c>
      <c r="L81" s="338" t="s">
        <v>249</v>
      </c>
    </row>
    <row r="82" spans="1:12" ht="15" customHeight="1">
      <c r="A82" s="390" t="s">
        <v>1424</v>
      </c>
      <c r="B82" s="396" t="s">
        <v>1425</v>
      </c>
      <c r="C82" s="118" t="s">
        <v>51</v>
      </c>
      <c r="D82" s="379" t="s">
        <v>1460</v>
      </c>
      <c r="E82" s="392" t="s">
        <v>1461</v>
      </c>
      <c r="F82" s="393" t="s">
        <v>1338</v>
      </c>
      <c r="G82" s="394">
        <v>2</v>
      </c>
      <c r="H82" s="394">
        <v>2</v>
      </c>
      <c r="I82" s="394">
        <v>6</v>
      </c>
      <c r="J82" s="385">
        <v>50</v>
      </c>
      <c r="K82" s="395">
        <v>12.5</v>
      </c>
      <c r="L82" s="338" t="s">
        <v>249</v>
      </c>
    </row>
    <row r="83" spans="1:12" ht="15" customHeight="1">
      <c r="A83" s="390" t="s">
        <v>1424</v>
      </c>
      <c r="B83" s="396" t="s">
        <v>1425</v>
      </c>
      <c r="C83" s="118" t="s">
        <v>51</v>
      </c>
      <c r="D83" s="379" t="s">
        <v>1462</v>
      </c>
      <c r="E83" s="392" t="s">
        <v>1463</v>
      </c>
      <c r="F83" s="393" t="s">
        <v>1338</v>
      </c>
      <c r="G83" s="394">
        <v>2</v>
      </c>
      <c r="H83" s="394">
        <v>2</v>
      </c>
      <c r="I83" s="394">
        <v>6</v>
      </c>
      <c r="J83" s="385">
        <v>50</v>
      </c>
      <c r="K83" s="395">
        <v>12.5</v>
      </c>
      <c r="L83" s="338" t="s">
        <v>249</v>
      </c>
    </row>
    <row r="84" spans="1:12" ht="15" customHeight="1">
      <c r="A84" s="390" t="s">
        <v>1424</v>
      </c>
      <c r="B84" s="396" t="s">
        <v>1425</v>
      </c>
      <c r="C84" s="118" t="s">
        <v>51</v>
      </c>
      <c r="D84" s="379" t="s">
        <v>1464</v>
      </c>
      <c r="E84" s="392" t="s">
        <v>1465</v>
      </c>
      <c r="F84" s="393" t="s">
        <v>1338</v>
      </c>
      <c r="G84" s="394">
        <v>2</v>
      </c>
      <c r="H84" s="394">
        <v>2</v>
      </c>
      <c r="I84" s="394">
        <v>6</v>
      </c>
      <c r="J84" s="385">
        <v>50</v>
      </c>
      <c r="K84" s="395">
        <v>12.5</v>
      </c>
      <c r="L84" s="338" t="s">
        <v>249</v>
      </c>
    </row>
    <row r="85" spans="1:12" ht="15" customHeight="1">
      <c r="A85" s="390" t="s">
        <v>1424</v>
      </c>
      <c r="B85" s="396" t="s">
        <v>1425</v>
      </c>
      <c r="C85" s="118" t="s">
        <v>51</v>
      </c>
      <c r="D85" s="379" t="s">
        <v>1466</v>
      </c>
      <c r="E85" s="392" t="s">
        <v>1467</v>
      </c>
      <c r="F85" s="393" t="s">
        <v>1338</v>
      </c>
      <c r="G85" s="394">
        <v>2</v>
      </c>
      <c r="H85" s="394">
        <v>2</v>
      </c>
      <c r="I85" s="394">
        <v>6</v>
      </c>
      <c r="J85" s="385">
        <v>50</v>
      </c>
      <c r="K85" s="395">
        <v>12.5</v>
      </c>
      <c r="L85" s="338" t="s">
        <v>249</v>
      </c>
    </row>
    <row r="86" spans="1:12" ht="15" customHeight="1">
      <c r="A86" s="390" t="s">
        <v>1424</v>
      </c>
      <c r="B86" s="396" t="s">
        <v>1425</v>
      </c>
      <c r="C86" s="118" t="s">
        <v>51</v>
      </c>
      <c r="D86" s="379" t="s">
        <v>1468</v>
      </c>
      <c r="E86" s="392" t="s">
        <v>1469</v>
      </c>
      <c r="F86" s="393" t="s">
        <v>1338</v>
      </c>
      <c r="G86" s="394">
        <v>2</v>
      </c>
      <c r="H86" s="394">
        <v>2</v>
      </c>
      <c r="I86" s="394">
        <v>6</v>
      </c>
      <c r="J86" s="385">
        <v>50</v>
      </c>
      <c r="K86" s="395">
        <v>12.5</v>
      </c>
      <c r="L86" s="338" t="s">
        <v>249</v>
      </c>
    </row>
    <row r="87" spans="1:12" ht="15" customHeight="1">
      <c r="A87" s="390" t="s">
        <v>1424</v>
      </c>
      <c r="B87" s="396" t="s">
        <v>1425</v>
      </c>
      <c r="C87" s="118" t="s">
        <v>51</v>
      </c>
      <c r="D87" s="379" t="s">
        <v>1470</v>
      </c>
      <c r="E87" s="392" t="s">
        <v>1471</v>
      </c>
      <c r="F87" s="393" t="s">
        <v>1338</v>
      </c>
      <c r="G87" s="394">
        <v>2</v>
      </c>
      <c r="H87" s="394">
        <v>2</v>
      </c>
      <c r="I87" s="394">
        <v>6</v>
      </c>
      <c r="J87" s="385">
        <v>50</v>
      </c>
      <c r="K87" s="395">
        <v>12.5</v>
      </c>
      <c r="L87" s="338" t="s">
        <v>249</v>
      </c>
    </row>
    <row r="88" spans="1:12" ht="15" customHeight="1">
      <c r="A88" s="390" t="s">
        <v>1424</v>
      </c>
      <c r="B88" s="396" t="s">
        <v>1425</v>
      </c>
      <c r="C88" s="118" t="s">
        <v>51</v>
      </c>
      <c r="D88" s="379" t="s">
        <v>1472</v>
      </c>
      <c r="E88" s="392" t="s">
        <v>1473</v>
      </c>
      <c r="F88" s="393" t="s">
        <v>1338</v>
      </c>
      <c r="G88" s="394">
        <v>2</v>
      </c>
      <c r="H88" s="394">
        <v>2</v>
      </c>
      <c r="I88" s="394">
        <v>6</v>
      </c>
      <c r="J88" s="385">
        <v>50</v>
      </c>
      <c r="K88" s="395">
        <v>12.5</v>
      </c>
      <c r="L88" s="338" t="s">
        <v>249</v>
      </c>
    </row>
    <row r="89" spans="1:12" ht="15" customHeight="1">
      <c r="A89" s="390" t="s">
        <v>1424</v>
      </c>
      <c r="B89" s="396" t="s">
        <v>1425</v>
      </c>
      <c r="C89" s="118" t="s">
        <v>51</v>
      </c>
      <c r="D89" s="379" t="s">
        <v>1474</v>
      </c>
      <c r="E89" s="392" t="s">
        <v>1475</v>
      </c>
      <c r="F89" s="393" t="s">
        <v>1338</v>
      </c>
      <c r="G89" s="394">
        <v>2</v>
      </c>
      <c r="H89" s="394">
        <v>2</v>
      </c>
      <c r="I89" s="394">
        <v>6</v>
      </c>
      <c r="J89" s="385">
        <v>50</v>
      </c>
      <c r="K89" s="395">
        <v>12.5</v>
      </c>
      <c r="L89" s="338" t="s">
        <v>249</v>
      </c>
    </row>
    <row r="90" spans="1:12" ht="15" customHeight="1">
      <c r="A90" s="390" t="s">
        <v>1424</v>
      </c>
      <c r="B90" s="396" t="s">
        <v>1425</v>
      </c>
      <c r="C90" s="118" t="s">
        <v>51</v>
      </c>
      <c r="D90" s="379" t="s">
        <v>1476</v>
      </c>
      <c r="E90" s="392" t="s">
        <v>1477</v>
      </c>
      <c r="F90" s="393" t="s">
        <v>1338</v>
      </c>
      <c r="G90" s="394">
        <v>2</v>
      </c>
      <c r="H90" s="394">
        <v>2</v>
      </c>
      <c r="I90" s="394">
        <v>6</v>
      </c>
      <c r="J90" s="385">
        <v>50</v>
      </c>
      <c r="K90" s="395">
        <v>12.5</v>
      </c>
      <c r="L90" s="338" t="s">
        <v>249</v>
      </c>
    </row>
    <row r="91" spans="1:12" ht="15" customHeight="1">
      <c r="A91" s="390" t="s">
        <v>1424</v>
      </c>
      <c r="B91" s="396" t="s">
        <v>1425</v>
      </c>
      <c r="C91" s="118" t="s">
        <v>51</v>
      </c>
      <c r="D91" s="379" t="s">
        <v>1478</v>
      </c>
      <c r="E91" s="392" t="s">
        <v>1479</v>
      </c>
      <c r="F91" s="393" t="s">
        <v>1338</v>
      </c>
      <c r="G91" s="394">
        <v>2</v>
      </c>
      <c r="H91" s="394">
        <v>2</v>
      </c>
      <c r="I91" s="394">
        <v>6</v>
      </c>
      <c r="J91" s="385">
        <v>50</v>
      </c>
      <c r="K91" s="395">
        <v>12.5</v>
      </c>
      <c r="L91" s="338" t="s">
        <v>249</v>
      </c>
    </row>
    <row r="92" spans="1:12" ht="15" customHeight="1">
      <c r="A92" s="390" t="s">
        <v>1424</v>
      </c>
      <c r="B92" s="396" t="s">
        <v>1425</v>
      </c>
      <c r="C92" s="118" t="s">
        <v>51</v>
      </c>
      <c r="D92" s="379" t="s">
        <v>1480</v>
      </c>
      <c r="E92" s="392" t="s">
        <v>1481</v>
      </c>
      <c r="F92" s="393" t="s">
        <v>1338</v>
      </c>
      <c r="G92" s="394">
        <v>2</v>
      </c>
      <c r="H92" s="394">
        <v>2</v>
      </c>
      <c r="I92" s="394">
        <v>6</v>
      </c>
      <c r="J92" s="385">
        <v>50</v>
      </c>
      <c r="K92" s="395">
        <v>12.5</v>
      </c>
      <c r="L92" s="338" t="s">
        <v>249</v>
      </c>
    </row>
    <row r="93" spans="1:12" ht="15" customHeight="1">
      <c r="A93" s="390" t="s">
        <v>1424</v>
      </c>
      <c r="B93" s="396" t="s">
        <v>1425</v>
      </c>
      <c r="C93" s="118" t="s">
        <v>51</v>
      </c>
      <c r="D93" s="379" t="s">
        <v>1482</v>
      </c>
      <c r="E93" s="392" t="s">
        <v>1483</v>
      </c>
      <c r="F93" s="393" t="s">
        <v>1338</v>
      </c>
      <c r="G93" s="394">
        <v>2</v>
      </c>
      <c r="H93" s="394">
        <v>2</v>
      </c>
      <c r="I93" s="394">
        <v>6</v>
      </c>
      <c r="J93" s="385">
        <v>50</v>
      </c>
      <c r="K93" s="395">
        <v>12.5</v>
      </c>
      <c r="L93" s="338" t="s">
        <v>249</v>
      </c>
    </row>
    <row r="94" spans="1:12" ht="15" customHeight="1">
      <c r="A94" s="390" t="s">
        <v>1424</v>
      </c>
      <c r="B94" s="396" t="s">
        <v>1425</v>
      </c>
      <c r="C94" s="118" t="s">
        <v>51</v>
      </c>
      <c r="D94" s="379" t="s">
        <v>1484</v>
      </c>
      <c r="E94" s="392" t="s">
        <v>1485</v>
      </c>
      <c r="F94" s="393" t="s">
        <v>1338</v>
      </c>
      <c r="G94" s="394">
        <v>2</v>
      </c>
      <c r="H94" s="394">
        <v>2</v>
      </c>
      <c r="I94" s="394">
        <v>6</v>
      </c>
      <c r="J94" s="385">
        <v>50</v>
      </c>
      <c r="K94" s="395">
        <v>12.5</v>
      </c>
      <c r="L94" s="338" t="s">
        <v>249</v>
      </c>
    </row>
    <row r="95" spans="1:12" ht="15" customHeight="1">
      <c r="A95" s="390" t="s">
        <v>1424</v>
      </c>
      <c r="B95" s="396" t="s">
        <v>1425</v>
      </c>
      <c r="C95" s="118" t="s">
        <v>51</v>
      </c>
      <c r="D95" s="379" t="s">
        <v>1486</v>
      </c>
      <c r="E95" s="392" t="s">
        <v>1487</v>
      </c>
      <c r="F95" s="393" t="s">
        <v>1338</v>
      </c>
      <c r="G95" s="394">
        <v>2</v>
      </c>
      <c r="H95" s="394">
        <v>2</v>
      </c>
      <c r="I95" s="394">
        <v>6</v>
      </c>
      <c r="J95" s="385">
        <v>50</v>
      </c>
      <c r="K95" s="395">
        <v>12.5</v>
      </c>
      <c r="L95" s="338" t="s">
        <v>249</v>
      </c>
    </row>
    <row r="96" spans="1:12" ht="15" customHeight="1">
      <c r="A96" s="390" t="s">
        <v>1424</v>
      </c>
      <c r="B96" s="396" t="s">
        <v>1425</v>
      </c>
      <c r="C96" s="118" t="s">
        <v>51</v>
      </c>
      <c r="D96" s="379" t="s">
        <v>1488</v>
      </c>
      <c r="E96" s="392" t="s">
        <v>1489</v>
      </c>
      <c r="F96" s="393" t="s">
        <v>1338</v>
      </c>
      <c r="G96" s="394">
        <v>2</v>
      </c>
      <c r="H96" s="394">
        <v>2</v>
      </c>
      <c r="I96" s="394">
        <v>6</v>
      </c>
      <c r="J96" s="385">
        <v>50</v>
      </c>
      <c r="K96" s="395">
        <v>12.5</v>
      </c>
      <c r="L96" s="338" t="s">
        <v>249</v>
      </c>
    </row>
    <row r="97" spans="1:12" ht="15" customHeight="1">
      <c r="A97" s="390" t="s">
        <v>1424</v>
      </c>
      <c r="B97" s="396" t="s">
        <v>1425</v>
      </c>
      <c r="C97" s="118" t="s">
        <v>51</v>
      </c>
      <c r="D97" s="379" t="s">
        <v>1490</v>
      </c>
      <c r="E97" s="392" t="s">
        <v>1491</v>
      </c>
      <c r="F97" s="393" t="s">
        <v>1338</v>
      </c>
      <c r="G97" s="394">
        <v>2</v>
      </c>
      <c r="H97" s="394">
        <v>2</v>
      </c>
      <c r="I97" s="394">
        <v>6</v>
      </c>
      <c r="J97" s="385">
        <v>50</v>
      </c>
      <c r="K97" s="395">
        <v>12.5</v>
      </c>
      <c r="L97" s="338" t="s">
        <v>249</v>
      </c>
    </row>
    <row r="98" spans="1:12" ht="15" customHeight="1">
      <c r="A98" s="390" t="s">
        <v>1424</v>
      </c>
      <c r="B98" s="396" t="s">
        <v>1425</v>
      </c>
      <c r="C98" s="118" t="s">
        <v>51</v>
      </c>
      <c r="D98" s="379" t="s">
        <v>1492</v>
      </c>
      <c r="E98" s="392" t="s">
        <v>1493</v>
      </c>
      <c r="F98" s="393" t="s">
        <v>1338</v>
      </c>
      <c r="G98" s="394">
        <v>2</v>
      </c>
      <c r="H98" s="394">
        <v>2</v>
      </c>
      <c r="I98" s="394">
        <v>6</v>
      </c>
      <c r="J98" s="385">
        <v>50</v>
      </c>
      <c r="K98" s="395">
        <v>12.5</v>
      </c>
      <c r="L98" s="338" t="s">
        <v>249</v>
      </c>
    </row>
    <row r="99" spans="1:12" ht="15" customHeight="1">
      <c r="A99" s="390" t="s">
        <v>1424</v>
      </c>
      <c r="B99" s="396" t="s">
        <v>1425</v>
      </c>
      <c r="C99" s="118" t="s">
        <v>51</v>
      </c>
      <c r="D99" s="379" t="s">
        <v>1494</v>
      </c>
      <c r="E99" s="392" t="s">
        <v>1495</v>
      </c>
      <c r="F99" s="393" t="s">
        <v>1338</v>
      </c>
      <c r="G99" s="394">
        <v>2</v>
      </c>
      <c r="H99" s="394">
        <v>2</v>
      </c>
      <c r="I99" s="394">
        <v>6</v>
      </c>
      <c r="J99" s="385">
        <v>50</v>
      </c>
      <c r="K99" s="395">
        <v>12.5</v>
      </c>
      <c r="L99" s="338" t="s">
        <v>249</v>
      </c>
    </row>
    <row r="100" spans="1:12" ht="15" customHeight="1">
      <c r="A100" s="390" t="s">
        <v>1424</v>
      </c>
      <c r="B100" s="396" t="s">
        <v>1425</v>
      </c>
      <c r="C100" s="118" t="s">
        <v>51</v>
      </c>
      <c r="D100" s="379" t="s">
        <v>1496</v>
      </c>
      <c r="E100" s="392" t="s">
        <v>1497</v>
      </c>
      <c r="F100" s="393" t="s">
        <v>1338</v>
      </c>
      <c r="G100" s="394">
        <v>2</v>
      </c>
      <c r="H100" s="394">
        <v>2</v>
      </c>
      <c r="I100" s="394">
        <v>6</v>
      </c>
      <c r="J100" s="385">
        <v>50</v>
      </c>
      <c r="K100" s="395">
        <v>12.5</v>
      </c>
      <c r="L100" s="338" t="s">
        <v>249</v>
      </c>
    </row>
    <row r="101" spans="1:12" ht="15" customHeight="1">
      <c r="A101" s="390" t="s">
        <v>1424</v>
      </c>
      <c r="B101" s="396" t="s">
        <v>1425</v>
      </c>
      <c r="C101" s="118" t="s">
        <v>51</v>
      </c>
      <c r="D101" s="379" t="s">
        <v>1498</v>
      </c>
      <c r="E101" s="392" t="s">
        <v>1499</v>
      </c>
      <c r="F101" s="393" t="s">
        <v>1338</v>
      </c>
      <c r="G101" s="394">
        <v>2</v>
      </c>
      <c r="H101" s="394">
        <v>2</v>
      </c>
      <c r="I101" s="394">
        <v>6</v>
      </c>
      <c r="J101" s="385">
        <v>50</v>
      </c>
      <c r="K101" s="395">
        <v>12.5</v>
      </c>
      <c r="L101" s="338" t="s">
        <v>249</v>
      </c>
    </row>
    <row r="102" spans="1:12" ht="15" customHeight="1">
      <c r="A102" s="390" t="s">
        <v>1424</v>
      </c>
      <c r="B102" s="396" t="s">
        <v>1425</v>
      </c>
      <c r="C102" s="118" t="s">
        <v>51</v>
      </c>
      <c r="D102" s="379" t="s">
        <v>1500</v>
      </c>
      <c r="E102" s="392" t="s">
        <v>1501</v>
      </c>
      <c r="F102" s="393" t="s">
        <v>1338</v>
      </c>
      <c r="G102" s="394">
        <v>2</v>
      </c>
      <c r="H102" s="394">
        <v>2</v>
      </c>
      <c r="I102" s="394">
        <v>6</v>
      </c>
      <c r="J102" s="385">
        <v>50</v>
      </c>
      <c r="K102" s="395">
        <v>12.5</v>
      </c>
      <c r="L102" s="338" t="s">
        <v>249</v>
      </c>
    </row>
    <row r="103" spans="1:12" ht="15" customHeight="1">
      <c r="A103" s="390" t="s">
        <v>1424</v>
      </c>
      <c r="B103" s="396" t="s">
        <v>1425</v>
      </c>
      <c r="C103" s="118" t="s">
        <v>51</v>
      </c>
      <c r="D103" s="379" t="s">
        <v>1502</v>
      </c>
      <c r="E103" s="392" t="s">
        <v>1503</v>
      </c>
      <c r="F103" s="393" t="s">
        <v>1338</v>
      </c>
      <c r="G103" s="394">
        <v>2</v>
      </c>
      <c r="H103" s="394">
        <v>2</v>
      </c>
      <c r="I103" s="394">
        <v>6</v>
      </c>
      <c r="J103" s="385">
        <v>50</v>
      </c>
      <c r="K103" s="395">
        <v>12.5</v>
      </c>
      <c r="L103" s="338" t="s">
        <v>249</v>
      </c>
    </row>
    <row r="104" spans="1:12" ht="15" customHeight="1">
      <c r="A104" s="390" t="s">
        <v>1504</v>
      </c>
      <c r="B104" s="396" t="s">
        <v>1505</v>
      </c>
      <c r="C104" s="118" t="s">
        <v>51</v>
      </c>
      <c r="D104" s="379" t="s">
        <v>1506</v>
      </c>
      <c r="E104" s="392" t="s">
        <v>1507</v>
      </c>
      <c r="F104" s="393" t="s">
        <v>1338</v>
      </c>
      <c r="G104" s="394">
        <v>4</v>
      </c>
      <c r="H104" s="394">
        <v>2</v>
      </c>
      <c r="I104" s="394">
        <v>5</v>
      </c>
      <c r="J104" s="385">
        <v>50</v>
      </c>
      <c r="K104" s="395">
        <v>12.5</v>
      </c>
      <c r="L104" s="338" t="s">
        <v>249</v>
      </c>
    </row>
    <row r="105" spans="1:12" ht="15" customHeight="1">
      <c r="A105" s="390" t="s">
        <v>1504</v>
      </c>
      <c r="B105" s="396" t="s">
        <v>1505</v>
      </c>
      <c r="C105" s="118" t="s">
        <v>51</v>
      </c>
      <c r="D105" s="379" t="s">
        <v>1508</v>
      </c>
      <c r="E105" s="392" t="s">
        <v>1509</v>
      </c>
      <c r="F105" s="393" t="s">
        <v>1338</v>
      </c>
      <c r="G105" s="394">
        <v>4</v>
      </c>
      <c r="H105" s="394">
        <v>2</v>
      </c>
      <c r="I105" s="394">
        <v>5</v>
      </c>
      <c r="J105" s="385">
        <v>50</v>
      </c>
      <c r="K105" s="395">
        <v>12.5</v>
      </c>
      <c r="L105" s="338" t="s">
        <v>249</v>
      </c>
    </row>
    <row r="106" spans="1:12" ht="15" customHeight="1">
      <c r="A106" s="390" t="s">
        <v>1504</v>
      </c>
      <c r="B106" s="396" t="s">
        <v>1505</v>
      </c>
      <c r="C106" s="118" t="s">
        <v>51</v>
      </c>
      <c r="D106" s="379" t="s">
        <v>1510</v>
      </c>
      <c r="E106" s="392" t="s">
        <v>1511</v>
      </c>
      <c r="F106" s="393" t="s">
        <v>1338</v>
      </c>
      <c r="G106" s="394">
        <v>4</v>
      </c>
      <c r="H106" s="394">
        <v>2</v>
      </c>
      <c r="I106" s="394">
        <v>5</v>
      </c>
      <c r="J106" s="385">
        <v>50</v>
      </c>
      <c r="K106" s="395">
        <v>12.5</v>
      </c>
      <c r="L106" s="338" t="s">
        <v>249</v>
      </c>
    </row>
    <row r="107" spans="1:12" ht="15" customHeight="1">
      <c r="A107" s="390" t="s">
        <v>1504</v>
      </c>
      <c r="B107" s="396" t="s">
        <v>1505</v>
      </c>
      <c r="C107" s="118" t="s">
        <v>51</v>
      </c>
      <c r="D107" s="379" t="s">
        <v>1512</v>
      </c>
      <c r="E107" s="392" t="s">
        <v>1513</v>
      </c>
      <c r="F107" s="393" t="s">
        <v>1338</v>
      </c>
      <c r="G107" s="394">
        <v>4</v>
      </c>
      <c r="H107" s="394">
        <v>2</v>
      </c>
      <c r="I107" s="394">
        <v>5</v>
      </c>
      <c r="J107" s="385">
        <v>50</v>
      </c>
      <c r="K107" s="395">
        <v>12.5</v>
      </c>
      <c r="L107" s="338" t="s">
        <v>249</v>
      </c>
    </row>
    <row r="108" spans="1:12" ht="15" customHeight="1">
      <c r="A108" s="390" t="s">
        <v>1514</v>
      </c>
      <c r="B108" s="396" t="s">
        <v>1515</v>
      </c>
      <c r="C108" s="118" t="s">
        <v>51</v>
      </c>
      <c r="D108" s="379" t="s">
        <v>1516</v>
      </c>
      <c r="E108" s="392" t="s">
        <v>1517</v>
      </c>
      <c r="F108" s="393" t="s">
        <v>1338</v>
      </c>
      <c r="G108" s="394">
        <v>6</v>
      </c>
      <c r="H108" s="394">
        <v>1</v>
      </c>
      <c r="I108" s="394">
        <v>6</v>
      </c>
      <c r="J108" s="385">
        <v>50</v>
      </c>
      <c r="K108" s="395">
        <v>4.16</v>
      </c>
      <c r="L108" s="338" t="s">
        <v>249</v>
      </c>
    </row>
    <row r="109" spans="1:12" ht="15" customHeight="1">
      <c r="A109" s="390" t="s">
        <v>1514</v>
      </c>
      <c r="B109" s="396" t="s">
        <v>1515</v>
      </c>
      <c r="C109" s="118" t="s">
        <v>51</v>
      </c>
      <c r="D109" s="379" t="s">
        <v>1518</v>
      </c>
      <c r="E109" s="392" t="s">
        <v>1519</v>
      </c>
      <c r="F109" s="393" t="s">
        <v>1338</v>
      </c>
      <c r="G109" s="394">
        <v>6</v>
      </c>
      <c r="H109" s="394">
        <v>1</v>
      </c>
      <c r="I109" s="394">
        <v>6</v>
      </c>
      <c r="J109" s="385">
        <v>50</v>
      </c>
      <c r="K109" s="395">
        <v>4.16</v>
      </c>
      <c r="L109" s="338" t="s">
        <v>249</v>
      </c>
    </row>
    <row r="110" spans="1:12" ht="15" customHeight="1">
      <c r="A110" s="390" t="s">
        <v>1514</v>
      </c>
      <c r="B110" s="396" t="s">
        <v>1515</v>
      </c>
      <c r="C110" s="118" t="s">
        <v>51</v>
      </c>
      <c r="D110" s="379" t="s">
        <v>1520</v>
      </c>
      <c r="E110" s="392" t="s">
        <v>1521</v>
      </c>
      <c r="F110" s="393" t="s">
        <v>1338</v>
      </c>
      <c r="G110" s="394">
        <v>6</v>
      </c>
      <c r="H110" s="394">
        <v>1</v>
      </c>
      <c r="I110" s="394">
        <v>6</v>
      </c>
      <c r="J110" s="385">
        <v>50</v>
      </c>
      <c r="K110" s="395">
        <v>4.16</v>
      </c>
      <c r="L110" s="338" t="s">
        <v>249</v>
      </c>
    </row>
    <row r="111" spans="1:12" ht="15" customHeight="1">
      <c r="A111" s="390" t="s">
        <v>1514</v>
      </c>
      <c r="B111" s="396" t="s">
        <v>1515</v>
      </c>
      <c r="C111" s="118" t="s">
        <v>51</v>
      </c>
      <c r="D111" s="379" t="s">
        <v>1522</v>
      </c>
      <c r="E111" s="392" t="s">
        <v>1523</v>
      </c>
      <c r="F111" s="393" t="s">
        <v>1338</v>
      </c>
      <c r="G111" s="394">
        <v>6</v>
      </c>
      <c r="H111" s="394">
        <v>1</v>
      </c>
      <c r="I111" s="394">
        <v>6</v>
      </c>
      <c r="J111" s="385">
        <v>50</v>
      </c>
      <c r="K111" s="395">
        <v>4.16</v>
      </c>
      <c r="L111" s="338" t="s">
        <v>249</v>
      </c>
    </row>
    <row r="112" spans="1:12" ht="15" customHeight="1">
      <c r="A112" s="390" t="s">
        <v>1514</v>
      </c>
      <c r="B112" s="396" t="s">
        <v>1515</v>
      </c>
      <c r="C112" s="118" t="s">
        <v>51</v>
      </c>
      <c r="D112" s="379" t="s">
        <v>1524</v>
      </c>
      <c r="E112" s="392" t="s">
        <v>1525</v>
      </c>
      <c r="F112" s="393" t="s">
        <v>1338</v>
      </c>
      <c r="G112" s="394">
        <v>6</v>
      </c>
      <c r="H112" s="394">
        <v>1</v>
      </c>
      <c r="I112" s="394">
        <v>6</v>
      </c>
      <c r="J112" s="385">
        <v>50</v>
      </c>
      <c r="K112" s="395">
        <v>4.16</v>
      </c>
      <c r="L112" s="338" t="s">
        <v>249</v>
      </c>
    </row>
    <row r="113" spans="1:12" ht="15" customHeight="1">
      <c r="A113" s="390" t="s">
        <v>1514</v>
      </c>
      <c r="B113" s="396" t="s">
        <v>1515</v>
      </c>
      <c r="C113" s="118" t="s">
        <v>51</v>
      </c>
      <c r="D113" s="379" t="s">
        <v>1526</v>
      </c>
      <c r="E113" s="392" t="s">
        <v>1527</v>
      </c>
      <c r="F113" s="393" t="s">
        <v>1338</v>
      </c>
      <c r="G113" s="394">
        <v>6</v>
      </c>
      <c r="H113" s="394">
        <v>1</v>
      </c>
      <c r="I113" s="394">
        <v>6</v>
      </c>
      <c r="J113" s="385">
        <v>50</v>
      </c>
      <c r="K113" s="395">
        <v>4.16</v>
      </c>
      <c r="L113" s="338" t="s">
        <v>249</v>
      </c>
    </row>
    <row r="114" spans="1:12" ht="15" customHeight="1">
      <c r="A114" s="390" t="s">
        <v>1514</v>
      </c>
      <c r="B114" s="396" t="s">
        <v>1515</v>
      </c>
      <c r="C114" s="118" t="s">
        <v>51</v>
      </c>
      <c r="D114" s="379" t="s">
        <v>1528</v>
      </c>
      <c r="E114" s="392" t="s">
        <v>1529</v>
      </c>
      <c r="F114" s="393" t="s">
        <v>1338</v>
      </c>
      <c r="G114" s="394">
        <v>6</v>
      </c>
      <c r="H114" s="394">
        <v>1</v>
      </c>
      <c r="I114" s="394">
        <v>6</v>
      </c>
      <c r="J114" s="385">
        <v>50</v>
      </c>
      <c r="K114" s="395">
        <v>4.16</v>
      </c>
      <c r="L114" s="338" t="s">
        <v>249</v>
      </c>
    </row>
    <row r="115" spans="1:12" ht="15" customHeight="1">
      <c r="A115" s="390" t="s">
        <v>1514</v>
      </c>
      <c r="B115" s="396" t="s">
        <v>1515</v>
      </c>
      <c r="C115" s="118" t="s">
        <v>51</v>
      </c>
      <c r="D115" s="379" t="s">
        <v>1530</v>
      </c>
      <c r="E115" s="392" t="s">
        <v>1531</v>
      </c>
      <c r="F115" s="393" t="s">
        <v>1338</v>
      </c>
      <c r="G115" s="394">
        <v>6</v>
      </c>
      <c r="H115" s="394">
        <v>1</v>
      </c>
      <c r="I115" s="394">
        <v>6</v>
      </c>
      <c r="J115" s="385">
        <v>50</v>
      </c>
      <c r="K115" s="395">
        <v>4.16</v>
      </c>
      <c r="L115" s="338" t="s">
        <v>249</v>
      </c>
    </row>
    <row r="116" spans="1:12" ht="15" customHeight="1">
      <c r="A116" s="390" t="s">
        <v>1514</v>
      </c>
      <c r="B116" s="396" t="s">
        <v>1515</v>
      </c>
      <c r="C116" s="118" t="s">
        <v>51</v>
      </c>
      <c r="D116" s="379" t="s">
        <v>1532</v>
      </c>
      <c r="E116" s="392" t="s">
        <v>1533</v>
      </c>
      <c r="F116" s="393" t="s">
        <v>1338</v>
      </c>
      <c r="G116" s="394">
        <v>6</v>
      </c>
      <c r="H116" s="394">
        <v>1</v>
      </c>
      <c r="I116" s="394">
        <v>6</v>
      </c>
      <c r="J116" s="385">
        <v>50</v>
      </c>
      <c r="K116" s="395">
        <v>4.16</v>
      </c>
      <c r="L116" s="338" t="s">
        <v>249</v>
      </c>
    </row>
    <row r="117" spans="1:12" ht="15" customHeight="1">
      <c r="A117" s="390" t="s">
        <v>1514</v>
      </c>
      <c r="B117" s="396" t="s">
        <v>1515</v>
      </c>
      <c r="C117" s="118" t="s">
        <v>51</v>
      </c>
      <c r="D117" s="379" t="s">
        <v>1534</v>
      </c>
      <c r="E117" s="392" t="s">
        <v>1535</v>
      </c>
      <c r="F117" s="393" t="s">
        <v>1338</v>
      </c>
      <c r="G117" s="394">
        <v>6</v>
      </c>
      <c r="H117" s="394">
        <v>1</v>
      </c>
      <c r="I117" s="394">
        <v>6</v>
      </c>
      <c r="J117" s="385">
        <v>50</v>
      </c>
      <c r="K117" s="395">
        <v>4.16</v>
      </c>
      <c r="L117" s="338" t="s">
        <v>249</v>
      </c>
    </row>
    <row r="118" spans="1:12" ht="15" customHeight="1">
      <c r="A118" s="390" t="s">
        <v>1514</v>
      </c>
      <c r="B118" s="396" t="s">
        <v>1515</v>
      </c>
      <c r="C118" s="118" t="s">
        <v>51</v>
      </c>
      <c r="D118" s="379" t="s">
        <v>1536</v>
      </c>
      <c r="E118" s="392" t="s">
        <v>1537</v>
      </c>
      <c r="F118" s="393" t="s">
        <v>1338</v>
      </c>
      <c r="G118" s="394">
        <v>6</v>
      </c>
      <c r="H118" s="394">
        <v>1</v>
      </c>
      <c r="I118" s="394">
        <v>6</v>
      </c>
      <c r="J118" s="385">
        <v>50</v>
      </c>
      <c r="K118" s="395">
        <v>4.16</v>
      </c>
      <c r="L118" s="338" t="s">
        <v>249</v>
      </c>
    </row>
    <row r="119" spans="1:12" ht="15" customHeight="1">
      <c r="A119" s="390" t="s">
        <v>1514</v>
      </c>
      <c r="B119" s="396" t="s">
        <v>1515</v>
      </c>
      <c r="C119" s="118" t="s">
        <v>51</v>
      </c>
      <c r="D119" s="379" t="s">
        <v>1538</v>
      </c>
      <c r="E119" s="392" t="s">
        <v>1539</v>
      </c>
      <c r="F119" s="393" t="s">
        <v>1338</v>
      </c>
      <c r="G119" s="394">
        <v>6</v>
      </c>
      <c r="H119" s="394">
        <v>1</v>
      </c>
      <c r="I119" s="394">
        <v>6</v>
      </c>
      <c r="J119" s="385">
        <v>50</v>
      </c>
      <c r="K119" s="395">
        <v>4.16</v>
      </c>
      <c r="L119" s="338" t="s">
        <v>249</v>
      </c>
    </row>
    <row r="120" spans="1:12" ht="15" customHeight="1">
      <c r="A120" s="390" t="s">
        <v>1514</v>
      </c>
      <c r="B120" s="396" t="s">
        <v>1515</v>
      </c>
      <c r="C120" s="118" t="s">
        <v>51</v>
      </c>
      <c r="D120" s="379" t="s">
        <v>1540</v>
      </c>
      <c r="E120" s="392" t="s">
        <v>1541</v>
      </c>
      <c r="F120" s="393" t="s">
        <v>1338</v>
      </c>
      <c r="G120" s="394">
        <v>6</v>
      </c>
      <c r="H120" s="394">
        <v>1</v>
      </c>
      <c r="I120" s="394">
        <v>6</v>
      </c>
      <c r="J120" s="385">
        <v>50</v>
      </c>
      <c r="K120" s="395">
        <v>4.16</v>
      </c>
      <c r="L120" s="338" t="s">
        <v>249</v>
      </c>
    </row>
    <row r="121" spans="1:12" ht="15" customHeight="1">
      <c r="A121" s="390" t="s">
        <v>1542</v>
      </c>
      <c r="B121" s="396" t="s">
        <v>1543</v>
      </c>
      <c r="C121" s="118" t="s">
        <v>51</v>
      </c>
      <c r="D121" s="379" t="s">
        <v>1544</v>
      </c>
      <c r="E121" s="392" t="s">
        <v>1545</v>
      </c>
      <c r="F121" s="393" t="s">
        <v>1338</v>
      </c>
      <c r="G121" s="394">
        <v>3</v>
      </c>
      <c r="H121" s="394">
        <v>1</v>
      </c>
      <c r="I121" s="394">
        <v>3</v>
      </c>
      <c r="J121" s="385">
        <v>50</v>
      </c>
      <c r="K121" s="395">
        <v>16.66</v>
      </c>
      <c r="L121" s="338" t="s">
        <v>249</v>
      </c>
    </row>
    <row r="122" spans="1:12" ht="15" customHeight="1">
      <c r="A122" s="390" t="s">
        <v>1546</v>
      </c>
      <c r="B122" s="396" t="s">
        <v>1547</v>
      </c>
      <c r="C122" s="118" t="s">
        <v>51</v>
      </c>
      <c r="D122" s="379" t="s">
        <v>1548</v>
      </c>
      <c r="E122" s="392" t="s">
        <v>1549</v>
      </c>
      <c r="F122" s="393" t="s">
        <v>1338</v>
      </c>
      <c r="G122" s="394">
        <v>2</v>
      </c>
      <c r="H122" s="394">
        <v>2</v>
      </c>
      <c r="I122" s="394">
        <v>2</v>
      </c>
      <c r="J122" s="385">
        <v>50</v>
      </c>
      <c r="K122" s="395">
        <v>12.5</v>
      </c>
      <c r="L122" s="338" t="s">
        <v>249</v>
      </c>
    </row>
    <row r="123" spans="1:12" ht="15" customHeight="1">
      <c r="A123" s="390" t="s">
        <v>1546</v>
      </c>
      <c r="B123" s="396" t="s">
        <v>1547</v>
      </c>
      <c r="C123" s="118" t="s">
        <v>51</v>
      </c>
      <c r="D123" s="379" t="s">
        <v>1550</v>
      </c>
      <c r="E123" s="392" t="s">
        <v>1551</v>
      </c>
      <c r="F123" s="393" t="s">
        <v>1338</v>
      </c>
      <c r="G123" s="394">
        <v>2</v>
      </c>
      <c r="H123" s="394">
        <v>2</v>
      </c>
      <c r="I123" s="394">
        <v>2</v>
      </c>
      <c r="J123" s="385">
        <v>50</v>
      </c>
      <c r="K123" s="395">
        <v>12.5</v>
      </c>
      <c r="L123" s="338" t="s">
        <v>249</v>
      </c>
    </row>
    <row r="124" spans="1:12" ht="15" customHeight="1">
      <c r="A124" s="390" t="s">
        <v>1546</v>
      </c>
      <c r="B124" s="396" t="s">
        <v>1547</v>
      </c>
      <c r="C124" s="118" t="s">
        <v>51</v>
      </c>
      <c r="D124" s="379" t="s">
        <v>1552</v>
      </c>
      <c r="E124" s="392" t="s">
        <v>1553</v>
      </c>
      <c r="F124" s="393" t="s">
        <v>1338</v>
      </c>
      <c r="G124" s="394">
        <v>2</v>
      </c>
      <c r="H124" s="394">
        <v>2</v>
      </c>
      <c r="I124" s="394">
        <v>2</v>
      </c>
      <c r="J124" s="385">
        <v>50</v>
      </c>
      <c r="K124" s="395">
        <v>12.5</v>
      </c>
      <c r="L124" s="338" t="s">
        <v>249</v>
      </c>
    </row>
    <row r="125" spans="1:12" ht="15" customHeight="1">
      <c r="A125" s="390" t="s">
        <v>1546</v>
      </c>
      <c r="B125" s="396" t="s">
        <v>1547</v>
      </c>
      <c r="C125" s="118" t="s">
        <v>51</v>
      </c>
      <c r="D125" s="379" t="s">
        <v>1540</v>
      </c>
      <c r="E125" s="392" t="s">
        <v>1541</v>
      </c>
      <c r="F125" s="393" t="s">
        <v>1338</v>
      </c>
      <c r="G125" s="394">
        <v>2</v>
      </c>
      <c r="H125" s="394">
        <v>2</v>
      </c>
      <c r="I125" s="394">
        <v>2</v>
      </c>
      <c r="J125" s="385">
        <v>50</v>
      </c>
      <c r="K125" s="395">
        <v>12.5</v>
      </c>
      <c r="L125" s="338" t="s">
        <v>249</v>
      </c>
    </row>
    <row r="126" spans="1:12" ht="15" customHeight="1">
      <c r="A126" s="390" t="s">
        <v>1554</v>
      </c>
      <c r="B126" s="396" t="s">
        <v>1555</v>
      </c>
      <c r="C126" s="118" t="s">
        <v>51</v>
      </c>
      <c r="D126" s="379" t="s">
        <v>1556</v>
      </c>
      <c r="E126" s="392" t="s">
        <v>1557</v>
      </c>
      <c r="F126" s="393" t="s">
        <v>1338</v>
      </c>
      <c r="G126" s="394">
        <v>5</v>
      </c>
      <c r="H126" s="394">
        <v>1</v>
      </c>
      <c r="I126" s="394">
        <v>5</v>
      </c>
      <c r="J126" s="385">
        <v>50</v>
      </c>
      <c r="K126" s="395">
        <v>5</v>
      </c>
      <c r="L126" s="338" t="s">
        <v>249</v>
      </c>
    </row>
    <row r="127" spans="1:12" ht="15" customHeight="1">
      <c r="A127" s="390" t="s">
        <v>1554</v>
      </c>
      <c r="B127" s="396" t="s">
        <v>1555</v>
      </c>
      <c r="C127" s="118" t="s">
        <v>51</v>
      </c>
      <c r="D127" s="379" t="s">
        <v>1558</v>
      </c>
      <c r="E127" s="392" t="s">
        <v>1559</v>
      </c>
      <c r="F127" s="393" t="s">
        <v>1338</v>
      </c>
      <c r="G127" s="394">
        <v>5</v>
      </c>
      <c r="H127" s="394">
        <v>1</v>
      </c>
      <c r="I127" s="394">
        <v>5</v>
      </c>
      <c r="J127" s="385">
        <v>50</v>
      </c>
      <c r="K127" s="395">
        <v>5</v>
      </c>
      <c r="L127" s="338" t="s">
        <v>249</v>
      </c>
    </row>
    <row r="128" spans="1:12" ht="15" customHeight="1">
      <c r="A128" s="390" t="s">
        <v>1554</v>
      </c>
      <c r="B128" s="396" t="s">
        <v>1555</v>
      </c>
      <c r="C128" s="118" t="s">
        <v>51</v>
      </c>
      <c r="D128" s="379" t="s">
        <v>1560</v>
      </c>
      <c r="E128" s="392" t="s">
        <v>1561</v>
      </c>
      <c r="F128" s="393" t="s">
        <v>1338</v>
      </c>
      <c r="G128" s="394">
        <v>5</v>
      </c>
      <c r="H128" s="394">
        <v>1</v>
      </c>
      <c r="I128" s="394">
        <v>5</v>
      </c>
      <c r="J128" s="385">
        <v>50</v>
      </c>
      <c r="K128" s="395">
        <v>5</v>
      </c>
      <c r="L128" s="338" t="s">
        <v>249</v>
      </c>
    </row>
    <row r="129" spans="1:12" ht="15" customHeight="1">
      <c r="A129" s="390" t="s">
        <v>1554</v>
      </c>
      <c r="B129" s="396" t="s">
        <v>1555</v>
      </c>
      <c r="C129" s="118" t="s">
        <v>51</v>
      </c>
      <c r="D129" s="379" t="s">
        <v>1532</v>
      </c>
      <c r="E129" s="392" t="s">
        <v>1533</v>
      </c>
      <c r="F129" s="393" t="s">
        <v>1338</v>
      </c>
      <c r="G129" s="394">
        <v>5</v>
      </c>
      <c r="H129" s="394">
        <v>1</v>
      </c>
      <c r="I129" s="394">
        <v>5</v>
      </c>
      <c r="J129" s="385">
        <v>50</v>
      </c>
      <c r="K129" s="395">
        <v>5</v>
      </c>
      <c r="L129" s="338" t="s">
        <v>249</v>
      </c>
    </row>
    <row r="130" spans="1:12" ht="15" customHeight="1">
      <c r="A130" s="390" t="s">
        <v>1554</v>
      </c>
      <c r="B130" s="396" t="s">
        <v>1555</v>
      </c>
      <c r="C130" s="118" t="s">
        <v>51</v>
      </c>
      <c r="D130" s="379" t="s">
        <v>1562</v>
      </c>
      <c r="E130" s="392" t="s">
        <v>1563</v>
      </c>
      <c r="F130" s="393" t="s">
        <v>1338</v>
      </c>
      <c r="G130" s="394">
        <v>5</v>
      </c>
      <c r="H130" s="394">
        <v>1</v>
      </c>
      <c r="I130" s="394">
        <v>5</v>
      </c>
      <c r="J130" s="385">
        <v>50</v>
      </c>
      <c r="K130" s="395">
        <v>5</v>
      </c>
      <c r="L130" s="338" t="s">
        <v>249</v>
      </c>
    </row>
    <row r="131" spans="1:12" ht="15" customHeight="1">
      <c r="A131" s="390" t="s">
        <v>1564</v>
      </c>
      <c r="B131" s="396" t="s">
        <v>1565</v>
      </c>
      <c r="C131" s="118" t="s">
        <v>51</v>
      </c>
      <c r="D131" s="379" t="s">
        <v>1566</v>
      </c>
      <c r="E131" s="392" t="s">
        <v>1567</v>
      </c>
      <c r="F131" s="393" t="s">
        <v>1338</v>
      </c>
      <c r="G131" s="394">
        <v>2</v>
      </c>
      <c r="H131" s="394">
        <v>1</v>
      </c>
      <c r="I131" s="394">
        <v>2</v>
      </c>
      <c r="J131" s="385">
        <v>50</v>
      </c>
      <c r="K131" s="395">
        <v>25</v>
      </c>
      <c r="L131" s="338" t="s">
        <v>249</v>
      </c>
    </row>
    <row r="132" spans="1:12" ht="15" customHeight="1">
      <c r="A132" s="390" t="s">
        <v>1564</v>
      </c>
      <c r="B132" s="396" t="s">
        <v>1565</v>
      </c>
      <c r="C132" s="118" t="s">
        <v>51</v>
      </c>
      <c r="D132" s="379" t="s">
        <v>1568</v>
      </c>
      <c r="E132" s="392" t="s">
        <v>1569</v>
      </c>
      <c r="F132" s="393" t="s">
        <v>1338</v>
      </c>
      <c r="G132" s="394">
        <v>2</v>
      </c>
      <c r="H132" s="394">
        <v>1</v>
      </c>
      <c r="I132" s="394">
        <v>2</v>
      </c>
      <c r="J132" s="385">
        <v>50</v>
      </c>
      <c r="K132" s="395">
        <v>25</v>
      </c>
      <c r="L132" s="338" t="s">
        <v>249</v>
      </c>
    </row>
    <row r="133" spans="1:12" ht="15" customHeight="1">
      <c r="A133" s="390" t="s">
        <v>1570</v>
      </c>
      <c r="B133" s="396" t="s">
        <v>1571</v>
      </c>
      <c r="C133" s="118" t="s">
        <v>51</v>
      </c>
      <c r="D133" s="379" t="s">
        <v>1572</v>
      </c>
      <c r="E133" s="392" t="s">
        <v>1573</v>
      </c>
      <c r="F133" s="393" t="s">
        <v>1338</v>
      </c>
      <c r="G133" s="394">
        <v>2</v>
      </c>
      <c r="H133" s="394">
        <v>2</v>
      </c>
      <c r="I133" s="394">
        <v>4</v>
      </c>
      <c r="J133" s="385">
        <v>50</v>
      </c>
      <c r="K133" s="395">
        <v>12.5</v>
      </c>
      <c r="L133" s="338" t="s">
        <v>249</v>
      </c>
    </row>
    <row r="134" spans="1:12" ht="15" customHeight="1">
      <c r="A134" s="390" t="s">
        <v>1574</v>
      </c>
      <c r="B134" s="396" t="s">
        <v>1575</v>
      </c>
      <c r="C134" s="118" t="s">
        <v>51</v>
      </c>
      <c r="D134" s="379" t="s">
        <v>1576</v>
      </c>
      <c r="E134" s="392" t="s">
        <v>1577</v>
      </c>
      <c r="F134" s="393" t="s">
        <v>1338</v>
      </c>
      <c r="G134" s="394">
        <v>2</v>
      </c>
      <c r="H134" s="394">
        <v>1</v>
      </c>
      <c r="I134" s="394">
        <v>2</v>
      </c>
      <c r="J134" s="385">
        <v>50</v>
      </c>
      <c r="K134" s="395">
        <v>25</v>
      </c>
      <c r="L134" s="338" t="s">
        <v>249</v>
      </c>
    </row>
    <row r="135" spans="1:12" ht="15" customHeight="1">
      <c r="A135" s="390" t="s">
        <v>1574</v>
      </c>
      <c r="B135" s="396" t="s">
        <v>1575</v>
      </c>
      <c r="C135" s="118" t="s">
        <v>51</v>
      </c>
      <c r="D135" s="379" t="s">
        <v>1578</v>
      </c>
      <c r="E135" s="392" t="s">
        <v>1579</v>
      </c>
      <c r="F135" s="393" t="s">
        <v>1338</v>
      </c>
      <c r="G135" s="394">
        <v>2</v>
      </c>
      <c r="H135" s="394">
        <v>1</v>
      </c>
      <c r="I135" s="394">
        <v>2</v>
      </c>
      <c r="J135" s="385">
        <v>50</v>
      </c>
      <c r="K135" s="395">
        <v>25</v>
      </c>
      <c r="L135" s="338" t="s">
        <v>249</v>
      </c>
    </row>
    <row r="136" spans="1:12" ht="15" customHeight="1">
      <c r="A136" s="390" t="s">
        <v>1574</v>
      </c>
      <c r="B136" s="396" t="s">
        <v>1575</v>
      </c>
      <c r="C136" s="118" t="s">
        <v>51</v>
      </c>
      <c r="D136" s="379" t="s">
        <v>1580</v>
      </c>
      <c r="E136" s="392" t="s">
        <v>1581</v>
      </c>
      <c r="F136" s="393" t="s">
        <v>1338</v>
      </c>
      <c r="G136" s="394">
        <v>2</v>
      </c>
      <c r="H136" s="394">
        <v>1</v>
      </c>
      <c r="I136" s="394">
        <v>2</v>
      </c>
      <c r="J136" s="385">
        <v>50</v>
      </c>
      <c r="K136" s="395">
        <v>25</v>
      </c>
      <c r="L136" s="338" t="s">
        <v>249</v>
      </c>
    </row>
    <row r="137" spans="1:12" ht="15" customHeight="1">
      <c r="A137" s="390" t="s">
        <v>1574</v>
      </c>
      <c r="B137" s="396" t="s">
        <v>1575</v>
      </c>
      <c r="C137" s="118" t="s">
        <v>51</v>
      </c>
      <c r="D137" s="379" t="s">
        <v>1582</v>
      </c>
      <c r="E137" s="392" t="s">
        <v>1583</v>
      </c>
      <c r="F137" s="393" t="s">
        <v>1338</v>
      </c>
      <c r="G137" s="394">
        <v>2</v>
      </c>
      <c r="H137" s="394">
        <v>1</v>
      </c>
      <c r="I137" s="394">
        <v>2</v>
      </c>
      <c r="J137" s="385">
        <v>50</v>
      </c>
      <c r="K137" s="395">
        <v>25</v>
      </c>
      <c r="L137" s="338" t="s">
        <v>249</v>
      </c>
    </row>
    <row r="138" spans="1:12" ht="15" customHeight="1">
      <c r="A138" s="390" t="s">
        <v>1584</v>
      </c>
      <c r="B138" s="397" t="s">
        <v>1585</v>
      </c>
      <c r="C138" s="118" t="s">
        <v>51</v>
      </c>
      <c r="D138" s="379" t="s">
        <v>1540</v>
      </c>
      <c r="E138" s="392" t="s">
        <v>1541</v>
      </c>
      <c r="F138" s="393" t="s">
        <v>1338</v>
      </c>
      <c r="G138" s="394">
        <v>4</v>
      </c>
      <c r="H138" s="394">
        <v>3</v>
      </c>
      <c r="I138" s="394">
        <v>6</v>
      </c>
      <c r="J138" s="385">
        <v>50</v>
      </c>
      <c r="K138" s="395">
        <v>6.25</v>
      </c>
      <c r="L138" s="338" t="s">
        <v>249</v>
      </c>
    </row>
    <row r="139" spans="1:12" ht="15" customHeight="1">
      <c r="A139" s="379" t="s">
        <v>1586</v>
      </c>
      <c r="B139" s="390" t="s">
        <v>1587</v>
      </c>
      <c r="C139" s="118" t="s">
        <v>51</v>
      </c>
      <c r="D139" s="379" t="s">
        <v>1588</v>
      </c>
      <c r="E139" s="392" t="s">
        <v>1589</v>
      </c>
      <c r="F139" s="393" t="s">
        <v>1338</v>
      </c>
      <c r="G139" s="119">
        <v>2</v>
      </c>
      <c r="H139" s="119">
        <v>2</v>
      </c>
      <c r="I139" s="119">
        <v>6</v>
      </c>
      <c r="J139" s="385">
        <v>50</v>
      </c>
      <c r="K139" s="395">
        <v>12.5</v>
      </c>
      <c r="L139" s="338" t="s">
        <v>249</v>
      </c>
    </row>
    <row r="140" spans="1:12" ht="15" customHeight="1">
      <c r="A140" s="379" t="s">
        <v>1586</v>
      </c>
      <c r="B140" s="390" t="s">
        <v>1587</v>
      </c>
      <c r="C140" s="119" t="s">
        <v>51</v>
      </c>
      <c r="D140" s="379" t="s">
        <v>1590</v>
      </c>
      <c r="E140" s="392" t="s">
        <v>1591</v>
      </c>
      <c r="F140" s="393" t="s">
        <v>1338</v>
      </c>
      <c r="G140" s="119">
        <v>2</v>
      </c>
      <c r="H140" s="119">
        <v>2</v>
      </c>
      <c r="I140" s="119">
        <v>6</v>
      </c>
      <c r="J140" s="385">
        <v>50</v>
      </c>
      <c r="K140" s="395">
        <v>12.5</v>
      </c>
      <c r="L140" s="338" t="s">
        <v>249</v>
      </c>
    </row>
    <row r="141" spans="1:12" ht="15" customHeight="1">
      <c r="A141" s="379" t="s">
        <v>1586</v>
      </c>
      <c r="B141" s="390" t="s">
        <v>1587</v>
      </c>
      <c r="C141" s="119" t="s">
        <v>51</v>
      </c>
      <c r="D141" s="379" t="s">
        <v>1540</v>
      </c>
      <c r="E141" s="392" t="s">
        <v>1541</v>
      </c>
      <c r="F141" s="393" t="s">
        <v>1338</v>
      </c>
      <c r="G141" s="119">
        <v>2</v>
      </c>
      <c r="H141" s="119">
        <v>2</v>
      </c>
      <c r="I141" s="119">
        <v>6</v>
      </c>
      <c r="J141" s="385">
        <v>50</v>
      </c>
      <c r="K141" s="395">
        <v>12.5</v>
      </c>
      <c r="L141" s="338" t="s">
        <v>249</v>
      </c>
    </row>
    <row r="142" spans="1:12" ht="15" customHeight="1">
      <c r="A142" s="379" t="s">
        <v>1586</v>
      </c>
      <c r="B142" s="390" t="s">
        <v>1587</v>
      </c>
      <c r="C142" s="119" t="s">
        <v>51</v>
      </c>
      <c r="D142" s="379" t="s">
        <v>1592</v>
      </c>
      <c r="E142" s="392" t="s">
        <v>1593</v>
      </c>
      <c r="F142" s="393" t="s">
        <v>1338</v>
      </c>
      <c r="G142" s="119">
        <v>2</v>
      </c>
      <c r="H142" s="119">
        <v>2</v>
      </c>
      <c r="I142" s="119">
        <v>6</v>
      </c>
      <c r="J142" s="385">
        <v>50</v>
      </c>
      <c r="K142" s="395">
        <v>12.5</v>
      </c>
      <c r="L142" s="338" t="s">
        <v>249</v>
      </c>
    </row>
    <row r="143" spans="1:12" ht="15" customHeight="1">
      <c r="A143" s="379" t="s">
        <v>1594</v>
      </c>
      <c r="B143" s="379" t="s">
        <v>1595</v>
      </c>
      <c r="C143" s="119" t="s">
        <v>51</v>
      </c>
      <c r="D143" s="379" t="s">
        <v>1596</v>
      </c>
      <c r="E143" s="392" t="s">
        <v>1597</v>
      </c>
      <c r="F143" s="393" t="s">
        <v>1338</v>
      </c>
      <c r="G143" s="119">
        <v>2</v>
      </c>
      <c r="H143" s="119">
        <v>1</v>
      </c>
      <c r="I143" s="119">
        <v>2</v>
      </c>
      <c r="J143" s="385">
        <v>50</v>
      </c>
      <c r="K143" s="395">
        <v>12.5</v>
      </c>
      <c r="L143" s="338" t="s">
        <v>249</v>
      </c>
    </row>
    <row r="144" spans="1:12" ht="15" customHeight="1">
      <c r="A144" s="379" t="s">
        <v>1594</v>
      </c>
      <c r="B144" s="379" t="s">
        <v>1595</v>
      </c>
      <c r="C144" s="119" t="s">
        <v>51</v>
      </c>
      <c r="D144" s="379" t="s">
        <v>1598</v>
      </c>
      <c r="E144" s="392" t="s">
        <v>1599</v>
      </c>
      <c r="F144" s="393" t="s">
        <v>1338</v>
      </c>
      <c r="G144" s="119">
        <v>2</v>
      </c>
      <c r="H144" s="119">
        <v>1</v>
      </c>
      <c r="I144" s="119">
        <v>2</v>
      </c>
      <c r="J144" s="385">
        <v>50</v>
      </c>
      <c r="K144" s="395">
        <v>12.5</v>
      </c>
      <c r="L144" s="338" t="s">
        <v>249</v>
      </c>
    </row>
    <row r="145" spans="1:12" ht="15" customHeight="1">
      <c r="A145" s="379" t="s">
        <v>1594</v>
      </c>
      <c r="B145" s="379" t="s">
        <v>1595</v>
      </c>
      <c r="C145" s="119" t="s">
        <v>51</v>
      </c>
      <c r="D145" s="379" t="s">
        <v>1600</v>
      </c>
      <c r="E145" s="392" t="s">
        <v>1601</v>
      </c>
      <c r="F145" s="393" t="s">
        <v>1338</v>
      </c>
      <c r="G145" s="119">
        <v>2</v>
      </c>
      <c r="H145" s="119">
        <v>1</v>
      </c>
      <c r="I145" s="119">
        <v>2</v>
      </c>
      <c r="J145" s="385">
        <v>50</v>
      </c>
      <c r="K145" s="395">
        <v>12.5</v>
      </c>
      <c r="L145" s="338" t="s">
        <v>249</v>
      </c>
    </row>
    <row r="146" spans="1:12" ht="15" customHeight="1">
      <c r="A146" s="379" t="s">
        <v>1594</v>
      </c>
      <c r="B146" s="379" t="s">
        <v>1595</v>
      </c>
      <c r="C146" s="119" t="s">
        <v>51</v>
      </c>
      <c r="D146" s="379" t="s">
        <v>1602</v>
      </c>
      <c r="E146" s="392" t="s">
        <v>1603</v>
      </c>
      <c r="F146" s="393" t="s">
        <v>1338</v>
      </c>
      <c r="G146" s="119">
        <v>2</v>
      </c>
      <c r="H146" s="119">
        <v>1</v>
      </c>
      <c r="I146" s="119">
        <v>2</v>
      </c>
      <c r="J146" s="385">
        <v>50</v>
      </c>
      <c r="K146" s="395">
        <v>12.5</v>
      </c>
      <c r="L146" s="338" t="s">
        <v>249</v>
      </c>
    </row>
    <row r="147" spans="1:12" ht="15" customHeight="1">
      <c r="A147" s="379" t="s">
        <v>1542</v>
      </c>
      <c r="B147" s="379" t="s">
        <v>1604</v>
      </c>
      <c r="C147" s="119" t="s">
        <v>51</v>
      </c>
      <c r="D147" s="379" t="s">
        <v>1605</v>
      </c>
      <c r="E147" s="392" t="s">
        <v>1606</v>
      </c>
      <c r="F147" s="393" t="s">
        <v>1338</v>
      </c>
      <c r="G147" s="119">
        <v>3</v>
      </c>
      <c r="H147" s="119">
        <v>1</v>
      </c>
      <c r="I147" s="119">
        <v>3</v>
      </c>
      <c r="J147" s="385">
        <v>50</v>
      </c>
      <c r="K147" s="395">
        <v>16.66</v>
      </c>
      <c r="L147" s="338" t="s">
        <v>249</v>
      </c>
    </row>
    <row r="148" spans="1:12" ht="15" customHeight="1">
      <c r="A148" s="379" t="s">
        <v>1607</v>
      </c>
      <c r="B148" s="379" t="s">
        <v>1608</v>
      </c>
      <c r="C148" s="119" t="s">
        <v>51</v>
      </c>
      <c r="D148" s="379" t="s">
        <v>1609</v>
      </c>
      <c r="E148" s="392" t="s">
        <v>1610</v>
      </c>
      <c r="F148" s="393" t="s">
        <v>1338</v>
      </c>
      <c r="G148" s="119">
        <v>3</v>
      </c>
      <c r="H148" s="119">
        <v>2</v>
      </c>
      <c r="I148" s="119">
        <v>3</v>
      </c>
      <c r="J148" s="385">
        <v>50</v>
      </c>
      <c r="K148" s="395">
        <v>16.66</v>
      </c>
      <c r="L148" s="338" t="s">
        <v>249</v>
      </c>
    </row>
    <row r="149" spans="1:12" ht="15" customHeight="1">
      <c r="A149" s="379" t="s">
        <v>1607</v>
      </c>
      <c r="B149" s="379" t="s">
        <v>1608</v>
      </c>
      <c r="C149" s="119" t="s">
        <v>51</v>
      </c>
      <c r="D149" s="379" t="s">
        <v>1611</v>
      </c>
      <c r="E149" s="392" t="s">
        <v>1612</v>
      </c>
      <c r="F149" s="393" t="s">
        <v>1338</v>
      </c>
      <c r="G149" s="119">
        <v>3</v>
      </c>
      <c r="H149" s="119">
        <v>2</v>
      </c>
      <c r="I149" s="119">
        <v>3</v>
      </c>
      <c r="J149" s="385">
        <v>50</v>
      </c>
      <c r="K149" s="395">
        <v>16.66</v>
      </c>
      <c r="L149" s="338" t="s">
        <v>249</v>
      </c>
    </row>
    <row r="150" spans="1:12" ht="15" customHeight="1">
      <c r="A150" s="379" t="s">
        <v>1607</v>
      </c>
      <c r="B150" s="379" t="s">
        <v>1608</v>
      </c>
      <c r="C150" s="119" t="s">
        <v>51</v>
      </c>
      <c r="D150" s="379" t="s">
        <v>1613</v>
      </c>
      <c r="E150" s="392" t="s">
        <v>1503</v>
      </c>
      <c r="F150" s="393" t="s">
        <v>1338</v>
      </c>
      <c r="G150" s="119">
        <v>3</v>
      </c>
      <c r="H150" s="119">
        <v>2</v>
      </c>
      <c r="I150" s="119">
        <v>3</v>
      </c>
      <c r="J150" s="385">
        <v>50</v>
      </c>
      <c r="K150" s="395">
        <v>16.66</v>
      </c>
      <c r="L150" s="338" t="s">
        <v>249</v>
      </c>
    </row>
    <row r="151" spans="1:12" ht="15" customHeight="1">
      <c r="A151" s="379" t="s">
        <v>1574</v>
      </c>
      <c r="B151" s="379" t="s">
        <v>1614</v>
      </c>
      <c r="C151" s="119" t="s">
        <v>51</v>
      </c>
      <c r="D151" s="379" t="s">
        <v>1615</v>
      </c>
      <c r="E151" s="392" t="s">
        <v>1616</v>
      </c>
      <c r="F151" s="393" t="s">
        <v>1338</v>
      </c>
      <c r="G151" s="119">
        <v>2</v>
      </c>
      <c r="H151" s="119">
        <v>1</v>
      </c>
      <c r="I151" s="119">
        <v>2</v>
      </c>
      <c r="J151" s="385">
        <v>50</v>
      </c>
      <c r="K151" s="395">
        <v>12.5</v>
      </c>
      <c r="L151" s="338" t="s">
        <v>249</v>
      </c>
    </row>
    <row r="152" spans="1:12" ht="15" customHeight="1">
      <c r="A152" s="379" t="s">
        <v>1574</v>
      </c>
      <c r="B152" s="379" t="s">
        <v>1614</v>
      </c>
      <c r="C152" s="119" t="s">
        <v>51</v>
      </c>
      <c r="D152" s="379" t="s">
        <v>1617</v>
      </c>
      <c r="E152" s="392" t="s">
        <v>1618</v>
      </c>
      <c r="F152" s="393" t="s">
        <v>1338</v>
      </c>
      <c r="G152" s="119">
        <v>2</v>
      </c>
      <c r="H152" s="119">
        <v>1</v>
      </c>
      <c r="I152" s="119">
        <v>2</v>
      </c>
      <c r="J152" s="385">
        <v>50</v>
      </c>
      <c r="K152" s="395">
        <v>12.5</v>
      </c>
      <c r="L152" s="338" t="s">
        <v>249</v>
      </c>
    </row>
    <row r="153" spans="1:12" ht="15" customHeight="1">
      <c r="A153" s="379" t="s">
        <v>1619</v>
      </c>
      <c r="B153" s="379" t="s">
        <v>1620</v>
      </c>
      <c r="C153" s="119" t="s">
        <v>51</v>
      </c>
      <c r="D153" s="379" t="s">
        <v>1621</v>
      </c>
      <c r="E153" s="392" t="s">
        <v>1622</v>
      </c>
      <c r="F153" s="393" t="s">
        <v>1338</v>
      </c>
      <c r="G153" s="119">
        <v>5</v>
      </c>
      <c r="H153" s="119">
        <v>1</v>
      </c>
      <c r="I153" s="119">
        <v>5</v>
      </c>
      <c r="J153" s="385">
        <v>50</v>
      </c>
      <c r="K153" s="395">
        <v>5</v>
      </c>
      <c r="L153" s="338" t="s">
        <v>249</v>
      </c>
    </row>
    <row r="154" spans="1:12" ht="15" customHeight="1">
      <c r="A154" s="379" t="s">
        <v>1619</v>
      </c>
      <c r="B154" s="379" t="s">
        <v>1620</v>
      </c>
      <c r="C154" s="119" t="s">
        <v>51</v>
      </c>
      <c r="D154" s="379" t="s">
        <v>1623</v>
      </c>
      <c r="E154" s="392" t="s">
        <v>1624</v>
      </c>
      <c r="F154" s="393" t="s">
        <v>1338</v>
      </c>
      <c r="G154" s="119">
        <v>5</v>
      </c>
      <c r="H154" s="119">
        <v>1</v>
      </c>
      <c r="I154" s="119">
        <v>5</v>
      </c>
      <c r="J154" s="385">
        <v>50</v>
      </c>
      <c r="K154" s="395">
        <v>5</v>
      </c>
      <c r="L154" s="338" t="s">
        <v>249</v>
      </c>
    </row>
    <row r="155" spans="1:12" ht="15" customHeight="1">
      <c r="A155" s="379" t="s">
        <v>1619</v>
      </c>
      <c r="B155" s="379" t="s">
        <v>1620</v>
      </c>
      <c r="C155" s="119" t="s">
        <v>51</v>
      </c>
      <c r="D155" s="379" t="s">
        <v>1625</v>
      </c>
      <c r="E155" s="392" t="s">
        <v>1626</v>
      </c>
      <c r="F155" s="393" t="s">
        <v>1338</v>
      </c>
      <c r="G155" s="119">
        <v>5</v>
      </c>
      <c r="H155" s="119">
        <v>1</v>
      </c>
      <c r="I155" s="119">
        <v>5</v>
      </c>
      <c r="J155" s="385">
        <v>50</v>
      </c>
      <c r="K155" s="395">
        <v>5</v>
      </c>
      <c r="L155" s="338" t="s">
        <v>249</v>
      </c>
    </row>
    <row r="156" spans="1:12" ht="15" customHeight="1">
      <c r="A156" s="379" t="s">
        <v>1619</v>
      </c>
      <c r="B156" s="379" t="s">
        <v>1620</v>
      </c>
      <c r="C156" s="119" t="s">
        <v>51</v>
      </c>
      <c r="D156" s="379" t="s">
        <v>1627</v>
      </c>
      <c r="E156" s="392" t="s">
        <v>1628</v>
      </c>
      <c r="F156" s="393" t="s">
        <v>1338</v>
      </c>
      <c r="G156" s="119">
        <v>5</v>
      </c>
      <c r="H156" s="119">
        <v>1</v>
      </c>
      <c r="I156" s="119">
        <v>5</v>
      </c>
      <c r="J156" s="385">
        <v>50</v>
      </c>
      <c r="K156" s="395">
        <v>5</v>
      </c>
      <c r="L156" s="338" t="s">
        <v>249</v>
      </c>
    </row>
    <row r="157" spans="1:12" ht="15" customHeight="1">
      <c r="A157" s="379" t="s">
        <v>1619</v>
      </c>
      <c r="B157" s="379" t="s">
        <v>1620</v>
      </c>
      <c r="C157" s="119" t="s">
        <v>51</v>
      </c>
      <c r="D157" s="379" t="s">
        <v>1629</v>
      </c>
      <c r="E157" s="392" t="s">
        <v>1630</v>
      </c>
      <c r="F157" s="393" t="s">
        <v>1338</v>
      </c>
      <c r="G157" s="119">
        <v>5</v>
      </c>
      <c r="H157" s="119">
        <v>1</v>
      </c>
      <c r="I157" s="119">
        <v>5</v>
      </c>
      <c r="J157" s="385">
        <v>50</v>
      </c>
      <c r="K157" s="395">
        <v>5</v>
      </c>
      <c r="L157" s="338" t="s">
        <v>249</v>
      </c>
    </row>
    <row r="158" spans="1:12" ht="15" customHeight="1">
      <c r="A158" s="379" t="s">
        <v>1619</v>
      </c>
      <c r="B158" s="379" t="s">
        <v>1620</v>
      </c>
      <c r="C158" s="119" t="s">
        <v>51</v>
      </c>
      <c r="D158" s="379" t="s">
        <v>1631</v>
      </c>
      <c r="E158" s="392" t="s">
        <v>1632</v>
      </c>
      <c r="F158" s="393" t="s">
        <v>1338</v>
      </c>
      <c r="G158" s="119">
        <v>5</v>
      </c>
      <c r="H158" s="119">
        <v>1</v>
      </c>
      <c r="I158" s="119">
        <v>5</v>
      </c>
      <c r="J158" s="385">
        <v>50</v>
      </c>
      <c r="K158" s="395">
        <v>5</v>
      </c>
      <c r="L158" s="338" t="s">
        <v>249</v>
      </c>
    </row>
    <row r="159" spans="1:12" ht="15" customHeight="1">
      <c r="A159" s="379" t="s">
        <v>1619</v>
      </c>
      <c r="B159" s="379" t="s">
        <v>1620</v>
      </c>
      <c r="C159" s="119" t="s">
        <v>51</v>
      </c>
      <c r="D159" s="379" t="s">
        <v>1633</v>
      </c>
      <c r="E159" s="392" t="s">
        <v>1634</v>
      </c>
      <c r="F159" s="393" t="s">
        <v>1338</v>
      </c>
      <c r="G159" s="119">
        <v>5</v>
      </c>
      <c r="H159" s="119">
        <v>1</v>
      </c>
      <c r="I159" s="119">
        <v>5</v>
      </c>
      <c r="J159" s="385">
        <v>50</v>
      </c>
      <c r="K159" s="395">
        <v>5</v>
      </c>
      <c r="L159" s="338" t="s">
        <v>249</v>
      </c>
    </row>
    <row r="160" spans="1:12" ht="15" customHeight="1">
      <c r="A160" s="379" t="s">
        <v>1635</v>
      </c>
      <c r="B160" s="379" t="s">
        <v>1636</v>
      </c>
      <c r="C160" s="119" t="s">
        <v>51</v>
      </c>
      <c r="D160" s="379" t="s">
        <v>1637</v>
      </c>
      <c r="E160" s="392" t="s">
        <v>1638</v>
      </c>
      <c r="F160" s="393" t="s">
        <v>1338</v>
      </c>
      <c r="G160" s="119">
        <v>4</v>
      </c>
      <c r="H160" s="119">
        <v>4</v>
      </c>
      <c r="I160" s="119">
        <v>8</v>
      </c>
      <c r="J160" s="385">
        <v>50</v>
      </c>
      <c r="K160" s="395">
        <v>6.25</v>
      </c>
      <c r="L160" s="338" t="s">
        <v>249</v>
      </c>
    </row>
    <row r="161" spans="1:12" ht="15" customHeight="1">
      <c r="A161" s="379" t="s">
        <v>1635</v>
      </c>
      <c r="B161" s="379" t="s">
        <v>1636</v>
      </c>
      <c r="C161" s="119" t="s">
        <v>51</v>
      </c>
      <c r="D161" s="379" t="s">
        <v>1639</v>
      </c>
      <c r="E161" s="392" t="s">
        <v>1640</v>
      </c>
      <c r="F161" s="393" t="s">
        <v>1338</v>
      </c>
      <c r="G161" s="119">
        <v>4</v>
      </c>
      <c r="H161" s="119">
        <v>4</v>
      </c>
      <c r="I161" s="119">
        <v>8</v>
      </c>
      <c r="J161" s="385">
        <v>50</v>
      </c>
      <c r="K161" s="395">
        <v>6.25</v>
      </c>
      <c r="L161" s="338" t="s">
        <v>249</v>
      </c>
    </row>
    <row r="162" spans="1:12" ht="15" customHeight="1">
      <c r="A162" s="379" t="s">
        <v>1635</v>
      </c>
      <c r="B162" s="379" t="s">
        <v>1636</v>
      </c>
      <c r="C162" s="119" t="s">
        <v>51</v>
      </c>
      <c r="D162" s="379" t="s">
        <v>1641</v>
      </c>
      <c r="E162" s="392" t="s">
        <v>1642</v>
      </c>
      <c r="F162" s="393" t="s">
        <v>1338</v>
      </c>
      <c r="G162" s="119">
        <v>4</v>
      </c>
      <c r="H162" s="119">
        <v>4</v>
      </c>
      <c r="I162" s="119">
        <v>8</v>
      </c>
      <c r="J162" s="385">
        <v>50</v>
      </c>
      <c r="K162" s="395">
        <v>6.25</v>
      </c>
      <c r="L162" s="338" t="s">
        <v>249</v>
      </c>
    </row>
    <row r="163" spans="1:12" ht="15" customHeight="1">
      <c r="A163" s="379" t="s">
        <v>1635</v>
      </c>
      <c r="B163" s="379" t="s">
        <v>1636</v>
      </c>
      <c r="C163" s="119" t="s">
        <v>51</v>
      </c>
      <c r="D163" s="379" t="s">
        <v>1611</v>
      </c>
      <c r="E163" s="392" t="s">
        <v>1612</v>
      </c>
      <c r="F163" s="393" t="s">
        <v>1338</v>
      </c>
      <c r="G163" s="119">
        <v>4</v>
      </c>
      <c r="H163" s="119">
        <v>4</v>
      </c>
      <c r="I163" s="119">
        <v>8</v>
      </c>
      <c r="J163" s="385">
        <v>50</v>
      </c>
      <c r="K163" s="395">
        <v>6.25</v>
      </c>
      <c r="L163" s="338" t="s">
        <v>249</v>
      </c>
    </row>
    <row r="164" spans="1:12" ht="15" customHeight="1">
      <c r="A164" s="379" t="s">
        <v>1643</v>
      </c>
      <c r="B164" s="379" t="s">
        <v>1644</v>
      </c>
      <c r="C164" s="119" t="s">
        <v>51</v>
      </c>
      <c r="D164" s="379" t="s">
        <v>1645</v>
      </c>
      <c r="E164" s="392" t="s">
        <v>1646</v>
      </c>
      <c r="F164" s="393" t="s">
        <v>1338</v>
      </c>
      <c r="G164" s="119">
        <v>6</v>
      </c>
      <c r="H164" s="119">
        <v>1</v>
      </c>
      <c r="I164" s="119">
        <v>7</v>
      </c>
      <c r="J164" s="385">
        <v>50</v>
      </c>
      <c r="K164" s="395">
        <v>4.16</v>
      </c>
      <c r="L164" s="338" t="s">
        <v>249</v>
      </c>
    </row>
    <row r="165" spans="1:12" ht="15" customHeight="1">
      <c r="A165" s="379" t="s">
        <v>1643</v>
      </c>
      <c r="B165" s="379" t="s">
        <v>1644</v>
      </c>
      <c r="C165" s="119" t="s">
        <v>51</v>
      </c>
      <c r="D165" s="379" t="s">
        <v>1647</v>
      </c>
      <c r="E165" s="392" t="s">
        <v>1648</v>
      </c>
      <c r="F165" s="393" t="s">
        <v>1338</v>
      </c>
      <c r="G165" s="119">
        <v>6</v>
      </c>
      <c r="H165" s="119">
        <v>1</v>
      </c>
      <c r="I165" s="119">
        <v>7</v>
      </c>
      <c r="J165" s="385">
        <v>50</v>
      </c>
      <c r="K165" s="395">
        <v>4.16</v>
      </c>
      <c r="L165" s="338" t="s">
        <v>249</v>
      </c>
    </row>
    <row r="166" spans="1:12" ht="15" customHeight="1">
      <c r="A166" s="379" t="s">
        <v>1643</v>
      </c>
      <c r="B166" s="379" t="s">
        <v>1644</v>
      </c>
      <c r="C166" s="119" t="s">
        <v>51</v>
      </c>
      <c r="D166" s="379" t="s">
        <v>1649</v>
      </c>
      <c r="E166" s="392" t="s">
        <v>1650</v>
      </c>
      <c r="F166" s="393" t="s">
        <v>1338</v>
      </c>
      <c r="G166" s="119">
        <v>6</v>
      </c>
      <c r="H166" s="119">
        <v>1</v>
      </c>
      <c r="I166" s="119">
        <v>7</v>
      </c>
      <c r="J166" s="385">
        <v>50</v>
      </c>
      <c r="K166" s="395">
        <v>4.16</v>
      </c>
      <c r="L166" s="338" t="s">
        <v>249</v>
      </c>
    </row>
    <row r="167" spans="1:12" ht="15" customHeight="1">
      <c r="A167" s="379" t="s">
        <v>1643</v>
      </c>
      <c r="B167" s="379" t="s">
        <v>1644</v>
      </c>
      <c r="C167" s="119" t="s">
        <v>51</v>
      </c>
      <c r="D167" s="379" t="s">
        <v>1651</v>
      </c>
      <c r="E167" s="392" t="s">
        <v>1652</v>
      </c>
      <c r="F167" s="393" t="s">
        <v>1338</v>
      </c>
      <c r="G167" s="119">
        <v>6</v>
      </c>
      <c r="H167" s="119">
        <v>1</v>
      </c>
      <c r="I167" s="119">
        <v>7</v>
      </c>
      <c r="J167" s="385">
        <v>50</v>
      </c>
      <c r="K167" s="395">
        <v>4.16</v>
      </c>
      <c r="L167" s="338" t="s">
        <v>249</v>
      </c>
    </row>
    <row r="168" spans="1:12" ht="15" customHeight="1">
      <c r="A168" s="379" t="s">
        <v>1653</v>
      </c>
      <c r="B168" s="379" t="s">
        <v>1654</v>
      </c>
      <c r="C168" s="119" t="s">
        <v>51</v>
      </c>
      <c r="D168" s="379" t="s">
        <v>1655</v>
      </c>
      <c r="E168" s="392" t="s">
        <v>1656</v>
      </c>
      <c r="F168" s="393" t="s">
        <v>1338</v>
      </c>
      <c r="G168" s="119">
        <v>3</v>
      </c>
      <c r="H168" s="119">
        <v>3</v>
      </c>
      <c r="I168" s="119">
        <v>5</v>
      </c>
      <c r="J168" s="385">
        <v>50</v>
      </c>
      <c r="K168" s="395">
        <v>8.33</v>
      </c>
      <c r="L168" s="338" t="s">
        <v>249</v>
      </c>
    </row>
    <row r="169" spans="1:12" ht="15" customHeight="1">
      <c r="A169" s="379" t="s">
        <v>1653</v>
      </c>
      <c r="B169" s="379" t="s">
        <v>1654</v>
      </c>
      <c r="C169" s="119" t="s">
        <v>51</v>
      </c>
      <c r="D169" s="379" t="s">
        <v>1657</v>
      </c>
      <c r="E169" s="392" t="s">
        <v>1658</v>
      </c>
      <c r="F169" s="393" t="s">
        <v>1338</v>
      </c>
      <c r="G169" s="119">
        <v>3</v>
      </c>
      <c r="H169" s="119">
        <v>3</v>
      </c>
      <c r="I169" s="119">
        <v>5</v>
      </c>
      <c r="J169" s="385">
        <v>50</v>
      </c>
      <c r="K169" s="395">
        <v>8.33</v>
      </c>
      <c r="L169" s="338" t="s">
        <v>249</v>
      </c>
    </row>
    <row r="170" spans="1:12" ht="15" customHeight="1">
      <c r="A170" s="379" t="s">
        <v>1653</v>
      </c>
      <c r="B170" s="379" t="s">
        <v>1654</v>
      </c>
      <c r="C170" s="119" t="s">
        <v>51</v>
      </c>
      <c r="D170" s="379" t="s">
        <v>1659</v>
      </c>
      <c r="E170" s="392" t="s">
        <v>1660</v>
      </c>
      <c r="F170" s="393" t="s">
        <v>1338</v>
      </c>
      <c r="G170" s="119">
        <v>3</v>
      </c>
      <c r="H170" s="119">
        <v>3</v>
      </c>
      <c r="I170" s="119">
        <v>5</v>
      </c>
      <c r="J170" s="385">
        <v>50</v>
      </c>
      <c r="K170" s="395">
        <v>8.33</v>
      </c>
      <c r="L170" s="338" t="s">
        <v>249</v>
      </c>
    </row>
    <row r="171" spans="1:12" ht="15" customHeight="1">
      <c r="A171" s="379" t="s">
        <v>1653</v>
      </c>
      <c r="B171" s="379" t="s">
        <v>1654</v>
      </c>
      <c r="C171" s="119" t="s">
        <v>51</v>
      </c>
      <c r="D171" s="379" t="s">
        <v>1661</v>
      </c>
      <c r="E171" s="392" t="s">
        <v>1662</v>
      </c>
      <c r="F171" s="393" t="s">
        <v>1338</v>
      </c>
      <c r="G171" s="119">
        <v>3</v>
      </c>
      <c r="H171" s="119">
        <v>3</v>
      </c>
      <c r="I171" s="119">
        <v>5</v>
      </c>
      <c r="J171" s="385">
        <v>50</v>
      </c>
      <c r="K171" s="395">
        <v>8.33</v>
      </c>
      <c r="L171" s="338" t="s">
        <v>249</v>
      </c>
    </row>
    <row r="172" spans="1:12" ht="15" customHeight="1">
      <c r="A172" s="379" t="s">
        <v>1663</v>
      </c>
      <c r="B172" s="379" t="s">
        <v>1664</v>
      </c>
      <c r="C172" s="119" t="s">
        <v>51</v>
      </c>
      <c r="D172" s="379" t="s">
        <v>1665</v>
      </c>
      <c r="E172" s="392" t="s">
        <v>1666</v>
      </c>
      <c r="F172" s="393" t="s">
        <v>1338</v>
      </c>
      <c r="G172" s="119">
        <v>3</v>
      </c>
      <c r="H172" s="119">
        <v>2</v>
      </c>
      <c r="I172" s="119">
        <v>4</v>
      </c>
      <c r="J172" s="385">
        <v>50</v>
      </c>
      <c r="K172" s="395">
        <v>16.66</v>
      </c>
      <c r="L172" s="338" t="s">
        <v>249</v>
      </c>
    </row>
    <row r="173" spans="1:12" ht="15" customHeight="1">
      <c r="A173" s="379" t="s">
        <v>1663</v>
      </c>
      <c r="B173" s="379" t="s">
        <v>1664</v>
      </c>
      <c r="C173" s="119" t="s">
        <v>51</v>
      </c>
      <c r="D173" s="379" t="s">
        <v>1667</v>
      </c>
      <c r="E173" s="392" t="s">
        <v>1668</v>
      </c>
      <c r="F173" s="393" t="s">
        <v>1338</v>
      </c>
      <c r="G173" s="119">
        <v>3</v>
      </c>
      <c r="H173" s="119">
        <v>2</v>
      </c>
      <c r="I173" s="119">
        <v>4</v>
      </c>
      <c r="J173" s="385">
        <v>50</v>
      </c>
      <c r="K173" s="395">
        <v>16.66</v>
      </c>
      <c r="L173" s="338" t="s">
        <v>249</v>
      </c>
    </row>
    <row r="174" spans="1:12" ht="15" customHeight="1">
      <c r="A174" s="379" t="s">
        <v>1669</v>
      </c>
      <c r="B174" s="379" t="s">
        <v>1670</v>
      </c>
      <c r="C174" s="119" t="s">
        <v>51</v>
      </c>
      <c r="D174" s="379" t="s">
        <v>1671</v>
      </c>
      <c r="E174" s="392" t="s">
        <v>1672</v>
      </c>
      <c r="F174" s="393" t="s">
        <v>1338</v>
      </c>
      <c r="G174" s="119">
        <v>4</v>
      </c>
      <c r="H174" s="119">
        <v>2</v>
      </c>
      <c r="I174" s="119">
        <v>6</v>
      </c>
      <c r="J174" s="385">
        <v>50</v>
      </c>
      <c r="K174" s="395">
        <v>6.25</v>
      </c>
      <c r="L174" s="338" t="s">
        <v>249</v>
      </c>
    </row>
    <row r="175" spans="1:12" ht="15" customHeight="1">
      <c r="A175" s="379" t="s">
        <v>1542</v>
      </c>
      <c r="B175" s="379" t="s">
        <v>1673</v>
      </c>
      <c r="C175" s="119" t="s">
        <v>51</v>
      </c>
      <c r="D175" s="379" t="s">
        <v>1578</v>
      </c>
      <c r="E175" s="392" t="s">
        <v>1579</v>
      </c>
      <c r="F175" s="393" t="s">
        <v>1338</v>
      </c>
      <c r="G175" s="119">
        <v>3</v>
      </c>
      <c r="H175" s="119">
        <v>1</v>
      </c>
      <c r="I175" s="119">
        <v>3</v>
      </c>
      <c r="J175" s="385">
        <v>50</v>
      </c>
      <c r="K175" s="395">
        <v>16.66</v>
      </c>
      <c r="L175" s="338" t="s">
        <v>249</v>
      </c>
    </row>
    <row r="176" spans="1:12" ht="15" customHeight="1">
      <c r="A176" s="379" t="s">
        <v>1674</v>
      </c>
      <c r="B176" s="379" t="s">
        <v>240</v>
      </c>
      <c r="C176" s="119" t="s">
        <v>51</v>
      </c>
      <c r="D176" s="379" t="s">
        <v>1675</v>
      </c>
      <c r="E176" s="392" t="s">
        <v>1676</v>
      </c>
      <c r="F176" s="393" t="s">
        <v>1338</v>
      </c>
      <c r="G176" s="119">
        <v>1</v>
      </c>
      <c r="H176" s="119">
        <v>1</v>
      </c>
      <c r="I176" s="119">
        <v>5</v>
      </c>
      <c r="J176" s="385">
        <v>50</v>
      </c>
      <c r="K176" s="395">
        <v>50</v>
      </c>
      <c r="L176" s="338" t="s">
        <v>249</v>
      </c>
    </row>
    <row r="177" spans="1:12" ht="15" customHeight="1">
      <c r="A177" s="379" t="s">
        <v>1677</v>
      </c>
      <c r="B177" s="379" t="s">
        <v>1678</v>
      </c>
      <c r="C177" s="119" t="s">
        <v>51</v>
      </c>
      <c r="D177" s="379" t="s">
        <v>1679</v>
      </c>
      <c r="E177" s="392" t="s">
        <v>1680</v>
      </c>
      <c r="F177" s="393" t="s">
        <v>1338</v>
      </c>
      <c r="G177" s="119">
        <v>6</v>
      </c>
      <c r="H177" s="119">
        <v>1</v>
      </c>
      <c r="I177" s="119">
        <v>6</v>
      </c>
      <c r="J177" s="385">
        <v>50</v>
      </c>
      <c r="K177" s="395">
        <v>4.16</v>
      </c>
      <c r="L177" s="338" t="s">
        <v>249</v>
      </c>
    </row>
    <row r="178" spans="1:12" ht="15" customHeight="1">
      <c r="A178" s="379" t="s">
        <v>1677</v>
      </c>
      <c r="B178" s="379" t="s">
        <v>1678</v>
      </c>
      <c r="C178" s="119" t="s">
        <v>51</v>
      </c>
      <c r="D178" s="379" t="s">
        <v>1681</v>
      </c>
      <c r="E178" s="392" t="s">
        <v>1682</v>
      </c>
      <c r="F178" s="393" t="s">
        <v>1338</v>
      </c>
      <c r="G178" s="119">
        <v>6</v>
      </c>
      <c r="H178" s="119">
        <v>1</v>
      </c>
      <c r="I178" s="119">
        <v>6</v>
      </c>
      <c r="J178" s="385">
        <v>50</v>
      </c>
      <c r="K178" s="395">
        <v>4.16</v>
      </c>
      <c r="L178" s="338" t="s">
        <v>249</v>
      </c>
    </row>
    <row r="179" spans="1:12" ht="15" customHeight="1">
      <c r="A179" s="379" t="s">
        <v>1677</v>
      </c>
      <c r="B179" s="379" t="s">
        <v>1678</v>
      </c>
      <c r="C179" s="119" t="s">
        <v>51</v>
      </c>
      <c r="D179" s="379" t="s">
        <v>1683</v>
      </c>
      <c r="E179" s="392" t="s">
        <v>1684</v>
      </c>
      <c r="F179" s="393" t="s">
        <v>1338</v>
      </c>
      <c r="G179" s="119">
        <v>6</v>
      </c>
      <c r="H179" s="119">
        <v>1</v>
      </c>
      <c r="I179" s="119">
        <v>6</v>
      </c>
      <c r="J179" s="385">
        <v>50</v>
      </c>
      <c r="K179" s="395">
        <v>4.16</v>
      </c>
      <c r="L179" s="338" t="s">
        <v>249</v>
      </c>
    </row>
    <row r="180" spans="1:12" ht="15" customHeight="1">
      <c r="A180" s="379" t="s">
        <v>1677</v>
      </c>
      <c r="B180" s="379" t="s">
        <v>1678</v>
      </c>
      <c r="C180" s="119" t="s">
        <v>51</v>
      </c>
      <c r="D180" s="379" t="s">
        <v>1685</v>
      </c>
      <c r="E180" s="392" t="s">
        <v>1686</v>
      </c>
      <c r="F180" s="393" t="s">
        <v>1338</v>
      </c>
      <c r="G180" s="119">
        <v>6</v>
      </c>
      <c r="H180" s="119">
        <v>1</v>
      </c>
      <c r="I180" s="119">
        <v>6</v>
      </c>
      <c r="J180" s="385">
        <v>50</v>
      </c>
      <c r="K180" s="395">
        <v>4.16</v>
      </c>
      <c r="L180" s="338" t="s">
        <v>249</v>
      </c>
    </row>
    <row r="181" spans="1:12" ht="15" customHeight="1">
      <c r="A181" s="379" t="s">
        <v>1677</v>
      </c>
      <c r="B181" s="379" t="s">
        <v>1678</v>
      </c>
      <c r="C181" s="119" t="s">
        <v>51</v>
      </c>
      <c r="D181" s="379" t="s">
        <v>1687</v>
      </c>
      <c r="E181" s="392" t="s">
        <v>1688</v>
      </c>
      <c r="F181" s="393" t="s">
        <v>1338</v>
      </c>
      <c r="G181" s="119">
        <v>6</v>
      </c>
      <c r="H181" s="119">
        <v>1</v>
      </c>
      <c r="I181" s="119">
        <v>6</v>
      </c>
      <c r="J181" s="385">
        <v>50</v>
      </c>
      <c r="K181" s="395">
        <v>4.16</v>
      </c>
      <c r="L181" s="338" t="s">
        <v>249</v>
      </c>
    </row>
    <row r="182" spans="1:12" ht="15" customHeight="1">
      <c r="A182" s="379" t="s">
        <v>1677</v>
      </c>
      <c r="B182" s="379" t="s">
        <v>1678</v>
      </c>
      <c r="C182" s="119" t="s">
        <v>51</v>
      </c>
      <c r="D182" s="379" t="s">
        <v>1689</v>
      </c>
      <c r="E182" s="392" t="s">
        <v>1690</v>
      </c>
      <c r="F182" s="393" t="s">
        <v>1338</v>
      </c>
      <c r="G182" s="119">
        <v>6</v>
      </c>
      <c r="H182" s="119">
        <v>1</v>
      </c>
      <c r="I182" s="119">
        <v>6</v>
      </c>
      <c r="J182" s="385">
        <v>50</v>
      </c>
      <c r="K182" s="395">
        <v>4.16</v>
      </c>
      <c r="L182" s="338" t="s">
        <v>249</v>
      </c>
    </row>
    <row r="183" spans="1:12" ht="15" customHeight="1">
      <c r="A183" s="379" t="s">
        <v>1677</v>
      </c>
      <c r="B183" s="379" t="s">
        <v>1678</v>
      </c>
      <c r="C183" s="119" t="s">
        <v>51</v>
      </c>
      <c r="D183" s="379" t="s">
        <v>1691</v>
      </c>
      <c r="E183" s="392" t="s">
        <v>1692</v>
      </c>
      <c r="F183" s="393" t="s">
        <v>1338</v>
      </c>
      <c r="G183" s="119">
        <v>6</v>
      </c>
      <c r="H183" s="119">
        <v>1</v>
      </c>
      <c r="I183" s="119">
        <v>6</v>
      </c>
      <c r="J183" s="385">
        <v>50</v>
      </c>
      <c r="K183" s="395">
        <v>4.16</v>
      </c>
      <c r="L183" s="338" t="s">
        <v>249</v>
      </c>
    </row>
    <row r="184" spans="1:12" ht="15" customHeight="1">
      <c r="A184" s="379" t="s">
        <v>1693</v>
      </c>
      <c r="B184" s="379" t="s">
        <v>1694</v>
      </c>
      <c r="C184" s="119" t="s">
        <v>51</v>
      </c>
      <c r="D184" s="379" t="s">
        <v>1695</v>
      </c>
      <c r="E184" s="392" t="s">
        <v>1696</v>
      </c>
      <c r="F184" s="393" t="s">
        <v>1338</v>
      </c>
      <c r="G184" s="119">
        <v>6</v>
      </c>
      <c r="H184" s="119">
        <v>1</v>
      </c>
      <c r="I184" s="119">
        <v>6</v>
      </c>
      <c r="J184" s="385">
        <v>50</v>
      </c>
      <c r="K184" s="395">
        <v>4.16</v>
      </c>
      <c r="L184" s="338" t="s">
        <v>249</v>
      </c>
    </row>
    <row r="185" spans="1:12" ht="15" customHeight="1">
      <c r="A185" s="379" t="s">
        <v>1693</v>
      </c>
      <c r="B185" s="379" t="s">
        <v>1694</v>
      </c>
      <c r="C185" s="119" t="s">
        <v>51</v>
      </c>
      <c r="D185" s="379" t="s">
        <v>1697</v>
      </c>
      <c r="E185" s="392" t="s">
        <v>1698</v>
      </c>
      <c r="F185" s="393" t="s">
        <v>1338</v>
      </c>
      <c r="G185" s="119">
        <v>6</v>
      </c>
      <c r="H185" s="119">
        <v>1</v>
      </c>
      <c r="I185" s="119">
        <v>6</v>
      </c>
      <c r="J185" s="385">
        <v>50</v>
      </c>
      <c r="K185" s="395">
        <v>4.16</v>
      </c>
      <c r="L185" s="338" t="s">
        <v>249</v>
      </c>
    </row>
    <row r="186" spans="1:12" ht="15" customHeight="1">
      <c r="A186" s="379" t="s">
        <v>1693</v>
      </c>
      <c r="B186" s="379" t="s">
        <v>1694</v>
      </c>
      <c r="C186" s="119" t="s">
        <v>51</v>
      </c>
      <c r="D186" s="379" t="s">
        <v>1699</v>
      </c>
      <c r="E186" s="392" t="s">
        <v>1700</v>
      </c>
      <c r="F186" s="393" t="s">
        <v>1338</v>
      </c>
      <c r="G186" s="119">
        <v>6</v>
      </c>
      <c r="H186" s="119">
        <v>1</v>
      </c>
      <c r="I186" s="119">
        <v>6</v>
      </c>
      <c r="J186" s="385">
        <v>50</v>
      </c>
      <c r="K186" s="395">
        <v>4.16</v>
      </c>
      <c r="L186" s="338" t="s">
        <v>249</v>
      </c>
    </row>
    <row r="187" spans="1:12" ht="15" customHeight="1">
      <c r="A187" s="379" t="s">
        <v>1693</v>
      </c>
      <c r="B187" s="379" t="s">
        <v>1694</v>
      </c>
      <c r="C187" s="119" t="s">
        <v>51</v>
      </c>
      <c r="D187" s="379" t="s">
        <v>1701</v>
      </c>
      <c r="E187" s="392" t="s">
        <v>1702</v>
      </c>
      <c r="F187" s="393" t="s">
        <v>1338</v>
      </c>
      <c r="G187" s="119">
        <v>6</v>
      </c>
      <c r="H187" s="119">
        <v>1</v>
      </c>
      <c r="I187" s="119">
        <v>6</v>
      </c>
      <c r="J187" s="385">
        <v>50</v>
      </c>
      <c r="K187" s="395">
        <v>4.16</v>
      </c>
      <c r="L187" s="338" t="s">
        <v>249</v>
      </c>
    </row>
    <row r="188" spans="1:12" ht="15" customHeight="1">
      <c r="A188" s="379" t="s">
        <v>1693</v>
      </c>
      <c r="B188" s="379" t="s">
        <v>1694</v>
      </c>
      <c r="C188" s="119" t="s">
        <v>51</v>
      </c>
      <c r="D188" s="379" t="s">
        <v>1703</v>
      </c>
      <c r="E188" s="392" t="s">
        <v>1704</v>
      </c>
      <c r="F188" s="393" t="s">
        <v>1338</v>
      </c>
      <c r="G188" s="119">
        <v>6</v>
      </c>
      <c r="H188" s="119">
        <v>1</v>
      </c>
      <c r="I188" s="119">
        <v>6</v>
      </c>
      <c r="J188" s="385">
        <v>50</v>
      </c>
      <c r="K188" s="395">
        <v>4.16</v>
      </c>
      <c r="L188" s="338" t="s">
        <v>249</v>
      </c>
    </row>
    <row r="189" spans="1:12" ht="15" customHeight="1">
      <c r="A189" s="379" t="s">
        <v>1693</v>
      </c>
      <c r="B189" s="379" t="s">
        <v>1694</v>
      </c>
      <c r="C189" s="119" t="s">
        <v>51</v>
      </c>
      <c r="D189" s="379" t="s">
        <v>1611</v>
      </c>
      <c r="E189" s="392" t="s">
        <v>1612</v>
      </c>
      <c r="F189" s="393" t="s">
        <v>1338</v>
      </c>
      <c r="G189" s="119">
        <v>6</v>
      </c>
      <c r="H189" s="119">
        <v>1</v>
      </c>
      <c r="I189" s="119">
        <v>6</v>
      </c>
      <c r="J189" s="385">
        <v>50</v>
      </c>
      <c r="K189" s="395">
        <v>4.16</v>
      </c>
      <c r="L189" s="338" t="s">
        <v>249</v>
      </c>
    </row>
    <row r="190" spans="1:12" ht="15" customHeight="1">
      <c r="A190" s="379" t="s">
        <v>1693</v>
      </c>
      <c r="B190" s="379" t="s">
        <v>1694</v>
      </c>
      <c r="C190" s="119" t="s">
        <v>51</v>
      </c>
      <c r="D190" s="379" t="s">
        <v>1705</v>
      </c>
      <c r="E190" s="392" t="s">
        <v>1706</v>
      </c>
      <c r="F190" s="393" t="s">
        <v>1338</v>
      </c>
      <c r="G190" s="119">
        <v>6</v>
      </c>
      <c r="H190" s="119">
        <v>1</v>
      </c>
      <c r="I190" s="119">
        <v>6</v>
      </c>
      <c r="J190" s="385">
        <v>50</v>
      </c>
      <c r="K190" s="395">
        <v>4.16</v>
      </c>
      <c r="L190" s="338" t="s">
        <v>249</v>
      </c>
    </row>
    <row r="191" spans="1:12" ht="15" customHeight="1">
      <c r="A191" s="379" t="s">
        <v>1707</v>
      </c>
      <c r="B191" s="379" t="s">
        <v>1708</v>
      </c>
      <c r="C191" s="119" t="s">
        <v>51</v>
      </c>
      <c r="D191" s="379" t="s">
        <v>1709</v>
      </c>
      <c r="E191" s="392" t="s">
        <v>1710</v>
      </c>
      <c r="F191" s="393" t="s">
        <v>1338</v>
      </c>
      <c r="G191" s="119">
        <v>2</v>
      </c>
      <c r="H191" s="119">
        <v>2</v>
      </c>
      <c r="I191" s="119">
        <v>2</v>
      </c>
      <c r="J191" s="385">
        <v>50</v>
      </c>
      <c r="K191" s="395">
        <v>25</v>
      </c>
      <c r="L191" s="338" t="s">
        <v>249</v>
      </c>
    </row>
    <row r="192" spans="1:12" ht="15" customHeight="1">
      <c r="A192" s="379" t="s">
        <v>1711</v>
      </c>
      <c r="B192" s="379" t="s">
        <v>1708</v>
      </c>
      <c r="C192" s="119" t="s">
        <v>51</v>
      </c>
      <c r="D192" s="379" t="s">
        <v>1712</v>
      </c>
      <c r="E192" s="392" t="s">
        <v>1713</v>
      </c>
      <c r="F192" s="393" t="s">
        <v>1338</v>
      </c>
      <c r="G192" s="119">
        <v>2</v>
      </c>
      <c r="H192" s="119">
        <v>2</v>
      </c>
      <c r="I192" s="119">
        <v>2</v>
      </c>
      <c r="J192" s="385">
        <v>50</v>
      </c>
      <c r="K192" s="395">
        <v>25</v>
      </c>
      <c r="L192" s="338" t="s">
        <v>249</v>
      </c>
    </row>
    <row r="193" spans="1:12" ht="15" customHeight="1">
      <c r="A193" s="379" t="s">
        <v>1714</v>
      </c>
      <c r="B193" s="379" t="s">
        <v>1715</v>
      </c>
      <c r="C193" s="119" t="s">
        <v>51</v>
      </c>
      <c r="D193" s="379" t="s">
        <v>1716</v>
      </c>
      <c r="E193" s="392" t="s">
        <v>1717</v>
      </c>
      <c r="F193" s="393" t="s">
        <v>1338</v>
      </c>
      <c r="G193" s="119">
        <v>2</v>
      </c>
      <c r="H193" s="119">
        <v>1</v>
      </c>
      <c r="I193" s="119">
        <v>2</v>
      </c>
      <c r="J193" s="385">
        <v>50</v>
      </c>
      <c r="K193" s="395">
        <v>25</v>
      </c>
      <c r="L193" s="338" t="s">
        <v>249</v>
      </c>
    </row>
    <row r="194" spans="1:12" ht="15" customHeight="1">
      <c r="A194" s="379" t="s">
        <v>1714</v>
      </c>
      <c r="B194" s="379" t="s">
        <v>1715</v>
      </c>
      <c r="C194" s="119" t="s">
        <v>51</v>
      </c>
      <c r="D194" s="379" t="s">
        <v>1718</v>
      </c>
      <c r="E194" s="392" t="s">
        <v>1719</v>
      </c>
      <c r="F194" s="393" t="s">
        <v>1338</v>
      </c>
      <c r="G194" s="119">
        <v>2</v>
      </c>
      <c r="H194" s="119">
        <v>1</v>
      </c>
      <c r="I194" s="119">
        <v>2</v>
      </c>
      <c r="J194" s="385">
        <v>50</v>
      </c>
      <c r="K194" s="395">
        <v>25</v>
      </c>
      <c r="L194" s="338" t="s">
        <v>249</v>
      </c>
    </row>
    <row r="195" spans="1:12" ht="15" customHeight="1">
      <c r="A195" s="379" t="s">
        <v>1714</v>
      </c>
      <c r="B195" s="379" t="s">
        <v>1715</v>
      </c>
      <c r="C195" s="119" t="s">
        <v>51</v>
      </c>
      <c r="D195" s="379" t="s">
        <v>1720</v>
      </c>
      <c r="E195" s="392" t="s">
        <v>1721</v>
      </c>
      <c r="F195" s="393" t="s">
        <v>1338</v>
      </c>
      <c r="G195" s="119">
        <v>2</v>
      </c>
      <c r="H195" s="119">
        <v>1</v>
      </c>
      <c r="I195" s="119">
        <v>2</v>
      </c>
      <c r="J195" s="385">
        <v>50</v>
      </c>
      <c r="K195" s="395">
        <v>25</v>
      </c>
      <c r="L195" s="338" t="s">
        <v>249</v>
      </c>
    </row>
    <row r="196" spans="1:12" ht="15" customHeight="1">
      <c r="A196" s="379" t="s">
        <v>1714</v>
      </c>
      <c r="B196" s="379" t="s">
        <v>1715</v>
      </c>
      <c r="C196" s="119" t="s">
        <v>51</v>
      </c>
      <c r="D196" s="379" t="s">
        <v>1722</v>
      </c>
      <c r="E196" s="392" t="s">
        <v>1723</v>
      </c>
      <c r="F196" s="393" t="s">
        <v>1338</v>
      </c>
      <c r="G196" s="119">
        <v>2</v>
      </c>
      <c r="H196" s="119">
        <v>1</v>
      </c>
      <c r="I196" s="119">
        <v>2</v>
      </c>
      <c r="J196" s="385">
        <v>50</v>
      </c>
      <c r="K196" s="395">
        <v>25</v>
      </c>
      <c r="L196" s="338" t="s">
        <v>249</v>
      </c>
    </row>
    <row r="197" spans="1:12" ht="15" customHeight="1">
      <c r="A197" s="379" t="s">
        <v>1724</v>
      </c>
      <c r="B197" s="379" t="s">
        <v>1725</v>
      </c>
      <c r="C197" s="119" t="s">
        <v>51</v>
      </c>
      <c r="D197" s="379" t="s">
        <v>1726</v>
      </c>
      <c r="E197" s="392" t="s">
        <v>1727</v>
      </c>
      <c r="F197" s="393" t="s">
        <v>1338</v>
      </c>
      <c r="G197" s="119">
        <v>7</v>
      </c>
      <c r="H197" s="119">
        <v>1</v>
      </c>
      <c r="I197" s="119">
        <v>7</v>
      </c>
      <c r="J197" s="385">
        <v>50</v>
      </c>
      <c r="K197" s="395">
        <v>3.57</v>
      </c>
      <c r="L197" s="338" t="s">
        <v>249</v>
      </c>
    </row>
    <row r="198" spans="1:12" ht="15" customHeight="1">
      <c r="A198" s="379" t="s">
        <v>1724</v>
      </c>
      <c r="B198" s="379" t="s">
        <v>1725</v>
      </c>
      <c r="C198" s="119" t="s">
        <v>51</v>
      </c>
      <c r="D198" s="379" t="s">
        <v>1728</v>
      </c>
      <c r="E198" s="392" t="s">
        <v>1729</v>
      </c>
      <c r="F198" s="393" t="s">
        <v>1338</v>
      </c>
      <c r="G198" s="119">
        <v>7</v>
      </c>
      <c r="H198" s="119">
        <v>1</v>
      </c>
      <c r="I198" s="119">
        <v>7</v>
      </c>
      <c r="J198" s="385">
        <v>50</v>
      </c>
      <c r="K198" s="395">
        <v>3.57</v>
      </c>
      <c r="L198" s="338" t="s">
        <v>249</v>
      </c>
    </row>
    <row r="199" spans="1:12" ht="15" customHeight="1">
      <c r="A199" s="379" t="s">
        <v>1724</v>
      </c>
      <c r="B199" s="379" t="s">
        <v>1725</v>
      </c>
      <c r="C199" s="119" t="s">
        <v>51</v>
      </c>
      <c r="D199" s="379" t="s">
        <v>1730</v>
      </c>
      <c r="E199" s="392" t="s">
        <v>1731</v>
      </c>
      <c r="F199" s="393" t="s">
        <v>1338</v>
      </c>
      <c r="G199" s="119">
        <v>7</v>
      </c>
      <c r="H199" s="119">
        <v>1</v>
      </c>
      <c r="I199" s="119">
        <v>7</v>
      </c>
      <c r="J199" s="385">
        <v>50</v>
      </c>
      <c r="K199" s="395">
        <v>3.57</v>
      </c>
      <c r="L199" s="338" t="s">
        <v>249</v>
      </c>
    </row>
    <row r="200" spans="1:12" ht="15" customHeight="1">
      <c r="A200" s="379" t="s">
        <v>1724</v>
      </c>
      <c r="B200" s="379" t="s">
        <v>1725</v>
      </c>
      <c r="C200" s="119" t="s">
        <v>51</v>
      </c>
      <c r="D200" s="379" t="s">
        <v>1732</v>
      </c>
      <c r="E200" s="392" t="s">
        <v>1733</v>
      </c>
      <c r="F200" s="393" t="s">
        <v>1338</v>
      </c>
      <c r="G200" s="119">
        <v>7</v>
      </c>
      <c r="H200" s="119">
        <v>1</v>
      </c>
      <c r="I200" s="119">
        <v>7</v>
      </c>
      <c r="J200" s="385">
        <v>50</v>
      </c>
      <c r="K200" s="395">
        <v>3.57</v>
      </c>
      <c r="L200" s="338" t="s">
        <v>249</v>
      </c>
    </row>
    <row r="201" spans="1:12" ht="15" customHeight="1">
      <c r="A201" s="379" t="s">
        <v>1734</v>
      </c>
      <c r="B201" s="379" t="s">
        <v>1735</v>
      </c>
      <c r="C201" s="119" t="s">
        <v>51</v>
      </c>
      <c r="D201" s="379" t="s">
        <v>1736</v>
      </c>
      <c r="E201" s="392" t="s">
        <v>1737</v>
      </c>
      <c r="F201" s="393" t="s">
        <v>1338</v>
      </c>
      <c r="G201" s="119">
        <v>1</v>
      </c>
      <c r="H201" s="119">
        <v>1</v>
      </c>
      <c r="I201" s="119">
        <v>5</v>
      </c>
      <c r="J201" s="385">
        <v>50</v>
      </c>
      <c r="K201" s="395">
        <v>25</v>
      </c>
      <c r="L201" s="338" t="s">
        <v>249</v>
      </c>
    </row>
    <row r="202" spans="1:12" ht="15" customHeight="1">
      <c r="A202" s="386" t="s">
        <v>1334</v>
      </c>
      <c r="B202" s="386" t="s">
        <v>1335</v>
      </c>
      <c r="C202" s="387" t="s">
        <v>51</v>
      </c>
      <c r="D202" s="379" t="s">
        <v>1336</v>
      </c>
      <c r="E202" s="379" t="s">
        <v>1337</v>
      </c>
      <c r="F202" s="134" t="s">
        <v>1338</v>
      </c>
      <c r="G202" s="379">
        <v>2</v>
      </c>
      <c r="H202" s="379">
        <v>2</v>
      </c>
      <c r="I202" s="379">
        <v>2</v>
      </c>
      <c r="J202" s="119">
        <v>50</v>
      </c>
      <c r="K202" s="134">
        <v>25</v>
      </c>
      <c r="L202" s="338" t="s">
        <v>249</v>
      </c>
    </row>
    <row r="203" spans="1:12" ht="15" customHeight="1">
      <c r="A203" s="386" t="s">
        <v>1334</v>
      </c>
      <c r="B203" s="386" t="s">
        <v>1335</v>
      </c>
      <c r="C203" s="387" t="s">
        <v>51</v>
      </c>
      <c r="D203" s="386" t="s">
        <v>1340</v>
      </c>
      <c r="E203" s="119" t="s">
        <v>1341</v>
      </c>
      <c r="F203" s="134" t="s">
        <v>1338</v>
      </c>
      <c r="G203" s="379">
        <v>2</v>
      </c>
      <c r="H203" s="379">
        <v>2</v>
      </c>
      <c r="I203" s="379">
        <v>2</v>
      </c>
      <c r="J203" s="119">
        <v>50</v>
      </c>
      <c r="K203" s="134">
        <v>25</v>
      </c>
      <c r="L203" s="338" t="s">
        <v>249</v>
      </c>
    </row>
    <row r="204" spans="1:12" ht="15" customHeight="1">
      <c r="A204" s="386" t="s">
        <v>1334</v>
      </c>
      <c r="B204" s="386" t="s">
        <v>1335</v>
      </c>
      <c r="C204" s="387" t="s">
        <v>51</v>
      </c>
      <c r="D204" s="386" t="s">
        <v>1342</v>
      </c>
      <c r="E204" s="119" t="s">
        <v>1343</v>
      </c>
      <c r="F204" s="134" t="s">
        <v>1338</v>
      </c>
      <c r="G204" s="379">
        <v>2</v>
      </c>
      <c r="H204" s="379">
        <v>2</v>
      </c>
      <c r="I204" s="379">
        <v>2</v>
      </c>
      <c r="J204" s="119">
        <v>50</v>
      </c>
      <c r="K204" s="134">
        <v>25</v>
      </c>
      <c r="L204" s="338" t="s">
        <v>249</v>
      </c>
    </row>
    <row r="205" spans="1:12" ht="15" customHeight="1">
      <c r="A205" s="386" t="s">
        <v>1334</v>
      </c>
      <c r="B205" s="386" t="s">
        <v>1335</v>
      </c>
      <c r="C205" s="387" t="s">
        <v>51</v>
      </c>
      <c r="D205" s="379" t="s">
        <v>1344</v>
      </c>
      <c r="E205" s="119" t="s">
        <v>1345</v>
      </c>
      <c r="F205" s="134" t="s">
        <v>1338</v>
      </c>
      <c r="G205" s="379">
        <v>2</v>
      </c>
      <c r="H205" s="379">
        <v>2</v>
      </c>
      <c r="I205" s="379">
        <v>2</v>
      </c>
      <c r="J205" s="119">
        <v>50</v>
      </c>
      <c r="K205" s="134">
        <v>25</v>
      </c>
      <c r="L205" s="338" t="s">
        <v>249</v>
      </c>
    </row>
    <row r="206" spans="1:12" ht="15" customHeight="1">
      <c r="A206" s="386" t="s">
        <v>1334</v>
      </c>
      <c r="B206" s="386" t="s">
        <v>1335</v>
      </c>
      <c r="C206" s="387" t="s">
        <v>51</v>
      </c>
      <c r="D206" s="379" t="s">
        <v>1346</v>
      </c>
      <c r="E206" s="119" t="s">
        <v>1347</v>
      </c>
      <c r="F206" s="134" t="s">
        <v>1338</v>
      </c>
      <c r="G206" s="379">
        <v>2</v>
      </c>
      <c r="H206" s="379">
        <v>2</v>
      </c>
      <c r="I206" s="379">
        <v>2</v>
      </c>
      <c r="J206" s="119">
        <v>50</v>
      </c>
      <c r="K206" s="134">
        <v>25</v>
      </c>
      <c r="L206" s="338" t="s">
        <v>249</v>
      </c>
    </row>
    <row r="207" spans="1:12" ht="15" customHeight="1">
      <c r="A207" s="386" t="s">
        <v>1334</v>
      </c>
      <c r="B207" s="386" t="s">
        <v>1348</v>
      </c>
      <c r="C207" s="387" t="s">
        <v>51</v>
      </c>
      <c r="D207" s="379" t="s">
        <v>1336</v>
      </c>
      <c r="E207" s="379" t="s">
        <v>1337</v>
      </c>
      <c r="F207" s="134" t="s">
        <v>1338</v>
      </c>
      <c r="G207" s="379">
        <v>2</v>
      </c>
      <c r="H207" s="379">
        <v>2</v>
      </c>
      <c r="I207" s="379">
        <v>2</v>
      </c>
      <c r="J207" s="119">
        <v>50</v>
      </c>
      <c r="K207" s="134">
        <v>25</v>
      </c>
      <c r="L207" s="338" t="s">
        <v>249</v>
      </c>
    </row>
    <row r="208" spans="1:12" ht="15" customHeight="1">
      <c r="A208" s="386" t="s">
        <v>1334</v>
      </c>
      <c r="B208" s="386" t="s">
        <v>1348</v>
      </c>
      <c r="C208" s="387" t="s">
        <v>51</v>
      </c>
      <c r="D208" s="379" t="s">
        <v>1344</v>
      </c>
      <c r="E208" s="119" t="s">
        <v>1345</v>
      </c>
      <c r="F208" s="134" t="s">
        <v>1338</v>
      </c>
      <c r="G208" s="379">
        <v>2</v>
      </c>
      <c r="H208" s="379">
        <v>2</v>
      </c>
      <c r="I208" s="379">
        <v>2</v>
      </c>
      <c r="J208" s="119">
        <v>50</v>
      </c>
      <c r="K208" s="134">
        <v>25</v>
      </c>
      <c r="L208" s="338" t="s">
        <v>249</v>
      </c>
    </row>
    <row r="209" spans="1:12" ht="15" customHeight="1">
      <c r="A209" s="386" t="s">
        <v>1349</v>
      </c>
      <c r="B209" s="388" t="s">
        <v>1350</v>
      </c>
      <c r="C209" s="387" t="s">
        <v>51</v>
      </c>
      <c r="D209" s="379" t="s">
        <v>1336</v>
      </c>
      <c r="E209" s="379" t="s">
        <v>1337</v>
      </c>
      <c r="F209" s="134" t="s">
        <v>1338</v>
      </c>
      <c r="G209" s="379">
        <v>2</v>
      </c>
      <c r="H209" s="379">
        <v>2</v>
      </c>
      <c r="I209" s="379">
        <v>2</v>
      </c>
      <c r="J209" s="119">
        <v>50</v>
      </c>
      <c r="K209" s="134">
        <v>25</v>
      </c>
      <c r="L209" s="338" t="s">
        <v>249</v>
      </c>
    </row>
    <row r="210" spans="1:12" ht="15" customHeight="1">
      <c r="A210" s="386" t="s">
        <v>1349</v>
      </c>
      <c r="B210" s="389" t="s">
        <v>1351</v>
      </c>
      <c r="C210" s="387" t="s">
        <v>51</v>
      </c>
      <c r="D210" s="379" t="s">
        <v>1346</v>
      </c>
      <c r="E210" s="119" t="s">
        <v>1347</v>
      </c>
      <c r="F210" s="134" t="s">
        <v>1338</v>
      </c>
      <c r="G210" s="379">
        <v>2</v>
      </c>
      <c r="H210" s="379">
        <v>2</v>
      </c>
      <c r="I210" s="379">
        <v>2</v>
      </c>
      <c r="J210" s="119">
        <v>50</v>
      </c>
      <c r="K210" s="134">
        <v>25</v>
      </c>
      <c r="L210" s="338" t="s">
        <v>249</v>
      </c>
    </row>
    <row r="211" spans="1:12" ht="15" customHeight="1">
      <c r="A211" s="386" t="s">
        <v>1349</v>
      </c>
      <c r="B211" s="386" t="s">
        <v>1352</v>
      </c>
      <c r="C211" s="387" t="s">
        <v>51</v>
      </c>
      <c r="D211" s="379" t="s">
        <v>1353</v>
      </c>
      <c r="E211" s="119" t="s">
        <v>1347</v>
      </c>
      <c r="F211" s="134" t="s">
        <v>1338</v>
      </c>
      <c r="G211" s="379">
        <v>2</v>
      </c>
      <c r="H211" s="379">
        <v>2</v>
      </c>
      <c r="I211" s="379">
        <v>2</v>
      </c>
      <c r="J211" s="119">
        <v>50</v>
      </c>
      <c r="K211" s="134">
        <v>25</v>
      </c>
      <c r="L211" s="338" t="s">
        <v>249</v>
      </c>
    </row>
    <row r="212" spans="1:12" ht="15" customHeight="1">
      <c r="A212" s="134" t="s">
        <v>1738</v>
      </c>
      <c r="B212" s="91" t="s">
        <v>1739</v>
      </c>
      <c r="C212" s="133" t="s">
        <v>51</v>
      </c>
      <c r="D212" s="134" t="s">
        <v>1740</v>
      </c>
      <c r="E212" s="378" t="s">
        <v>1741</v>
      </c>
      <c r="F212" s="134" t="s">
        <v>230</v>
      </c>
      <c r="G212" s="379">
        <v>3</v>
      </c>
      <c r="H212" s="379">
        <v>2</v>
      </c>
      <c r="I212" s="379">
        <v>3</v>
      </c>
      <c r="J212" s="272">
        <v>50</v>
      </c>
      <c r="K212" s="134">
        <v>16.670000000000002</v>
      </c>
      <c r="L212" s="338" t="s">
        <v>359</v>
      </c>
    </row>
    <row r="213" spans="1:12" ht="15" customHeight="1">
      <c r="A213" s="134" t="s">
        <v>1738</v>
      </c>
      <c r="B213" s="91" t="s">
        <v>1739</v>
      </c>
      <c r="C213" s="133" t="s">
        <v>51</v>
      </c>
      <c r="D213" s="134" t="s">
        <v>1742</v>
      </c>
      <c r="E213" s="382" t="s">
        <v>1743</v>
      </c>
      <c r="F213" s="134" t="s">
        <v>230</v>
      </c>
      <c r="G213" s="379">
        <v>3</v>
      </c>
      <c r="H213" s="379">
        <v>2</v>
      </c>
      <c r="I213" s="379">
        <v>3</v>
      </c>
      <c r="J213" s="272">
        <v>50</v>
      </c>
      <c r="K213" s="134">
        <v>16.670000000000002</v>
      </c>
      <c r="L213" s="338" t="s">
        <v>359</v>
      </c>
    </row>
    <row r="214" spans="1:12" ht="15" customHeight="1">
      <c r="A214" s="134" t="s">
        <v>1744</v>
      </c>
      <c r="B214" s="91" t="s">
        <v>1745</v>
      </c>
      <c r="C214" s="92" t="s">
        <v>51</v>
      </c>
      <c r="D214" s="134" t="s">
        <v>1746</v>
      </c>
      <c r="E214" s="382" t="s">
        <v>1747</v>
      </c>
      <c r="F214" s="134" t="s">
        <v>230</v>
      </c>
      <c r="G214" s="379">
        <v>3</v>
      </c>
      <c r="H214" s="379">
        <v>2</v>
      </c>
      <c r="I214" s="379">
        <v>4</v>
      </c>
      <c r="J214" s="272">
        <v>50</v>
      </c>
      <c r="K214" s="134">
        <v>16.670000000000002</v>
      </c>
      <c r="L214" s="338" t="s">
        <v>359</v>
      </c>
    </row>
    <row r="215" spans="1:12" ht="15" customHeight="1">
      <c r="A215" s="134" t="s">
        <v>1744</v>
      </c>
      <c r="B215" s="134" t="s">
        <v>1745</v>
      </c>
      <c r="C215" s="99" t="s">
        <v>51</v>
      </c>
      <c r="D215" s="134" t="s">
        <v>1748</v>
      </c>
      <c r="E215" s="382" t="s">
        <v>1749</v>
      </c>
      <c r="F215" s="134" t="s">
        <v>230</v>
      </c>
      <c r="G215" s="379">
        <v>3</v>
      </c>
      <c r="H215" s="379">
        <v>2</v>
      </c>
      <c r="I215" s="379">
        <v>4</v>
      </c>
      <c r="J215" s="272">
        <v>50</v>
      </c>
      <c r="K215" s="134">
        <v>16.670000000000002</v>
      </c>
      <c r="L215" s="338" t="s">
        <v>359</v>
      </c>
    </row>
    <row r="216" spans="1:12" ht="15" customHeight="1">
      <c r="A216" s="134" t="s">
        <v>1750</v>
      </c>
      <c r="B216" s="134" t="s">
        <v>1751</v>
      </c>
      <c r="C216" s="99" t="s">
        <v>51</v>
      </c>
      <c r="D216" s="134" t="s">
        <v>1752</v>
      </c>
      <c r="E216" s="382" t="s">
        <v>1753</v>
      </c>
      <c r="F216" s="134" t="s">
        <v>230</v>
      </c>
      <c r="G216" s="379">
        <v>3</v>
      </c>
      <c r="H216" s="379">
        <v>3</v>
      </c>
      <c r="I216" s="379">
        <v>3</v>
      </c>
      <c r="J216" s="272">
        <v>50</v>
      </c>
      <c r="K216" s="134">
        <v>16.670000000000002</v>
      </c>
      <c r="L216" s="338" t="s">
        <v>359</v>
      </c>
    </row>
    <row r="217" spans="1:12" ht="15" customHeight="1">
      <c r="A217" s="134" t="s">
        <v>1754</v>
      </c>
      <c r="B217" s="134" t="s">
        <v>1755</v>
      </c>
      <c r="C217" s="99" t="s">
        <v>51</v>
      </c>
      <c r="D217" s="134" t="s">
        <v>1756</v>
      </c>
      <c r="E217" s="382" t="s">
        <v>1757</v>
      </c>
      <c r="F217" s="134" t="s">
        <v>230</v>
      </c>
      <c r="G217" s="379">
        <v>3</v>
      </c>
      <c r="H217" s="379">
        <v>3</v>
      </c>
      <c r="I217" s="379">
        <v>3</v>
      </c>
      <c r="J217" s="272">
        <v>50</v>
      </c>
      <c r="K217" s="134">
        <v>16.670000000000002</v>
      </c>
      <c r="L217" s="338" t="s">
        <v>359</v>
      </c>
    </row>
    <row r="218" spans="1:12" ht="15" customHeight="1">
      <c r="A218" s="134" t="s">
        <v>1744</v>
      </c>
      <c r="B218" s="134" t="s">
        <v>1745</v>
      </c>
      <c r="C218" s="99" t="s">
        <v>51</v>
      </c>
      <c r="D218" s="134" t="s">
        <v>1758</v>
      </c>
      <c r="E218" s="382" t="s">
        <v>1759</v>
      </c>
      <c r="F218" s="134" t="s">
        <v>230</v>
      </c>
      <c r="G218" s="379">
        <v>3</v>
      </c>
      <c r="H218" s="379">
        <v>2</v>
      </c>
      <c r="I218" s="379">
        <v>4</v>
      </c>
      <c r="J218" s="272">
        <v>50</v>
      </c>
      <c r="K218" s="134">
        <v>16.670000000000002</v>
      </c>
      <c r="L218" s="338" t="s">
        <v>359</v>
      </c>
    </row>
    <row r="219" spans="1:12" ht="15" customHeight="1">
      <c r="A219" s="134" t="s">
        <v>1760</v>
      </c>
      <c r="B219" s="134" t="s">
        <v>1761</v>
      </c>
      <c r="C219" s="99" t="s">
        <v>51</v>
      </c>
      <c r="D219" s="134" t="s">
        <v>1762</v>
      </c>
      <c r="E219" s="382" t="s">
        <v>1763</v>
      </c>
      <c r="F219" s="134" t="s">
        <v>230</v>
      </c>
      <c r="G219" s="379">
        <v>3</v>
      </c>
      <c r="H219" s="379">
        <v>2</v>
      </c>
      <c r="I219" s="379">
        <v>3</v>
      </c>
      <c r="J219" s="272">
        <v>50</v>
      </c>
      <c r="K219" s="134">
        <v>16.670000000000002</v>
      </c>
      <c r="L219" s="338" t="s">
        <v>359</v>
      </c>
    </row>
    <row r="220" spans="1:12" ht="15" customHeight="1">
      <c r="A220" s="134" t="s">
        <v>1764</v>
      </c>
      <c r="B220" s="134" t="s">
        <v>1765</v>
      </c>
      <c r="C220" s="99" t="s">
        <v>51</v>
      </c>
      <c r="D220" s="134" t="s">
        <v>1766</v>
      </c>
      <c r="E220" s="382" t="s">
        <v>1767</v>
      </c>
      <c r="F220" s="135" t="s">
        <v>230</v>
      </c>
      <c r="G220" s="398">
        <v>2</v>
      </c>
      <c r="H220" s="398">
        <v>2</v>
      </c>
      <c r="I220" s="398">
        <v>5</v>
      </c>
      <c r="J220" s="385">
        <v>50</v>
      </c>
      <c r="K220" s="114">
        <v>25</v>
      </c>
      <c r="L220" s="338" t="s">
        <v>359</v>
      </c>
    </row>
    <row r="221" spans="1:12" ht="15" customHeight="1">
      <c r="A221" s="134" t="s">
        <v>1760</v>
      </c>
      <c r="B221" s="134" t="s">
        <v>1761</v>
      </c>
      <c r="C221" s="99" t="s">
        <v>51</v>
      </c>
      <c r="D221" s="134" t="s">
        <v>1768</v>
      </c>
      <c r="E221" s="382" t="s">
        <v>1769</v>
      </c>
      <c r="F221" s="134" t="s">
        <v>230</v>
      </c>
      <c r="G221" s="379">
        <v>3</v>
      </c>
      <c r="H221" s="379">
        <v>2</v>
      </c>
      <c r="I221" s="379">
        <v>3</v>
      </c>
      <c r="J221" s="272">
        <v>50</v>
      </c>
      <c r="K221" s="134">
        <v>16.670000000000002</v>
      </c>
      <c r="L221" s="338" t="s">
        <v>359</v>
      </c>
    </row>
    <row r="222" spans="1:12" ht="15" customHeight="1">
      <c r="A222" s="134" t="s">
        <v>1744</v>
      </c>
      <c r="B222" s="134" t="s">
        <v>1745</v>
      </c>
      <c r="C222" s="99" t="s">
        <v>51</v>
      </c>
      <c r="D222" s="134" t="s">
        <v>1770</v>
      </c>
      <c r="E222" s="382" t="s">
        <v>1771</v>
      </c>
      <c r="F222" s="134" t="s">
        <v>230</v>
      </c>
      <c r="G222" s="379">
        <v>3</v>
      </c>
      <c r="H222" s="379">
        <v>2</v>
      </c>
      <c r="I222" s="379">
        <v>4</v>
      </c>
      <c r="J222" s="272">
        <v>50</v>
      </c>
      <c r="K222" s="134">
        <v>16.670000000000002</v>
      </c>
      <c r="L222" s="338" t="s">
        <v>359</v>
      </c>
    </row>
    <row r="223" spans="1:12" ht="15" customHeight="1">
      <c r="A223" s="134" t="s">
        <v>1772</v>
      </c>
      <c r="B223" s="134" t="s">
        <v>1773</v>
      </c>
      <c r="C223" s="99" t="s">
        <v>51</v>
      </c>
      <c r="D223" s="134" t="s">
        <v>1774</v>
      </c>
      <c r="E223" s="382" t="s">
        <v>1775</v>
      </c>
      <c r="F223" s="134" t="s">
        <v>230</v>
      </c>
      <c r="G223" s="379">
        <v>4</v>
      </c>
      <c r="H223" s="379">
        <v>2</v>
      </c>
      <c r="I223" s="379">
        <v>4</v>
      </c>
      <c r="J223" s="272">
        <v>50</v>
      </c>
      <c r="K223" s="134">
        <v>12.5</v>
      </c>
      <c r="L223" s="338" t="s">
        <v>359</v>
      </c>
    </row>
    <row r="224" spans="1:12" ht="15" customHeight="1">
      <c r="A224" s="134" t="s">
        <v>1776</v>
      </c>
      <c r="B224" s="134" t="s">
        <v>1777</v>
      </c>
      <c r="C224" s="99" t="s">
        <v>51</v>
      </c>
      <c r="D224" s="134" t="s">
        <v>1774</v>
      </c>
      <c r="E224" s="382" t="s">
        <v>1775</v>
      </c>
      <c r="F224" s="134" t="s">
        <v>230</v>
      </c>
      <c r="G224" s="379">
        <v>2</v>
      </c>
      <c r="H224" s="379">
        <v>1</v>
      </c>
      <c r="I224" s="379">
        <v>2</v>
      </c>
      <c r="J224" s="272">
        <v>50</v>
      </c>
      <c r="K224" s="134">
        <v>25</v>
      </c>
      <c r="L224" s="338" t="s">
        <v>359</v>
      </c>
    </row>
    <row r="225" spans="1:12" ht="15" customHeight="1">
      <c r="A225" s="134" t="s">
        <v>1776</v>
      </c>
      <c r="B225" s="134" t="s">
        <v>1778</v>
      </c>
      <c r="C225" s="99" t="s">
        <v>51</v>
      </c>
      <c r="D225" s="134" t="s">
        <v>1774</v>
      </c>
      <c r="E225" s="382" t="s">
        <v>1775</v>
      </c>
      <c r="F225" s="134" t="s">
        <v>230</v>
      </c>
      <c r="G225" s="379">
        <v>2</v>
      </c>
      <c r="H225" s="379">
        <v>1</v>
      </c>
      <c r="I225" s="379">
        <v>2</v>
      </c>
      <c r="J225" s="272">
        <v>50</v>
      </c>
      <c r="K225" s="134">
        <v>25</v>
      </c>
      <c r="L225" s="338" t="s">
        <v>359</v>
      </c>
    </row>
    <row r="226" spans="1:12" ht="15" customHeight="1">
      <c r="A226" s="134" t="s">
        <v>1779</v>
      </c>
      <c r="B226" s="134" t="s">
        <v>1780</v>
      </c>
      <c r="C226" s="99" t="s">
        <v>51</v>
      </c>
      <c r="D226" s="134" t="s">
        <v>1781</v>
      </c>
      <c r="E226" s="382" t="s">
        <v>1782</v>
      </c>
      <c r="F226" s="134" t="s">
        <v>230</v>
      </c>
      <c r="G226" s="379">
        <v>2</v>
      </c>
      <c r="H226" s="379">
        <v>1</v>
      </c>
      <c r="I226" s="379">
        <v>2</v>
      </c>
      <c r="J226" s="272">
        <v>50</v>
      </c>
      <c r="K226" s="134">
        <v>25</v>
      </c>
      <c r="L226" s="338" t="s">
        <v>359</v>
      </c>
    </row>
    <row r="227" spans="1:12" ht="15" customHeight="1">
      <c r="A227" s="134" t="s">
        <v>1783</v>
      </c>
      <c r="B227" s="134" t="s">
        <v>1784</v>
      </c>
      <c r="C227" s="99" t="s">
        <v>51</v>
      </c>
      <c r="D227" s="134" t="s">
        <v>1781</v>
      </c>
      <c r="E227" s="382" t="s">
        <v>1782</v>
      </c>
      <c r="F227" s="134" t="s">
        <v>230</v>
      </c>
      <c r="G227" s="379">
        <v>3</v>
      </c>
      <c r="H227" s="379">
        <v>2</v>
      </c>
      <c r="I227" s="379">
        <v>3</v>
      </c>
      <c r="J227" s="272">
        <v>50</v>
      </c>
      <c r="K227" s="134">
        <v>16.670000000000002</v>
      </c>
      <c r="L227" s="338" t="s">
        <v>359</v>
      </c>
    </row>
    <row r="228" spans="1:12" ht="15" customHeight="1">
      <c r="A228" s="134" t="s">
        <v>1744</v>
      </c>
      <c r="B228" s="134" t="s">
        <v>1745</v>
      </c>
      <c r="C228" s="99" t="s">
        <v>51</v>
      </c>
      <c r="D228" s="134" t="s">
        <v>1785</v>
      </c>
      <c r="E228" s="382" t="s">
        <v>1786</v>
      </c>
      <c r="F228" s="134" t="s">
        <v>230</v>
      </c>
      <c r="G228" s="379">
        <v>3</v>
      </c>
      <c r="H228" s="379">
        <v>2</v>
      </c>
      <c r="I228" s="379">
        <v>4</v>
      </c>
      <c r="J228" s="272">
        <v>50</v>
      </c>
      <c r="K228" s="134">
        <v>16.670000000000002</v>
      </c>
      <c r="L228" s="338" t="s">
        <v>359</v>
      </c>
    </row>
    <row r="229" spans="1:12" ht="15" customHeight="1">
      <c r="A229" s="134" t="s">
        <v>1787</v>
      </c>
      <c r="B229" s="134" t="s">
        <v>1788</v>
      </c>
      <c r="C229" s="99" t="s">
        <v>51</v>
      </c>
      <c r="D229" s="134" t="s">
        <v>1789</v>
      </c>
      <c r="E229" s="382" t="s">
        <v>1790</v>
      </c>
      <c r="F229" s="134" t="s">
        <v>1338</v>
      </c>
      <c r="G229" s="379">
        <v>2</v>
      </c>
      <c r="H229" s="379">
        <v>2</v>
      </c>
      <c r="I229" s="379">
        <v>2</v>
      </c>
      <c r="J229" s="272">
        <v>50</v>
      </c>
      <c r="K229" s="134">
        <v>25</v>
      </c>
      <c r="L229" s="338" t="s">
        <v>359</v>
      </c>
    </row>
    <row r="230" spans="1:12" ht="15" customHeight="1">
      <c r="A230" s="134" t="s">
        <v>1791</v>
      </c>
      <c r="B230" s="134" t="s">
        <v>1792</v>
      </c>
      <c r="C230" s="99" t="s">
        <v>51</v>
      </c>
      <c r="D230" s="134" t="s">
        <v>1793</v>
      </c>
      <c r="E230" s="382" t="s">
        <v>1794</v>
      </c>
      <c r="F230" s="134" t="s">
        <v>1338</v>
      </c>
      <c r="G230" s="379">
        <v>2</v>
      </c>
      <c r="H230" s="379">
        <v>2</v>
      </c>
      <c r="I230" s="379">
        <v>2</v>
      </c>
      <c r="J230" s="272">
        <v>50</v>
      </c>
      <c r="K230" s="134">
        <v>25</v>
      </c>
      <c r="L230" s="338" t="s">
        <v>359</v>
      </c>
    </row>
    <row r="231" spans="1:12" ht="15" customHeight="1">
      <c r="A231" s="134" t="s">
        <v>1795</v>
      </c>
      <c r="B231" s="91" t="s">
        <v>1796</v>
      </c>
      <c r="C231" s="133" t="s">
        <v>51</v>
      </c>
      <c r="D231" s="134" t="s">
        <v>1797</v>
      </c>
      <c r="E231" s="399" t="s">
        <v>1798</v>
      </c>
      <c r="F231" s="99" t="s">
        <v>1338</v>
      </c>
      <c r="G231" s="119">
        <v>5</v>
      </c>
      <c r="H231" s="119">
        <v>5</v>
      </c>
      <c r="I231" s="119">
        <v>5</v>
      </c>
      <c r="J231" s="272">
        <v>50</v>
      </c>
      <c r="K231" s="114">
        <v>10</v>
      </c>
      <c r="L231" s="338" t="s">
        <v>384</v>
      </c>
    </row>
    <row r="232" spans="1:12" ht="15" customHeight="1">
      <c r="A232" s="134" t="s">
        <v>1795</v>
      </c>
      <c r="B232" s="91" t="s">
        <v>1796</v>
      </c>
      <c r="C232" s="133" t="s">
        <v>51</v>
      </c>
      <c r="D232" s="134" t="s">
        <v>1799</v>
      </c>
      <c r="E232" s="399" t="s">
        <v>1800</v>
      </c>
      <c r="F232" s="99" t="s">
        <v>1338</v>
      </c>
      <c r="G232" s="94">
        <v>5</v>
      </c>
      <c r="H232" s="94">
        <v>5</v>
      </c>
      <c r="I232" s="94">
        <v>5</v>
      </c>
      <c r="J232" s="385">
        <v>50</v>
      </c>
      <c r="K232" s="114">
        <v>10</v>
      </c>
      <c r="L232" s="338" t="s">
        <v>384</v>
      </c>
    </row>
    <row r="233" spans="1:12" ht="15" customHeight="1">
      <c r="A233" s="134" t="s">
        <v>1795</v>
      </c>
      <c r="B233" s="91" t="s">
        <v>1796</v>
      </c>
      <c r="C233" s="133" t="s">
        <v>51</v>
      </c>
      <c r="D233" s="134" t="s">
        <v>1801</v>
      </c>
      <c r="E233" s="99" t="s">
        <v>1802</v>
      </c>
      <c r="F233" s="99" t="s">
        <v>1338</v>
      </c>
      <c r="G233" s="99">
        <v>5</v>
      </c>
      <c r="H233" s="99">
        <v>5</v>
      </c>
      <c r="I233" s="99">
        <v>5</v>
      </c>
      <c r="J233" s="385">
        <v>50</v>
      </c>
      <c r="K233" s="114">
        <v>10</v>
      </c>
      <c r="L233" s="338" t="s">
        <v>384</v>
      </c>
    </row>
    <row r="234" spans="1:12" ht="15" customHeight="1">
      <c r="A234" s="134" t="s">
        <v>1795</v>
      </c>
      <c r="B234" s="91" t="s">
        <v>1796</v>
      </c>
      <c r="C234" s="133" t="s">
        <v>51</v>
      </c>
      <c r="D234" s="134" t="s">
        <v>1803</v>
      </c>
      <c r="E234" s="399" t="s">
        <v>1804</v>
      </c>
      <c r="F234" s="99" t="s">
        <v>1338</v>
      </c>
      <c r="G234" s="99">
        <v>5</v>
      </c>
      <c r="H234" s="99">
        <v>5</v>
      </c>
      <c r="I234" s="99">
        <v>5</v>
      </c>
      <c r="J234" s="385">
        <v>50</v>
      </c>
      <c r="K234" s="114">
        <v>10</v>
      </c>
      <c r="L234" s="338" t="s">
        <v>384</v>
      </c>
    </row>
    <row r="235" spans="1:12" ht="15" customHeight="1">
      <c r="A235" s="399" t="s">
        <v>1805</v>
      </c>
      <c r="B235" s="91" t="s">
        <v>1806</v>
      </c>
      <c r="C235" s="133" t="s">
        <v>51</v>
      </c>
      <c r="D235" s="134" t="s">
        <v>1807</v>
      </c>
      <c r="E235" s="399" t="s">
        <v>1808</v>
      </c>
      <c r="F235" s="238" t="s">
        <v>230</v>
      </c>
      <c r="G235" s="99">
        <v>1</v>
      </c>
      <c r="H235" s="99">
        <v>1</v>
      </c>
      <c r="I235" s="99">
        <v>7</v>
      </c>
      <c r="J235" s="385">
        <v>50</v>
      </c>
      <c r="K235" s="114">
        <v>50</v>
      </c>
      <c r="L235" s="338" t="s">
        <v>384</v>
      </c>
    </row>
    <row r="236" spans="1:12" ht="15" customHeight="1">
      <c r="A236" s="134" t="s">
        <v>1809</v>
      </c>
      <c r="B236" s="134" t="s">
        <v>1810</v>
      </c>
      <c r="C236" s="133" t="s">
        <v>51</v>
      </c>
      <c r="D236" s="134" t="s">
        <v>1811</v>
      </c>
      <c r="E236" s="99" t="s">
        <v>1812</v>
      </c>
      <c r="F236" s="238" t="s">
        <v>230</v>
      </c>
      <c r="G236" s="99">
        <v>4</v>
      </c>
      <c r="H236" s="99">
        <v>4</v>
      </c>
      <c r="I236" s="99">
        <v>4</v>
      </c>
      <c r="J236" s="385">
        <v>50</v>
      </c>
      <c r="K236" s="114">
        <v>12.5</v>
      </c>
      <c r="L236" s="338" t="s">
        <v>384</v>
      </c>
    </row>
    <row r="237" spans="1:12" ht="15" customHeight="1">
      <c r="A237" s="134" t="s">
        <v>1813</v>
      </c>
      <c r="B237" s="134" t="s">
        <v>1814</v>
      </c>
      <c r="C237" s="133" t="s">
        <v>51</v>
      </c>
      <c r="D237" s="134" t="s">
        <v>1815</v>
      </c>
      <c r="E237" s="99" t="s">
        <v>1816</v>
      </c>
      <c r="F237" s="99" t="s">
        <v>1338</v>
      </c>
      <c r="G237" s="99">
        <v>8</v>
      </c>
      <c r="H237" s="99">
        <v>8</v>
      </c>
      <c r="I237" s="99">
        <v>8</v>
      </c>
      <c r="J237" s="385">
        <v>50</v>
      </c>
      <c r="K237" s="114">
        <v>6.25</v>
      </c>
      <c r="L237" s="338" t="s">
        <v>384</v>
      </c>
    </row>
    <row r="238" spans="1:12" ht="15" customHeight="1">
      <c r="A238" s="134" t="s">
        <v>1817</v>
      </c>
      <c r="B238" s="91" t="s">
        <v>1818</v>
      </c>
      <c r="C238" s="99" t="s">
        <v>51</v>
      </c>
      <c r="D238" s="134" t="s">
        <v>1819</v>
      </c>
      <c r="E238" s="378" t="s">
        <v>1820</v>
      </c>
      <c r="F238" s="134" t="s">
        <v>1821</v>
      </c>
      <c r="G238" s="379">
        <v>6</v>
      </c>
      <c r="H238" s="379">
        <v>6</v>
      </c>
      <c r="I238" s="379">
        <v>6</v>
      </c>
      <c r="J238" s="272">
        <v>50</v>
      </c>
      <c r="K238" s="134">
        <v>8.33</v>
      </c>
      <c r="L238" s="338" t="s">
        <v>1822</v>
      </c>
    </row>
    <row r="239" spans="1:12" ht="15" customHeight="1">
      <c r="A239" s="91" t="s">
        <v>1823</v>
      </c>
      <c r="B239" s="256" t="s">
        <v>1818</v>
      </c>
      <c r="C239" s="92" t="s">
        <v>51</v>
      </c>
      <c r="D239" s="134" t="s">
        <v>1824</v>
      </c>
      <c r="E239" s="382" t="s">
        <v>1825</v>
      </c>
      <c r="F239" s="238" t="s">
        <v>1338</v>
      </c>
      <c r="G239" s="94">
        <v>6</v>
      </c>
      <c r="H239" s="94">
        <v>6</v>
      </c>
      <c r="I239" s="94">
        <v>6</v>
      </c>
      <c r="J239" s="385">
        <v>50</v>
      </c>
      <c r="K239" s="114">
        <v>8.33</v>
      </c>
      <c r="L239" s="338" t="s">
        <v>1822</v>
      </c>
    </row>
    <row r="240" spans="1:12" ht="15" customHeight="1">
      <c r="A240" s="134" t="s">
        <v>1826</v>
      </c>
      <c r="B240" s="91" t="s">
        <v>1818</v>
      </c>
      <c r="C240" s="92" t="s">
        <v>51</v>
      </c>
      <c r="D240" s="134" t="s">
        <v>1827</v>
      </c>
      <c r="E240" s="382" t="s">
        <v>1828</v>
      </c>
      <c r="F240" s="238" t="s">
        <v>1821</v>
      </c>
      <c r="G240" s="99">
        <v>6</v>
      </c>
      <c r="H240" s="99">
        <v>6</v>
      </c>
      <c r="I240" s="99">
        <v>6</v>
      </c>
      <c r="J240" s="385">
        <v>50</v>
      </c>
      <c r="K240" s="114">
        <v>8.33</v>
      </c>
      <c r="L240" s="338" t="s">
        <v>1822</v>
      </c>
    </row>
    <row r="241" spans="1:12" ht="15" customHeight="1">
      <c r="A241" s="134" t="s">
        <v>1829</v>
      </c>
      <c r="B241" s="134" t="s">
        <v>1818</v>
      </c>
      <c r="C241" s="99" t="s">
        <v>51</v>
      </c>
      <c r="D241" s="134" t="s">
        <v>1830</v>
      </c>
      <c r="E241" s="382" t="s">
        <v>1831</v>
      </c>
      <c r="F241" s="238" t="s">
        <v>1821</v>
      </c>
      <c r="G241" s="99">
        <v>6</v>
      </c>
      <c r="H241" s="99">
        <v>6</v>
      </c>
      <c r="I241" s="99">
        <v>6</v>
      </c>
      <c r="J241" s="385">
        <v>50</v>
      </c>
      <c r="K241" s="114">
        <v>8.33</v>
      </c>
      <c r="L241" s="338" t="s">
        <v>1822</v>
      </c>
    </row>
    <row r="242" spans="1:12" ht="15" customHeight="1">
      <c r="A242" s="134" t="s">
        <v>1832</v>
      </c>
      <c r="B242" s="134" t="s">
        <v>1818</v>
      </c>
      <c r="C242" s="99" t="s">
        <v>51</v>
      </c>
      <c r="D242" s="134" t="s">
        <v>1833</v>
      </c>
      <c r="E242" s="382" t="s">
        <v>1834</v>
      </c>
      <c r="F242" s="238" t="s">
        <v>1821</v>
      </c>
      <c r="G242" s="99">
        <v>6</v>
      </c>
      <c r="H242" s="99">
        <v>6</v>
      </c>
      <c r="I242" s="99">
        <v>6</v>
      </c>
      <c r="J242" s="385">
        <v>50</v>
      </c>
      <c r="K242" s="114">
        <v>8.33</v>
      </c>
      <c r="L242" s="338" t="s">
        <v>1822</v>
      </c>
    </row>
    <row r="243" spans="1:12" ht="15" customHeight="1">
      <c r="A243" s="134" t="s">
        <v>1835</v>
      </c>
      <c r="B243" s="134" t="s">
        <v>1818</v>
      </c>
      <c r="C243" s="99" t="s">
        <v>51</v>
      </c>
      <c r="D243" s="134" t="s">
        <v>1836</v>
      </c>
      <c r="E243" s="382" t="s">
        <v>1837</v>
      </c>
      <c r="F243" s="238" t="s">
        <v>1338</v>
      </c>
      <c r="G243" s="99">
        <v>6</v>
      </c>
      <c r="H243" s="99">
        <v>6</v>
      </c>
      <c r="I243" s="99">
        <v>6</v>
      </c>
      <c r="J243" s="385">
        <v>50</v>
      </c>
      <c r="K243" s="114">
        <v>8.33</v>
      </c>
      <c r="L243" s="338" t="s">
        <v>1822</v>
      </c>
    </row>
    <row r="244" spans="1:12" ht="15" customHeight="1">
      <c r="A244" s="134" t="s">
        <v>1838</v>
      </c>
      <c r="B244" s="134" t="s">
        <v>1818</v>
      </c>
      <c r="C244" s="99" t="s">
        <v>51</v>
      </c>
      <c r="D244" s="134" t="s">
        <v>1839</v>
      </c>
      <c r="E244" s="382" t="s">
        <v>1840</v>
      </c>
      <c r="F244" s="238" t="s">
        <v>1821</v>
      </c>
      <c r="G244" s="99">
        <v>6</v>
      </c>
      <c r="H244" s="99">
        <v>6</v>
      </c>
      <c r="I244" s="99">
        <v>6</v>
      </c>
      <c r="J244" s="385">
        <v>50</v>
      </c>
      <c r="K244" s="114">
        <v>8.33</v>
      </c>
      <c r="L244" s="338" t="s">
        <v>1822</v>
      </c>
    </row>
    <row r="245" spans="1:12" ht="15" customHeight="1">
      <c r="A245" s="134" t="s">
        <v>1841</v>
      </c>
      <c r="B245" s="134" t="s">
        <v>1842</v>
      </c>
      <c r="C245" s="99" t="s">
        <v>51</v>
      </c>
      <c r="D245" s="134" t="s">
        <v>1843</v>
      </c>
      <c r="E245" s="382" t="s">
        <v>1844</v>
      </c>
      <c r="F245" s="238" t="s">
        <v>1821</v>
      </c>
      <c r="G245" s="99">
        <v>6</v>
      </c>
      <c r="H245" s="99">
        <v>6</v>
      </c>
      <c r="I245" s="99">
        <v>6</v>
      </c>
      <c r="J245" s="385">
        <v>50</v>
      </c>
      <c r="K245" s="114">
        <v>8.33</v>
      </c>
      <c r="L245" s="338" t="s">
        <v>1822</v>
      </c>
    </row>
    <row r="246" spans="1:12" ht="15" customHeight="1">
      <c r="A246" s="134" t="s">
        <v>1845</v>
      </c>
      <c r="B246" s="134" t="s">
        <v>1842</v>
      </c>
      <c r="C246" s="99" t="s">
        <v>51</v>
      </c>
      <c r="D246" s="134" t="s">
        <v>1846</v>
      </c>
      <c r="E246" s="382" t="s">
        <v>1847</v>
      </c>
      <c r="F246" s="238" t="s">
        <v>1821</v>
      </c>
      <c r="G246" s="99">
        <v>6</v>
      </c>
      <c r="H246" s="99">
        <v>6</v>
      </c>
      <c r="I246" s="99">
        <v>6</v>
      </c>
      <c r="J246" s="385">
        <v>50</v>
      </c>
      <c r="K246" s="114">
        <v>8.33</v>
      </c>
      <c r="L246" s="338" t="s">
        <v>1822</v>
      </c>
    </row>
    <row r="247" spans="1:12" ht="15" customHeight="1">
      <c r="A247" s="134" t="s">
        <v>1848</v>
      </c>
      <c r="B247" s="134" t="s">
        <v>1842</v>
      </c>
      <c r="C247" s="99" t="s">
        <v>51</v>
      </c>
      <c r="D247" s="134" t="s">
        <v>1849</v>
      </c>
      <c r="E247" s="382" t="s">
        <v>1850</v>
      </c>
      <c r="F247" s="238" t="s">
        <v>1821</v>
      </c>
      <c r="G247" s="99">
        <v>6</v>
      </c>
      <c r="H247" s="99">
        <v>6</v>
      </c>
      <c r="I247" s="99">
        <v>6</v>
      </c>
      <c r="J247" s="385">
        <v>50</v>
      </c>
      <c r="K247" s="114">
        <v>8.33</v>
      </c>
      <c r="L247" s="338" t="s">
        <v>1822</v>
      </c>
    </row>
    <row r="248" spans="1:12" ht="15" customHeight="1">
      <c r="A248" s="134" t="s">
        <v>1851</v>
      </c>
      <c r="B248" s="134" t="s">
        <v>1842</v>
      </c>
      <c r="C248" s="99" t="s">
        <v>51</v>
      </c>
      <c r="D248" s="134" t="s">
        <v>1852</v>
      </c>
      <c r="E248" s="382" t="s">
        <v>1853</v>
      </c>
      <c r="F248" s="238" t="s">
        <v>1821</v>
      </c>
      <c r="G248" s="99">
        <v>6</v>
      </c>
      <c r="H248" s="99">
        <v>6</v>
      </c>
      <c r="I248" s="99">
        <v>6</v>
      </c>
      <c r="J248" s="385">
        <v>50</v>
      </c>
      <c r="K248" s="114">
        <v>8.33</v>
      </c>
      <c r="L248" s="338" t="s">
        <v>1822</v>
      </c>
    </row>
    <row r="249" spans="1:12" ht="15" customHeight="1">
      <c r="A249" s="134" t="s">
        <v>1854</v>
      </c>
      <c r="B249" s="134" t="s">
        <v>1842</v>
      </c>
      <c r="C249" s="99" t="s">
        <v>51</v>
      </c>
      <c r="D249" s="134" t="s">
        <v>1855</v>
      </c>
      <c r="E249" s="382" t="s">
        <v>1856</v>
      </c>
      <c r="F249" s="238" t="s">
        <v>1821</v>
      </c>
      <c r="G249" s="99">
        <v>6</v>
      </c>
      <c r="H249" s="99">
        <v>6</v>
      </c>
      <c r="I249" s="99">
        <v>6</v>
      </c>
      <c r="J249" s="385">
        <v>50</v>
      </c>
      <c r="K249" s="114">
        <v>8.33</v>
      </c>
      <c r="L249" s="338" t="s">
        <v>1822</v>
      </c>
    </row>
    <row r="250" spans="1:12" ht="15" customHeight="1">
      <c r="A250" s="134" t="s">
        <v>1857</v>
      </c>
      <c r="B250" s="134" t="s">
        <v>1842</v>
      </c>
      <c r="C250" s="99" t="s">
        <v>51</v>
      </c>
      <c r="D250" s="134" t="s">
        <v>1858</v>
      </c>
      <c r="E250" s="382" t="s">
        <v>1859</v>
      </c>
      <c r="F250" s="238" t="s">
        <v>1821</v>
      </c>
      <c r="G250" s="99">
        <v>6</v>
      </c>
      <c r="H250" s="99">
        <v>6</v>
      </c>
      <c r="I250" s="99">
        <v>6</v>
      </c>
      <c r="J250" s="385">
        <v>50</v>
      </c>
      <c r="K250" s="114">
        <v>8.33</v>
      </c>
      <c r="L250" s="338" t="s">
        <v>1822</v>
      </c>
    </row>
    <row r="251" spans="1:12" ht="15" customHeight="1">
      <c r="A251" s="134" t="s">
        <v>1860</v>
      </c>
      <c r="B251" s="134" t="s">
        <v>1861</v>
      </c>
      <c r="C251" s="99" t="s">
        <v>51</v>
      </c>
      <c r="D251" s="134" t="s">
        <v>1862</v>
      </c>
      <c r="E251" s="382" t="s">
        <v>1863</v>
      </c>
      <c r="F251" s="238" t="s">
        <v>635</v>
      </c>
      <c r="G251" s="99">
        <v>2</v>
      </c>
      <c r="H251" s="99">
        <v>2</v>
      </c>
      <c r="I251" s="99">
        <v>2</v>
      </c>
      <c r="J251" s="385">
        <v>50</v>
      </c>
      <c r="K251" s="114">
        <v>25</v>
      </c>
      <c r="L251" s="338" t="s">
        <v>1822</v>
      </c>
    </row>
    <row r="252" spans="1:12" ht="15" customHeight="1">
      <c r="A252" s="134" t="s">
        <v>1864</v>
      </c>
      <c r="B252" s="134" t="s">
        <v>1865</v>
      </c>
      <c r="C252" s="99" t="s">
        <v>51</v>
      </c>
      <c r="D252" s="400" t="s">
        <v>1866</v>
      </c>
      <c r="E252" s="382" t="s">
        <v>1867</v>
      </c>
      <c r="F252" s="238" t="s">
        <v>1868</v>
      </c>
      <c r="G252" s="99">
        <v>2</v>
      </c>
      <c r="H252" s="99">
        <v>2</v>
      </c>
      <c r="I252" s="99">
        <v>2</v>
      </c>
      <c r="J252" s="385">
        <v>50</v>
      </c>
      <c r="K252" s="114">
        <f t="shared" ref="K252:K254" si="1">J252/2</f>
        <v>25</v>
      </c>
      <c r="L252" s="338" t="s">
        <v>1869</v>
      </c>
    </row>
    <row r="253" spans="1:12" ht="15" customHeight="1">
      <c r="A253" s="134" t="s">
        <v>1864</v>
      </c>
      <c r="B253" s="134" t="s">
        <v>1865</v>
      </c>
      <c r="C253" s="99" t="s">
        <v>51</v>
      </c>
      <c r="D253" s="400" t="s">
        <v>1870</v>
      </c>
      <c r="E253" s="382" t="s">
        <v>1871</v>
      </c>
      <c r="F253" s="238" t="s">
        <v>1868</v>
      </c>
      <c r="G253" s="99">
        <v>2</v>
      </c>
      <c r="H253" s="99">
        <v>2</v>
      </c>
      <c r="I253" s="99">
        <v>2</v>
      </c>
      <c r="J253" s="385">
        <v>50</v>
      </c>
      <c r="K253" s="114">
        <f t="shared" si="1"/>
        <v>25</v>
      </c>
      <c r="L253" s="338" t="s">
        <v>1869</v>
      </c>
    </row>
    <row r="254" spans="1:12" ht="15" customHeight="1">
      <c r="A254" s="134" t="s">
        <v>1864</v>
      </c>
      <c r="B254" s="134" t="s">
        <v>1865</v>
      </c>
      <c r="C254" s="99" t="s">
        <v>51</v>
      </c>
      <c r="D254" s="400" t="s">
        <v>1872</v>
      </c>
      <c r="E254" s="382" t="s">
        <v>1873</v>
      </c>
      <c r="F254" s="238" t="s">
        <v>1868</v>
      </c>
      <c r="G254" s="99">
        <v>2</v>
      </c>
      <c r="H254" s="99">
        <v>2</v>
      </c>
      <c r="I254" s="99">
        <v>2</v>
      </c>
      <c r="J254" s="385">
        <v>50</v>
      </c>
      <c r="K254" s="114">
        <f t="shared" si="1"/>
        <v>25</v>
      </c>
      <c r="L254" s="338" t="s">
        <v>1869</v>
      </c>
    </row>
    <row r="255" spans="1:12" ht="15" customHeight="1">
      <c r="A255" s="401" t="s">
        <v>1874</v>
      </c>
      <c r="B255" s="402" t="s">
        <v>1875</v>
      </c>
      <c r="C255" s="402" t="s">
        <v>51</v>
      </c>
      <c r="D255" s="403" t="s">
        <v>1876</v>
      </c>
      <c r="E255" s="404" t="s">
        <v>1877</v>
      </c>
      <c r="F255" s="402" t="s">
        <v>1878</v>
      </c>
      <c r="G255" s="402">
        <v>2</v>
      </c>
      <c r="H255" s="402">
        <v>1</v>
      </c>
      <c r="I255" s="402">
        <v>2</v>
      </c>
      <c r="J255" s="402">
        <v>50</v>
      </c>
      <c r="K255" s="402">
        <v>25</v>
      </c>
      <c r="L255" s="338" t="s">
        <v>409</v>
      </c>
    </row>
    <row r="256" spans="1:12" ht="15" customHeight="1">
      <c r="A256" s="401" t="s">
        <v>1879</v>
      </c>
      <c r="B256" s="402" t="s">
        <v>1880</v>
      </c>
      <c r="C256" s="92" t="s">
        <v>51</v>
      </c>
      <c r="D256" s="403" t="s">
        <v>1881</v>
      </c>
      <c r="E256" s="382" t="s">
        <v>1882</v>
      </c>
      <c r="F256" s="238" t="s">
        <v>1878</v>
      </c>
      <c r="G256" s="94">
        <v>3</v>
      </c>
      <c r="H256" s="94">
        <v>1</v>
      </c>
      <c r="I256" s="94">
        <v>3</v>
      </c>
      <c r="J256" s="385">
        <v>50</v>
      </c>
      <c r="K256" s="114">
        <v>16.66</v>
      </c>
      <c r="L256" s="338" t="s">
        <v>409</v>
      </c>
    </row>
    <row r="257" spans="1:12" ht="15" customHeight="1">
      <c r="A257" s="401" t="s">
        <v>1879</v>
      </c>
      <c r="B257" s="402" t="s">
        <v>1880</v>
      </c>
      <c r="C257" s="92" t="s">
        <v>51</v>
      </c>
      <c r="D257" s="402" t="s">
        <v>1883</v>
      </c>
      <c r="E257" s="404" t="s">
        <v>1884</v>
      </c>
      <c r="F257" s="238" t="s">
        <v>1878</v>
      </c>
      <c r="G257" s="94">
        <v>3</v>
      </c>
      <c r="H257" s="94">
        <v>1</v>
      </c>
      <c r="I257" s="94">
        <v>3</v>
      </c>
      <c r="J257" s="385">
        <v>50</v>
      </c>
      <c r="K257" s="114">
        <v>16.66</v>
      </c>
      <c r="L257" s="338" t="s">
        <v>409</v>
      </c>
    </row>
    <row r="258" spans="1:12" ht="15" customHeight="1">
      <c r="A258" s="401" t="s">
        <v>1874</v>
      </c>
      <c r="B258" s="402" t="s">
        <v>1875</v>
      </c>
      <c r="C258" s="238" t="s">
        <v>51</v>
      </c>
      <c r="D258" s="402" t="s">
        <v>1885</v>
      </c>
      <c r="E258" s="382" t="s">
        <v>1886</v>
      </c>
      <c r="F258" s="402" t="s">
        <v>1878</v>
      </c>
      <c r="G258" s="402">
        <v>2</v>
      </c>
      <c r="H258" s="402">
        <v>1</v>
      </c>
      <c r="I258" s="402">
        <v>2</v>
      </c>
      <c r="J258" s="402">
        <v>50</v>
      </c>
      <c r="K258" s="402">
        <v>25</v>
      </c>
      <c r="L258" s="338" t="s">
        <v>409</v>
      </c>
    </row>
    <row r="259" spans="1:12" ht="15" customHeight="1">
      <c r="A259" s="403" t="s">
        <v>1887</v>
      </c>
      <c r="B259" s="402" t="s">
        <v>1888</v>
      </c>
      <c r="C259" s="238" t="s">
        <v>51</v>
      </c>
      <c r="D259" s="402" t="s">
        <v>1889</v>
      </c>
      <c r="E259" s="405" t="s">
        <v>1890</v>
      </c>
      <c r="F259" s="238" t="s">
        <v>1878</v>
      </c>
      <c r="G259" s="94">
        <v>4</v>
      </c>
      <c r="H259" s="94">
        <v>1</v>
      </c>
      <c r="I259" s="94">
        <v>4</v>
      </c>
      <c r="J259" s="385">
        <v>50</v>
      </c>
      <c r="K259" s="114">
        <v>12.5</v>
      </c>
      <c r="L259" s="338" t="s">
        <v>409</v>
      </c>
    </row>
    <row r="260" spans="1:12" ht="15" customHeight="1">
      <c r="A260" s="401" t="s">
        <v>1879</v>
      </c>
      <c r="B260" s="402" t="s">
        <v>1880</v>
      </c>
      <c r="C260" s="92" t="s">
        <v>51</v>
      </c>
      <c r="D260" s="402" t="s">
        <v>1891</v>
      </c>
      <c r="E260" s="382" t="s">
        <v>1892</v>
      </c>
      <c r="F260" s="238" t="s">
        <v>1878</v>
      </c>
      <c r="G260" s="94">
        <v>3</v>
      </c>
      <c r="H260" s="94">
        <v>1</v>
      </c>
      <c r="I260" s="94">
        <v>3</v>
      </c>
      <c r="J260" s="385">
        <v>50</v>
      </c>
      <c r="K260" s="114">
        <v>16.66</v>
      </c>
      <c r="L260" s="338" t="s">
        <v>409</v>
      </c>
    </row>
    <row r="261" spans="1:12" ht="15" customHeight="1">
      <c r="A261" s="401" t="s">
        <v>1874</v>
      </c>
      <c r="B261" s="402" t="s">
        <v>1875</v>
      </c>
      <c r="C261" s="92" t="s">
        <v>51</v>
      </c>
      <c r="D261" s="402" t="s">
        <v>1891</v>
      </c>
      <c r="E261" s="382" t="s">
        <v>1892</v>
      </c>
      <c r="F261" s="238" t="s">
        <v>1878</v>
      </c>
      <c r="G261" s="94">
        <v>2</v>
      </c>
      <c r="H261" s="94">
        <v>1</v>
      </c>
      <c r="I261" s="94">
        <v>2</v>
      </c>
      <c r="J261" s="385">
        <v>50</v>
      </c>
      <c r="K261" s="114">
        <v>25</v>
      </c>
      <c r="L261" s="338" t="s">
        <v>409</v>
      </c>
    </row>
    <row r="262" spans="1:12" ht="15" customHeight="1">
      <c r="A262" s="401" t="s">
        <v>1874</v>
      </c>
      <c r="B262" s="402" t="s">
        <v>1875</v>
      </c>
      <c r="C262" s="92" t="s">
        <v>51</v>
      </c>
      <c r="D262" s="406" t="s">
        <v>1893</v>
      </c>
      <c r="E262" s="407" t="s">
        <v>1894</v>
      </c>
      <c r="F262" s="238" t="s">
        <v>1878</v>
      </c>
      <c r="G262" s="94">
        <v>2</v>
      </c>
      <c r="H262" s="94">
        <v>1</v>
      </c>
      <c r="I262" s="94">
        <v>2</v>
      </c>
      <c r="J262" s="385">
        <v>50</v>
      </c>
      <c r="K262" s="114">
        <v>25</v>
      </c>
      <c r="L262" s="338" t="s">
        <v>409</v>
      </c>
    </row>
    <row r="263" spans="1:12" ht="15" customHeight="1">
      <c r="A263" s="401" t="s">
        <v>1879</v>
      </c>
      <c r="B263" s="402" t="s">
        <v>1880</v>
      </c>
      <c r="C263" s="92" t="s">
        <v>51</v>
      </c>
      <c r="D263" s="406" t="s">
        <v>1895</v>
      </c>
      <c r="E263" s="407" t="s">
        <v>1896</v>
      </c>
      <c r="F263" s="238" t="s">
        <v>1878</v>
      </c>
      <c r="G263" s="94">
        <v>3</v>
      </c>
      <c r="H263" s="94">
        <v>1</v>
      </c>
      <c r="I263" s="94">
        <v>3</v>
      </c>
      <c r="J263" s="385">
        <v>50</v>
      </c>
      <c r="K263" s="114">
        <v>16.66</v>
      </c>
      <c r="L263" s="338" t="s">
        <v>409</v>
      </c>
    </row>
    <row r="264" spans="1:12" ht="15" customHeight="1">
      <c r="A264" s="401" t="s">
        <v>1879</v>
      </c>
      <c r="B264" s="402" t="s">
        <v>1880</v>
      </c>
      <c r="C264" s="92" t="s">
        <v>51</v>
      </c>
      <c r="D264" s="406" t="s">
        <v>1897</v>
      </c>
      <c r="E264" s="407" t="s">
        <v>1898</v>
      </c>
      <c r="F264" s="238" t="s">
        <v>1899</v>
      </c>
      <c r="G264" s="94">
        <v>3</v>
      </c>
      <c r="H264" s="94">
        <v>1</v>
      </c>
      <c r="I264" s="94">
        <v>3</v>
      </c>
      <c r="J264" s="385">
        <v>50</v>
      </c>
      <c r="K264" s="114">
        <v>16.66</v>
      </c>
      <c r="L264" s="338" t="s">
        <v>409</v>
      </c>
    </row>
    <row r="265" spans="1:12" ht="15" customHeight="1">
      <c r="A265" s="406" t="s">
        <v>1900</v>
      </c>
      <c r="B265" s="408" t="s">
        <v>1901</v>
      </c>
      <c r="C265" s="238" t="s">
        <v>51</v>
      </c>
      <c r="D265" s="406" t="s">
        <v>1902</v>
      </c>
      <c r="E265" s="407" t="s">
        <v>1903</v>
      </c>
      <c r="F265" s="238" t="s">
        <v>1878</v>
      </c>
      <c r="G265" s="94">
        <v>10</v>
      </c>
      <c r="H265" s="94">
        <v>1</v>
      </c>
      <c r="I265" s="94">
        <v>10</v>
      </c>
      <c r="J265" s="385">
        <v>50</v>
      </c>
      <c r="K265" s="114">
        <v>5</v>
      </c>
      <c r="L265" s="338" t="s">
        <v>409</v>
      </c>
    </row>
    <row r="266" spans="1:12" ht="15" customHeight="1">
      <c r="A266" s="401" t="s">
        <v>1874</v>
      </c>
      <c r="B266" s="402" t="s">
        <v>1875</v>
      </c>
      <c r="C266" s="92" t="s">
        <v>51</v>
      </c>
      <c r="D266" s="406" t="s">
        <v>1904</v>
      </c>
      <c r="E266" s="407" t="s">
        <v>1905</v>
      </c>
      <c r="F266" s="238" t="s">
        <v>1906</v>
      </c>
      <c r="G266" s="94">
        <v>2</v>
      </c>
      <c r="H266" s="94">
        <v>1</v>
      </c>
      <c r="I266" s="94">
        <v>2</v>
      </c>
      <c r="J266" s="385">
        <v>50</v>
      </c>
      <c r="K266" s="114">
        <v>25</v>
      </c>
      <c r="L266" s="338" t="s">
        <v>409</v>
      </c>
    </row>
    <row r="267" spans="1:12" ht="15" customHeight="1">
      <c r="A267" s="406" t="s">
        <v>1907</v>
      </c>
      <c r="B267" s="408" t="s">
        <v>1908</v>
      </c>
      <c r="C267" s="238" t="s">
        <v>51</v>
      </c>
      <c r="D267" s="406" t="s">
        <v>1909</v>
      </c>
      <c r="E267" s="407" t="s">
        <v>1910</v>
      </c>
      <c r="F267" s="238" t="s">
        <v>1878</v>
      </c>
      <c r="G267" s="94">
        <v>1</v>
      </c>
      <c r="H267" s="94">
        <v>1</v>
      </c>
      <c r="I267" s="94">
        <v>5</v>
      </c>
      <c r="J267" s="385">
        <v>50</v>
      </c>
      <c r="K267" s="114">
        <v>50</v>
      </c>
      <c r="L267" s="338" t="s">
        <v>409</v>
      </c>
    </row>
    <row r="268" spans="1:12" ht="15" customHeight="1">
      <c r="A268" s="406" t="s">
        <v>1911</v>
      </c>
      <c r="B268" s="406" t="s">
        <v>1912</v>
      </c>
      <c r="C268" s="99" t="s">
        <v>51</v>
      </c>
      <c r="D268" s="406" t="s">
        <v>1913</v>
      </c>
      <c r="E268" s="407" t="s">
        <v>1914</v>
      </c>
      <c r="F268" s="238" t="s">
        <v>1878</v>
      </c>
      <c r="G268" s="99">
        <v>2</v>
      </c>
      <c r="H268" s="99">
        <v>1</v>
      </c>
      <c r="I268" s="99">
        <v>2</v>
      </c>
      <c r="J268" s="385">
        <v>50</v>
      </c>
      <c r="K268" s="114">
        <v>25</v>
      </c>
      <c r="L268" s="338" t="s">
        <v>409</v>
      </c>
    </row>
    <row r="269" spans="1:12" ht="15" customHeight="1">
      <c r="A269" s="408" t="s">
        <v>1915</v>
      </c>
      <c r="B269" s="408" t="s">
        <v>1916</v>
      </c>
      <c r="C269" s="408" t="s">
        <v>51</v>
      </c>
      <c r="D269" s="406" t="s">
        <v>1913</v>
      </c>
      <c r="E269" s="407" t="s">
        <v>1914</v>
      </c>
      <c r="F269" s="238" t="s">
        <v>1878</v>
      </c>
      <c r="G269" s="99">
        <v>6</v>
      </c>
      <c r="H269" s="99">
        <v>1</v>
      </c>
      <c r="I269" s="99">
        <v>6</v>
      </c>
      <c r="J269" s="385">
        <v>50</v>
      </c>
      <c r="K269" s="114">
        <v>8.33</v>
      </c>
      <c r="L269" s="338" t="s">
        <v>409</v>
      </c>
    </row>
    <row r="270" spans="1:12" ht="15" customHeight="1">
      <c r="A270" s="406" t="s">
        <v>1917</v>
      </c>
      <c r="B270" s="408" t="s">
        <v>1918</v>
      </c>
      <c r="C270" s="238" t="s">
        <v>51</v>
      </c>
      <c r="D270" s="406" t="s">
        <v>1913</v>
      </c>
      <c r="E270" s="407" t="s">
        <v>1914</v>
      </c>
      <c r="F270" s="238" t="s">
        <v>1878</v>
      </c>
      <c r="G270" s="99">
        <v>5</v>
      </c>
      <c r="H270" s="99">
        <v>1</v>
      </c>
      <c r="I270" s="99">
        <v>5</v>
      </c>
      <c r="J270" s="385">
        <v>50</v>
      </c>
      <c r="K270" s="114">
        <v>10</v>
      </c>
      <c r="L270" s="338" t="s">
        <v>409</v>
      </c>
    </row>
    <row r="271" spans="1:12" ht="15" customHeight="1">
      <c r="A271" s="406" t="s">
        <v>1919</v>
      </c>
      <c r="B271" s="406" t="s">
        <v>1920</v>
      </c>
      <c r="C271" s="406" t="s">
        <v>51</v>
      </c>
      <c r="D271" s="406" t="s">
        <v>1921</v>
      </c>
      <c r="E271" s="407" t="s">
        <v>1922</v>
      </c>
      <c r="F271" s="238" t="s">
        <v>1878</v>
      </c>
      <c r="G271" s="99">
        <v>1</v>
      </c>
      <c r="H271" s="99">
        <v>1</v>
      </c>
      <c r="I271" s="99">
        <v>2</v>
      </c>
      <c r="J271" s="385">
        <v>50</v>
      </c>
      <c r="K271" s="114">
        <v>50</v>
      </c>
      <c r="L271" s="338" t="s">
        <v>409</v>
      </c>
    </row>
    <row r="272" spans="1:12" ht="15" customHeight="1">
      <c r="A272" s="406" t="s">
        <v>1919</v>
      </c>
      <c r="B272" s="406" t="s">
        <v>1923</v>
      </c>
      <c r="C272" s="406" t="s">
        <v>51</v>
      </c>
      <c r="D272" s="406" t="s">
        <v>1924</v>
      </c>
      <c r="E272" s="407" t="s">
        <v>1925</v>
      </c>
      <c r="F272" s="238" t="s">
        <v>1878</v>
      </c>
      <c r="G272" s="99">
        <v>1</v>
      </c>
      <c r="H272" s="99">
        <v>1</v>
      </c>
      <c r="I272" s="99">
        <v>2</v>
      </c>
      <c r="J272" s="385">
        <v>50</v>
      </c>
      <c r="K272" s="114">
        <v>50</v>
      </c>
      <c r="L272" s="338" t="s">
        <v>409</v>
      </c>
    </row>
    <row r="273" spans="1:12" ht="15" customHeight="1">
      <c r="A273" s="406" t="s">
        <v>1926</v>
      </c>
      <c r="B273" s="406" t="s">
        <v>1927</v>
      </c>
      <c r="C273" s="406" t="s">
        <v>51</v>
      </c>
      <c r="D273" s="406" t="s">
        <v>1928</v>
      </c>
      <c r="E273" s="407" t="s">
        <v>1929</v>
      </c>
      <c r="F273" s="238" t="s">
        <v>1878</v>
      </c>
      <c r="G273" s="99">
        <v>2</v>
      </c>
      <c r="H273" s="99">
        <v>2</v>
      </c>
      <c r="I273" s="99">
        <v>2</v>
      </c>
      <c r="J273" s="385">
        <v>50</v>
      </c>
      <c r="K273" s="114">
        <v>25</v>
      </c>
      <c r="L273" s="338" t="s">
        <v>409</v>
      </c>
    </row>
    <row r="274" spans="1:12" ht="15" customHeight="1">
      <c r="A274" s="406" t="s">
        <v>1919</v>
      </c>
      <c r="B274" s="406" t="s">
        <v>1920</v>
      </c>
      <c r="C274" s="406" t="s">
        <v>51</v>
      </c>
      <c r="D274" s="406" t="s">
        <v>1928</v>
      </c>
      <c r="E274" s="407" t="s">
        <v>1929</v>
      </c>
      <c r="F274" s="238" t="s">
        <v>1878</v>
      </c>
      <c r="G274" s="99">
        <v>1</v>
      </c>
      <c r="H274" s="99">
        <v>1</v>
      </c>
      <c r="I274" s="99">
        <v>2</v>
      </c>
      <c r="J274" s="385">
        <v>50</v>
      </c>
      <c r="K274" s="114">
        <v>50</v>
      </c>
      <c r="L274" s="338" t="s">
        <v>409</v>
      </c>
    </row>
    <row r="275" spans="1:12" ht="15" customHeight="1">
      <c r="A275" s="406" t="s">
        <v>1930</v>
      </c>
      <c r="B275" s="406" t="s">
        <v>1931</v>
      </c>
      <c r="C275" s="238" t="s">
        <v>51</v>
      </c>
      <c r="D275" s="406" t="s">
        <v>1932</v>
      </c>
      <c r="E275" s="407" t="s">
        <v>1933</v>
      </c>
      <c r="F275" s="238" t="s">
        <v>1878</v>
      </c>
      <c r="G275" s="99">
        <v>3</v>
      </c>
      <c r="H275" s="99">
        <v>3</v>
      </c>
      <c r="I275" s="99">
        <v>3</v>
      </c>
      <c r="J275" s="385">
        <v>50</v>
      </c>
      <c r="K275" s="114">
        <v>16.66</v>
      </c>
      <c r="L275" s="338" t="s">
        <v>409</v>
      </c>
    </row>
    <row r="276" spans="1:12" ht="15" customHeight="1">
      <c r="A276" s="401" t="s">
        <v>1879</v>
      </c>
      <c r="B276" s="402" t="s">
        <v>1880</v>
      </c>
      <c r="C276" s="92" t="s">
        <v>51</v>
      </c>
      <c r="D276" s="406" t="s">
        <v>1934</v>
      </c>
      <c r="E276" s="407" t="s">
        <v>1935</v>
      </c>
      <c r="F276" s="238" t="s">
        <v>1878</v>
      </c>
      <c r="G276" s="99">
        <v>3</v>
      </c>
      <c r="H276" s="99">
        <v>1</v>
      </c>
      <c r="I276" s="99">
        <v>3</v>
      </c>
      <c r="J276" s="385">
        <v>50</v>
      </c>
      <c r="K276" s="114">
        <v>16.66</v>
      </c>
      <c r="L276" s="338" t="s">
        <v>409</v>
      </c>
    </row>
    <row r="277" spans="1:12" ht="15" customHeight="1">
      <c r="A277" s="401" t="s">
        <v>1879</v>
      </c>
      <c r="B277" s="402" t="s">
        <v>1880</v>
      </c>
      <c r="C277" s="92" t="s">
        <v>51</v>
      </c>
      <c r="D277" s="406" t="s">
        <v>1936</v>
      </c>
      <c r="E277" s="407" t="s">
        <v>1937</v>
      </c>
      <c r="F277" s="238" t="s">
        <v>1878</v>
      </c>
      <c r="G277" s="99">
        <v>3</v>
      </c>
      <c r="H277" s="99">
        <v>1</v>
      </c>
      <c r="I277" s="99">
        <v>3</v>
      </c>
      <c r="J277" s="385">
        <v>50</v>
      </c>
      <c r="K277" s="114">
        <v>16.66</v>
      </c>
      <c r="L277" s="338" t="s">
        <v>409</v>
      </c>
    </row>
    <row r="278" spans="1:12" ht="15" customHeight="1">
      <c r="A278" s="401" t="s">
        <v>1879</v>
      </c>
      <c r="B278" s="406" t="s">
        <v>1880</v>
      </c>
      <c r="C278" s="238" t="s">
        <v>51</v>
      </c>
      <c r="D278" s="406" t="s">
        <v>1938</v>
      </c>
      <c r="E278" s="407" t="s">
        <v>1939</v>
      </c>
      <c r="F278" s="238" t="s">
        <v>1878</v>
      </c>
      <c r="G278" s="99">
        <v>3</v>
      </c>
      <c r="H278" s="99">
        <v>1</v>
      </c>
      <c r="I278" s="99">
        <v>3</v>
      </c>
      <c r="J278" s="385">
        <v>50</v>
      </c>
      <c r="K278" s="114">
        <v>16.66</v>
      </c>
      <c r="L278" s="338" t="s">
        <v>409</v>
      </c>
    </row>
    <row r="279" spans="1:12" ht="15" customHeight="1">
      <c r="A279" s="401" t="s">
        <v>1940</v>
      </c>
      <c r="B279" s="401" t="s">
        <v>1875</v>
      </c>
      <c r="C279" s="238" t="s">
        <v>51</v>
      </c>
      <c r="D279" s="406" t="s">
        <v>1936</v>
      </c>
      <c r="E279" s="407" t="s">
        <v>1937</v>
      </c>
      <c r="F279" s="238" t="s">
        <v>1878</v>
      </c>
      <c r="G279" s="99">
        <v>2</v>
      </c>
      <c r="H279" s="99">
        <v>1</v>
      </c>
      <c r="I279" s="99">
        <v>2</v>
      </c>
      <c r="J279" s="385">
        <v>50</v>
      </c>
      <c r="K279" s="114">
        <v>50</v>
      </c>
      <c r="L279" s="338" t="s">
        <v>409</v>
      </c>
    </row>
    <row r="280" spans="1:12" ht="15" customHeight="1">
      <c r="A280" s="401" t="s">
        <v>1879</v>
      </c>
      <c r="B280" s="406" t="s">
        <v>1880</v>
      </c>
      <c r="C280" s="238" t="s">
        <v>51</v>
      </c>
      <c r="D280" s="406" t="s">
        <v>1941</v>
      </c>
      <c r="E280" s="407" t="s">
        <v>1942</v>
      </c>
      <c r="F280" s="238" t="s">
        <v>1878</v>
      </c>
      <c r="G280" s="99">
        <v>3</v>
      </c>
      <c r="H280" s="99">
        <v>1</v>
      </c>
      <c r="I280" s="99">
        <v>3</v>
      </c>
      <c r="J280" s="385">
        <v>50</v>
      </c>
      <c r="K280" s="114">
        <v>16.66</v>
      </c>
      <c r="L280" s="338" t="s">
        <v>409</v>
      </c>
    </row>
    <row r="281" spans="1:12" ht="15" customHeight="1">
      <c r="A281" s="406" t="s">
        <v>1900</v>
      </c>
      <c r="B281" s="408" t="s">
        <v>1901</v>
      </c>
      <c r="C281" s="238" t="s">
        <v>51</v>
      </c>
      <c r="D281" s="406" t="s">
        <v>1943</v>
      </c>
      <c r="E281" s="407" t="s">
        <v>1944</v>
      </c>
      <c r="F281" s="238" t="s">
        <v>1878</v>
      </c>
      <c r="G281" s="99">
        <v>10</v>
      </c>
      <c r="H281" s="99">
        <v>1</v>
      </c>
      <c r="I281" s="99">
        <v>10</v>
      </c>
      <c r="J281" s="385">
        <v>50</v>
      </c>
      <c r="K281" s="114">
        <v>5</v>
      </c>
      <c r="L281" s="338" t="s">
        <v>409</v>
      </c>
    </row>
    <row r="282" spans="1:12" ht="15" customHeight="1">
      <c r="A282" s="406" t="s">
        <v>1917</v>
      </c>
      <c r="B282" s="408" t="s">
        <v>1918</v>
      </c>
      <c r="C282" s="238" t="s">
        <v>51</v>
      </c>
      <c r="D282" s="406" t="s">
        <v>1945</v>
      </c>
      <c r="E282" s="407" t="s">
        <v>1946</v>
      </c>
      <c r="F282" s="238" t="s">
        <v>1878</v>
      </c>
      <c r="G282" s="99">
        <v>5</v>
      </c>
      <c r="H282" s="99">
        <v>1</v>
      </c>
      <c r="I282" s="99">
        <v>5</v>
      </c>
      <c r="J282" s="385">
        <v>50</v>
      </c>
      <c r="K282" s="114">
        <v>5</v>
      </c>
      <c r="L282" s="338" t="s">
        <v>409</v>
      </c>
    </row>
    <row r="283" spans="1:12" ht="15" customHeight="1">
      <c r="A283" s="401" t="s">
        <v>1879</v>
      </c>
      <c r="B283" s="406" t="s">
        <v>1880</v>
      </c>
      <c r="C283" s="238" t="s">
        <v>51</v>
      </c>
      <c r="D283" s="406" t="s">
        <v>1947</v>
      </c>
      <c r="E283" s="407" t="s">
        <v>1948</v>
      </c>
      <c r="F283" s="238" t="s">
        <v>1878</v>
      </c>
      <c r="G283" s="99">
        <v>3</v>
      </c>
      <c r="H283" s="99">
        <v>1</v>
      </c>
      <c r="I283" s="99">
        <v>3</v>
      </c>
      <c r="J283" s="385">
        <v>50</v>
      </c>
      <c r="K283" s="114">
        <v>16.66</v>
      </c>
      <c r="L283" s="338" t="s">
        <v>409</v>
      </c>
    </row>
    <row r="284" spans="1:12" ht="15" customHeight="1">
      <c r="A284" s="401" t="s">
        <v>1879</v>
      </c>
      <c r="B284" s="406" t="s">
        <v>1880</v>
      </c>
      <c r="C284" s="238" t="s">
        <v>51</v>
      </c>
      <c r="D284" s="406" t="s">
        <v>1949</v>
      </c>
      <c r="E284" s="407" t="s">
        <v>1950</v>
      </c>
      <c r="F284" s="238" t="s">
        <v>1878</v>
      </c>
      <c r="G284" s="99">
        <v>3</v>
      </c>
      <c r="H284" s="99">
        <v>1</v>
      </c>
      <c r="I284" s="99">
        <v>3</v>
      </c>
      <c r="J284" s="385">
        <v>50</v>
      </c>
      <c r="K284" s="114">
        <v>16.66</v>
      </c>
      <c r="L284" s="338" t="s">
        <v>409</v>
      </c>
    </row>
    <row r="285" spans="1:12" ht="15" customHeight="1">
      <c r="A285" s="401" t="s">
        <v>1879</v>
      </c>
      <c r="B285" s="406" t="s">
        <v>1880</v>
      </c>
      <c r="C285" s="238" t="s">
        <v>51</v>
      </c>
      <c r="D285" s="406" t="s">
        <v>1951</v>
      </c>
      <c r="E285" s="407" t="s">
        <v>1952</v>
      </c>
      <c r="F285" s="238" t="s">
        <v>1878</v>
      </c>
      <c r="G285" s="99">
        <v>3</v>
      </c>
      <c r="H285" s="99">
        <v>1</v>
      </c>
      <c r="I285" s="99">
        <v>3</v>
      </c>
      <c r="J285" s="385">
        <v>50</v>
      </c>
      <c r="K285" s="114">
        <v>16.66</v>
      </c>
      <c r="L285" s="338" t="s">
        <v>409</v>
      </c>
    </row>
    <row r="286" spans="1:12" ht="15" customHeight="1">
      <c r="A286" s="401" t="s">
        <v>1940</v>
      </c>
      <c r="B286" s="401" t="s">
        <v>1875</v>
      </c>
      <c r="C286" s="238" t="s">
        <v>51</v>
      </c>
      <c r="D286" s="406" t="s">
        <v>1953</v>
      </c>
      <c r="E286" s="407" t="s">
        <v>1954</v>
      </c>
      <c r="F286" s="238" t="s">
        <v>1878</v>
      </c>
      <c r="G286" s="99">
        <v>2</v>
      </c>
      <c r="H286" s="99">
        <v>1</v>
      </c>
      <c r="I286" s="99">
        <v>2</v>
      </c>
      <c r="J286" s="385">
        <v>50</v>
      </c>
      <c r="K286" s="114">
        <v>25</v>
      </c>
      <c r="L286" s="338" t="s">
        <v>409</v>
      </c>
    </row>
    <row r="287" spans="1:12" ht="15" customHeight="1">
      <c r="A287" s="406" t="s">
        <v>1955</v>
      </c>
      <c r="B287" s="406" t="s">
        <v>1956</v>
      </c>
      <c r="C287" s="238" t="s">
        <v>51</v>
      </c>
      <c r="D287" s="406" t="s">
        <v>1957</v>
      </c>
      <c r="E287" s="407" t="s">
        <v>1958</v>
      </c>
      <c r="F287" s="238" t="s">
        <v>1878</v>
      </c>
      <c r="G287" s="99">
        <v>9</v>
      </c>
      <c r="H287" s="99">
        <v>1</v>
      </c>
      <c r="I287" s="99">
        <v>9</v>
      </c>
      <c r="J287" s="385">
        <v>50</v>
      </c>
      <c r="K287" s="114">
        <v>5.55</v>
      </c>
      <c r="L287" s="338" t="s">
        <v>409</v>
      </c>
    </row>
    <row r="288" spans="1:12" ht="15" customHeight="1">
      <c r="A288" s="406" t="s">
        <v>1959</v>
      </c>
      <c r="B288" s="406" t="s">
        <v>1960</v>
      </c>
      <c r="C288" s="238" t="s">
        <v>51</v>
      </c>
      <c r="D288" s="406" t="s">
        <v>1961</v>
      </c>
      <c r="E288" s="407" t="s">
        <v>1962</v>
      </c>
      <c r="F288" s="238" t="s">
        <v>1878</v>
      </c>
      <c r="G288" s="99">
        <v>2</v>
      </c>
      <c r="H288" s="99">
        <v>1</v>
      </c>
      <c r="I288" s="99">
        <v>2</v>
      </c>
      <c r="J288" s="385">
        <v>50</v>
      </c>
      <c r="K288" s="114">
        <v>25</v>
      </c>
      <c r="L288" s="338" t="s">
        <v>409</v>
      </c>
    </row>
    <row r="289" spans="1:12" ht="15" customHeight="1">
      <c r="A289" s="406" t="s">
        <v>1963</v>
      </c>
      <c r="B289" s="406" t="s">
        <v>1964</v>
      </c>
      <c r="C289" s="238" t="s">
        <v>51</v>
      </c>
      <c r="D289" s="406" t="s">
        <v>1965</v>
      </c>
      <c r="E289" s="407" t="s">
        <v>1966</v>
      </c>
      <c r="F289" s="238" t="s">
        <v>1878</v>
      </c>
      <c r="G289" s="99">
        <v>5</v>
      </c>
      <c r="H289" s="99">
        <v>3</v>
      </c>
      <c r="I289" s="99">
        <v>5</v>
      </c>
      <c r="J289" s="385">
        <v>50</v>
      </c>
      <c r="K289" s="114">
        <v>10</v>
      </c>
      <c r="L289" s="338" t="s">
        <v>409</v>
      </c>
    </row>
    <row r="290" spans="1:12" ht="15" customHeight="1">
      <c r="A290" s="401" t="s">
        <v>1879</v>
      </c>
      <c r="B290" s="406" t="s">
        <v>1880</v>
      </c>
      <c r="C290" s="238" t="s">
        <v>51</v>
      </c>
      <c r="D290" s="406" t="s">
        <v>1967</v>
      </c>
      <c r="E290" s="407" t="s">
        <v>1968</v>
      </c>
      <c r="F290" s="238" t="s">
        <v>1878</v>
      </c>
      <c r="G290" s="99">
        <v>3</v>
      </c>
      <c r="H290" s="99">
        <v>1</v>
      </c>
      <c r="I290" s="99">
        <v>3</v>
      </c>
      <c r="J290" s="385">
        <v>50</v>
      </c>
      <c r="K290" s="114">
        <v>16.66</v>
      </c>
      <c r="L290" s="338" t="s">
        <v>409</v>
      </c>
    </row>
    <row r="291" spans="1:12" ht="15" customHeight="1">
      <c r="A291" s="401" t="s">
        <v>1879</v>
      </c>
      <c r="B291" s="406" t="s">
        <v>1880</v>
      </c>
      <c r="C291" s="238" t="s">
        <v>51</v>
      </c>
      <c r="D291" s="406" t="s">
        <v>1969</v>
      </c>
      <c r="E291" s="407" t="s">
        <v>1970</v>
      </c>
      <c r="F291" s="238" t="s">
        <v>1878</v>
      </c>
      <c r="G291" s="99">
        <v>3</v>
      </c>
      <c r="H291" s="99">
        <v>1</v>
      </c>
      <c r="I291" s="99">
        <v>3</v>
      </c>
      <c r="J291" s="385">
        <v>50</v>
      </c>
      <c r="K291" s="114">
        <v>16.66</v>
      </c>
      <c r="L291" s="338" t="s">
        <v>409</v>
      </c>
    </row>
    <row r="292" spans="1:12" ht="15" customHeight="1">
      <c r="A292" s="403" t="s">
        <v>1887</v>
      </c>
      <c r="B292" s="402" t="s">
        <v>1888</v>
      </c>
      <c r="C292" s="238" t="s">
        <v>51</v>
      </c>
      <c r="D292" s="406" t="s">
        <v>1969</v>
      </c>
      <c r="E292" s="407" t="s">
        <v>1970</v>
      </c>
      <c r="F292" s="238" t="s">
        <v>1878</v>
      </c>
      <c r="G292" s="99">
        <v>4</v>
      </c>
      <c r="H292" s="99">
        <v>1</v>
      </c>
      <c r="I292" s="99">
        <v>4</v>
      </c>
      <c r="J292" s="385">
        <v>50</v>
      </c>
      <c r="K292" s="114">
        <v>12.5</v>
      </c>
      <c r="L292" s="338" t="s">
        <v>409</v>
      </c>
    </row>
    <row r="293" spans="1:12" ht="15" customHeight="1">
      <c r="A293" s="406" t="s">
        <v>1930</v>
      </c>
      <c r="B293" s="406" t="s">
        <v>1931</v>
      </c>
      <c r="C293" s="238" t="s">
        <v>51</v>
      </c>
      <c r="D293" s="406" t="s">
        <v>1971</v>
      </c>
      <c r="E293" s="407" t="s">
        <v>1972</v>
      </c>
      <c r="F293" s="238" t="s">
        <v>1878</v>
      </c>
      <c r="G293" s="99">
        <v>3</v>
      </c>
      <c r="H293" s="99">
        <v>3</v>
      </c>
      <c r="I293" s="99">
        <v>3</v>
      </c>
      <c r="J293" s="385">
        <v>50</v>
      </c>
      <c r="K293" s="114">
        <v>16.66</v>
      </c>
      <c r="L293" s="338" t="s">
        <v>409</v>
      </c>
    </row>
    <row r="294" spans="1:12" ht="15" customHeight="1">
      <c r="A294" s="403" t="s">
        <v>1887</v>
      </c>
      <c r="B294" s="402" t="s">
        <v>1888</v>
      </c>
      <c r="C294" s="238" t="s">
        <v>51</v>
      </c>
      <c r="D294" s="406" t="s">
        <v>1973</v>
      </c>
      <c r="E294" s="407" t="s">
        <v>1974</v>
      </c>
      <c r="F294" s="238" t="s">
        <v>1878</v>
      </c>
      <c r="G294" s="99">
        <v>4</v>
      </c>
      <c r="H294" s="99">
        <v>1</v>
      </c>
      <c r="I294" s="99">
        <v>4</v>
      </c>
      <c r="J294" s="385">
        <v>50</v>
      </c>
      <c r="K294" s="114">
        <v>12.5</v>
      </c>
      <c r="L294" s="338" t="s">
        <v>409</v>
      </c>
    </row>
    <row r="295" spans="1:12" ht="15" customHeight="1">
      <c r="A295" s="401" t="s">
        <v>1879</v>
      </c>
      <c r="B295" s="406" t="s">
        <v>1880</v>
      </c>
      <c r="C295" s="238" t="s">
        <v>51</v>
      </c>
      <c r="D295" s="406" t="s">
        <v>1975</v>
      </c>
      <c r="E295" s="407" t="s">
        <v>1393</v>
      </c>
      <c r="F295" s="238" t="s">
        <v>1878</v>
      </c>
      <c r="G295" s="99">
        <v>3</v>
      </c>
      <c r="H295" s="99">
        <v>1</v>
      </c>
      <c r="I295" s="99">
        <v>3</v>
      </c>
      <c r="J295" s="385">
        <v>50</v>
      </c>
      <c r="K295" s="114">
        <v>16.66</v>
      </c>
      <c r="L295" s="338" t="s">
        <v>409</v>
      </c>
    </row>
    <row r="296" spans="1:12" ht="15" customHeight="1">
      <c r="A296" s="406" t="s">
        <v>1976</v>
      </c>
      <c r="B296" s="406" t="s">
        <v>1977</v>
      </c>
      <c r="C296" s="238" t="s">
        <v>51</v>
      </c>
      <c r="D296" s="406" t="s">
        <v>1978</v>
      </c>
      <c r="E296" s="407" t="s">
        <v>1979</v>
      </c>
      <c r="F296" s="238" t="s">
        <v>1878</v>
      </c>
      <c r="G296" s="99">
        <v>3</v>
      </c>
      <c r="H296" s="99">
        <v>3</v>
      </c>
      <c r="I296" s="99">
        <v>3</v>
      </c>
      <c r="J296" s="385">
        <v>50</v>
      </c>
      <c r="K296" s="114">
        <v>16.66</v>
      </c>
      <c r="L296" s="338" t="s">
        <v>409</v>
      </c>
    </row>
    <row r="297" spans="1:12" ht="15" customHeight="1">
      <c r="A297" s="406" t="s">
        <v>1930</v>
      </c>
      <c r="B297" s="406" t="s">
        <v>1931</v>
      </c>
      <c r="C297" s="238" t="s">
        <v>51</v>
      </c>
      <c r="D297" s="406" t="s">
        <v>1980</v>
      </c>
      <c r="E297" s="407" t="s">
        <v>1981</v>
      </c>
      <c r="F297" s="238" t="s">
        <v>1878</v>
      </c>
      <c r="G297" s="99">
        <v>3</v>
      </c>
      <c r="H297" s="99">
        <v>3</v>
      </c>
      <c r="I297" s="99">
        <v>3</v>
      </c>
      <c r="J297" s="385">
        <v>50</v>
      </c>
      <c r="K297" s="114">
        <v>16.66</v>
      </c>
      <c r="L297" s="338" t="s">
        <v>409</v>
      </c>
    </row>
    <row r="298" spans="1:12" ht="15" customHeight="1">
      <c r="A298" s="406" t="s">
        <v>1982</v>
      </c>
      <c r="B298" s="406" t="s">
        <v>1983</v>
      </c>
      <c r="C298" s="238" t="s">
        <v>51</v>
      </c>
      <c r="D298" s="406" t="s">
        <v>1984</v>
      </c>
      <c r="E298" s="407" t="s">
        <v>1985</v>
      </c>
      <c r="F298" s="238" t="s">
        <v>1878</v>
      </c>
      <c r="G298" s="99">
        <v>1</v>
      </c>
      <c r="H298" s="99">
        <v>1</v>
      </c>
      <c r="I298" s="99">
        <v>2</v>
      </c>
      <c r="J298" s="385">
        <v>50</v>
      </c>
      <c r="K298" s="114">
        <v>50</v>
      </c>
      <c r="L298" s="338" t="s">
        <v>409</v>
      </c>
    </row>
    <row r="299" spans="1:12" ht="15" customHeight="1">
      <c r="A299" s="406" t="s">
        <v>1986</v>
      </c>
      <c r="B299" s="406" t="s">
        <v>1987</v>
      </c>
      <c r="C299" s="238" t="s">
        <v>51</v>
      </c>
      <c r="D299" s="406" t="s">
        <v>1988</v>
      </c>
      <c r="E299" s="407" t="s">
        <v>1989</v>
      </c>
      <c r="F299" s="238" t="s">
        <v>1990</v>
      </c>
      <c r="G299" s="99">
        <v>2</v>
      </c>
      <c r="H299" s="99">
        <v>1</v>
      </c>
      <c r="I299" s="99">
        <v>2</v>
      </c>
      <c r="J299" s="385">
        <v>50</v>
      </c>
      <c r="K299" s="114">
        <v>25</v>
      </c>
      <c r="L299" s="338" t="s">
        <v>409</v>
      </c>
    </row>
    <row r="300" spans="1:12" ht="15" customHeight="1">
      <c r="A300" s="401" t="s">
        <v>1879</v>
      </c>
      <c r="B300" s="406" t="s">
        <v>1880</v>
      </c>
      <c r="C300" s="238" t="s">
        <v>51</v>
      </c>
      <c r="D300" s="406" t="s">
        <v>1991</v>
      </c>
      <c r="E300" s="407" t="s">
        <v>1992</v>
      </c>
      <c r="F300" s="238" t="s">
        <v>1878</v>
      </c>
      <c r="G300" s="99">
        <v>3</v>
      </c>
      <c r="H300" s="99">
        <v>1</v>
      </c>
      <c r="I300" s="99">
        <v>3</v>
      </c>
      <c r="J300" s="385">
        <v>50</v>
      </c>
      <c r="K300" s="114">
        <v>16.66</v>
      </c>
      <c r="L300" s="338" t="s">
        <v>409</v>
      </c>
    </row>
    <row r="301" spans="1:12" ht="15" customHeight="1">
      <c r="A301" s="401" t="s">
        <v>1879</v>
      </c>
      <c r="B301" s="406" t="s">
        <v>1880</v>
      </c>
      <c r="C301" s="238" t="s">
        <v>51</v>
      </c>
      <c r="D301" s="406" t="s">
        <v>1993</v>
      </c>
      <c r="E301" s="407" t="s">
        <v>1994</v>
      </c>
      <c r="F301" s="238" t="s">
        <v>1878</v>
      </c>
      <c r="G301" s="99">
        <v>3</v>
      </c>
      <c r="H301" s="99">
        <v>1</v>
      </c>
      <c r="I301" s="99">
        <v>3</v>
      </c>
      <c r="J301" s="385">
        <v>50</v>
      </c>
      <c r="K301" s="114">
        <v>16.66</v>
      </c>
      <c r="L301" s="338" t="s">
        <v>409</v>
      </c>
    </row>
    <row r="302" spans="1:12" ht="15" customHeight="1">
      <c r="A302" s="406" t="s">
        <v>1995</v>
      </c>
      <c r="B302" s="406" t="s">
        <v>1996</v>
      </c>
      <c r="C302" s="238" t="s">
        <v>51</v>
      </c>
      <c r="D302" s="406" t="s">
        <v>1997</v>
      </c>
      <c r="E302" s="407" t="s">
        <v>1998</v>
      </c>
      <c r="F302" s="238" t="s">
        <v>1878</v>
      </c>
      <c r="G302" s="99">
        <v>4</v>
      </c>
      <c r="H302" s="99">
        <v>1</v>
      </c>
      <c r="I302" s="99">
        <v>4</v>
      </c>
      <c r="J302" s="385">
        <v>50</v>
      </c>
      <c r="K302" s="114">
        <v>12.5</v>
      </c>
      <c r="L302" s="338" t="s">
        <v>409</v>
      </c>
    </row>
    <row r="303" spans="1:12" ht="15" customHeight="1">
      <c r="A303" s="406" t="s">
        <v>1999</v>
      </c>
      <c r="B303" s="406" t="s">
        <v>2000</v>
      </c>
      <c r="C303" s="238" t="s">
        <v>51</v>
      </c>
      <c r="D303" s="406" t="s">
        <v>2001</v>
      </c>
      <c r="E303" s="382" t="s">
        <v>2002</v>
      </c>
      <c r="F303" s="238" t="s">
        <v>1878</v>
      </c>
      <c r="G303" s="99">
        <v>1</v>
      </c>
      <c r="H303" s="99">
        <v>1</v>
      </c>
      <c r="I303" s="99">
        <v>2</v>
      </c>
      <c r="J303" s="385">
        <v>50</v>
      </c>
      <c r="K303" s="114">
        <v>50</v>
      </c>
      <c r="L303" s="338" t="s">
        <v>409</v>
      </c>
    </row>
    <row r="304" spans="1:12" ht="15" customHeight="1">
      <c r="A304" s="406" t="s">
        <v>1930</v>
      </c>
      <c r="B304" s="406" t="s">
        <v>1931</v>
      </c>
      <c r="C304" s="238" t="s">
        <v>51</v>
      </c>
      <c r="D304" s="402" t="s">
        <v>2003</v>
      </c>
      <c r="E304" s="382" t="s">
        <v>2004</v>
      </c>
      <c r="F304" s="238" t="s">
        <v>1878</v>
      </c>
      <c r="G304" s="99">
        <v>3</v>
      </c>
      <c r="H304" s="99">
        <v>3</v>
      </c>
      <c r="I304" s="99">
        <v>3</v>
      </c>
      <c r="J304" s="385">
        <v>50</v>
      </c>
      <c r="K304" s="114">
        <v>16.66</v>
      </c>
      <c r="L304" s="338" t="s">
        <v>409</v>
      </c>
    </row>
    <row r="305" spans="1:12" ht="15" customHeight="1">
      <c r="A305" s="401" t="s">
        <v>1879</v>
      </c>
      <c r="B305" s="406" t="s">
        <v>1880</v>
      </c>
      <c r="C305" s="238" t="s">
        <v>51</v>
      </c>
      <c r="D305" s="402" t="s">
        <v>2005</v>
      </c>
      <c r="E305" s="382" t="s">
        <v>2006</v>
      </c>
      <c r="F305" s="238" t="s">
        <v>2007</v>
      </c>
      <c r="G305" s="99">
        <v>3</v>
      </c>
      <c r="H305" s="99">
        <v>1</v>
      </c>
      <c r="I305" s="99">
        <v>3</v>
      </c>
      <c r="J305" s="385">
        <v>50</v>
      </c>
      <c r="K305" s="114">
        <v>16.66</v>
      </c>
      <c r="L305" s="338" t="s">
        <v>409</v>
      </c>
    </row>
    <row r="306" spans="1:12" ht="15" customHeight="1">
      <c r="A306" s="406" t="s">
        <v>2008</v>
      </c>
      <c r="B306" s="406" t="s">
        <v>462</v>
      </c>
      <c r="C306" s="238" t="s">
        <v>51</v>
      </c>
      <c r="D306" s="402" t="s">
        <v>2009</v>
      </c>
      <c r="E306" s="382" t="s">
        <v>2010</v>
      </c>
      <c r="F306" s="238" t="s">
        <v>1878</v>
      </c>
      <c r="G306" s="99">
        <v>4</v>
      </c>
      <c r="H306" s="99">
        <v>3</v>
      </c>
      <c r="I306" s="99">
        <v>4</v>
      </c>
      <c r="J306" s="385">
        <v>50</v>
      </c>
      <c r="K306" s="114">
        <v>12.5</v>
      </c>
      <c r="L306" s="338" t="s">
        <v>409</v>
      </c>
    </row>
    <row r="307" spans="1:12" ht="15" customHeight="1">
      <c r="A307" s="406" t="s">
        <v>1930</v>
      </c>
      <c r="B307" s="406" t="s">
        <v>1931</v>
      </c>
      <c r="C307" s="238" t="s">
        <v>51</v>
      </c>
      <c r="D307" s="402" t="s">
        <v>2011</v>
      </c>
      <c r="E307" s="382" t="s">
        <v>2012</v>
      </c>
      <c r="F307" s="238" t="s">
        <v>1990</v>
      </c>
      <c r="G307" s="99">
        <v>3</v>
      </c>
      <c r="H307" s="99">
        <v>3</v>
      </c>
      <c r="I307" s="99">
        <v>3</v>
      </c>
      <c r="J307" s="385">
        <v>50</v>
      </c>
      <c r="K307" s="114">
        <v>16.66</v>
      </c>
      <c r="L307" s="338" t="s">
        <v>409</v>
      </c>
    </row>
    <row r="308" spans="1:12" ht="15" customHeight="1">
      <c r="A308" s="406" t="s">
        <v>1926</v>
      </c>
      <c r="B308" s="406" t="s">
        <v>1927</v>
      </c>
      <c r="C308" s="238" t="s">
        <v>51</v>
      </c>
      <c r="D308" s="402" t="s">
        <v>2013</v>
      </c>
      <c r="E308" s="382" t="s">
        <v>2014</v>
      </c>
      <c r="F308" s="238" t="s">
        <v>1878</v>
      </c>
      <c r="G308" s="99">
        <v>2</v>
      </c>
      <c r="H308" s="99">
        <v>2</v>
      </c>
      <c r="I308" s="99">
        <v>2</v>
      </c>
      <c r="J308" s="385">
        <v>50</v>
      </c>
      <c r="K308" s="114">
        <v>25</v>
      </c>
      <c r="L308" s="338" t="s">
        <v>409</v>
      </c>
    </row>
    <row r="309" spans="1:12" ht="15" customHeight="1">
      <c r="A309" s="401" t="s">
        <v>1879</v>
      </c>
      <c r="B309" s="406" t="s">
        <v>1880</v>
      </c>
      <c r="C309" s="238" t="s">
        <v>51</v>
      </c>
      <c r="D309" s="402" t="s">
        <v>2015</v>
      </c>
      <c r="E309" s="382" t="s">
        <v>2016</v>
      </c>
      <c r="F309" s="238" t="s">
        <v>1878</v>
      </c>
      <c r="G309" s="99">
        <v>3</v>
      </c>
      <c r="H309" s="99">
        <v>1</v>
      </c>
      <c r="I309" s="99">
        <v>3</v>
      </c>
      <c r="J309" s="385">
        <v>50</v>
      </c>
      <c r="K309" s="114">
        <v>16.66</v>
      </c>
      <c r="L309" s="338" t="s">
        <v>409</v>
      </c>
    </row>
    <row r="310" spans="1:12" ht="15" customHeight="1">
      <c r="A310" s="401" t="s">
        <v>2017</v>
      </c>
      <c r="B310" s="406" t="s">
        <v>2018</v>
      </c>
      <c r="C310" s="238" t="s">
        <v>51</v>
      </c>
      <c r="D310" s="402" t="s">
        <v>2019</v>
      </c>
      <c r="E310" s="382" t="s">
        <v>2020</v>
      </c>
      <c r="F310" s="238" t="s">
        <v>1990</v>
      </c>
      <c r="G310" s="99">
        <v>4</v>
      </c>
      <c r="H310" s="99">
        <v>3</v>
      </c>
      <c r="I310" s="99">
        <v>4</v>
      </c>
      <c r="J310" s="385">
        <v>50</v>
      </c>
      <c r="K310" s="114">
        <v>16.66</v>
      </c>
      <c r="L310" s="338" t="s">
        <v>409</v>
      </c>
    </row>
    <row r="311" spans="1:12" ht="15" customHeight="1">
      <c r="A311" s="401" t="s">
        <v>2017</v>
      </c>
      <c r="B311" s="406" t="s">
        <v>2018</v>
      </c>
      <c r="C311" s="238" t="s">
        <v>51</v>
      </c>
      <c r="D311" s="402" t="s">
        <v>2015</v>
      </c>
      <c r="E311" s="382" t="s">
        <v>2016</v>
      </c>
      <c r="F311" s="238" t="s">
        <v>1878</v>
      </c>
      <c r="G311" s="99">
        <v>4</v>
      </c>
      <c r="H311" s="99">
        <v>3</v>
      </c>
      <c r="I311" s="99">
        <v>4</v>
      </c>
      <c r="J311" s="385">
        <v>50</v>
      </c>
      <c r="K311" s="114">
        <v>16.66</v>
      </c>
      <c r="L311" s="338" t="s">
        <v>409</v>
      </c>
    </row>
    <row r="312" spans="1:12" ht="15" customHeight="1">
      <c r="A312" s="401" t="s">
        <v>1874</v>
      </c>
      <c r="B312" s="402" t="s">
        <v>1875</v>
      </c>
      <c r="C312" s="402" t="s">
        <v>51</v>
      </c>
      <c r="D312" s="402" t="s">
        <v>2021</v>
      </c>
      <c r="E312" s="382" t="s">
        <v>2022</v>
      </c>
      <c r="F312" s="238" t="s">
        <v>1878</v>
      </c>
      <c r="G312" s="99">
        <v>2</v>
      </c>
      <c r="H312" s="99">
        <v>1</v>
      </c>
      <c r="I312" s="99">
        <v>2</v>
      </c>
      <c r="J312" s="385">
        <v>50</v>
      </c>
      <c r="K312" s="114">
        <v>25</v>
      </c>
      <c r="L312" s="338" t="s">
        <v>409</v>
      </c>
    </row>
    <row r="313" spans="1:12" ht="15" customHeight="1">
      <c r="A313" s="401" t="s">
        <v>1874</v>
      </c>
      <c r="B313" s="402" t="s">
        <v>1875</v>
      </c>
      <c r="C313" s="402" t="s">
        <v>51</v>
      </c>
      <c r="D313" s="402" t="s">
        <v>2023</v>
      </c>
      <c r="E313" s="382" t="s">
        <v>2024</v>
      </c>
      <c r="F313" s="238" t="s">
        <v>1990</v>
      </c>
      <c r="G313" s="99">
        <v>2</v>
      </c>
      <c r="H313" s="99">
        <v>1</v>
      </c>
      <c r="I313" s="99">
        <v>2</v>
      </c>
      <c r="J313" s="385">
        <v>50</v>
      </c>
      <c r="K313" s="114">
        <v>25</v>
      </c>
      <c r="L313" s="338" t="s">
        <v>409</v>
      </c>
    </row>
    <row r="314" spans="1:12" ht="15" customHeight="1">
      <c r="A314" s="401" t="s">
        <v>1879</v>
      </c>
      <c r="B314" s="406" t="s">
        <v>1880</v>
      </c>
      <c r="C314" s="238" t="s">
        <v>51</v>
      </c>
      <c r="D314" s="402" t="s">
        <v>2025</v>
      </c>
      <c r="E314" s="382" t="s">
        <v>2026</v>
      </c>
      <c r="F314" s="238" t="s">
        <v>1878</v>
      </c>
      <c r="G314" s="99">
        <v>3</v>
      </c>
      <c r="H314" s="99">
        <v>1</v>
      </c>
      <c r="I314" s="99">
        <v>3</v>
      </c>
      <c r="J314" s="385">
        <v>50</v>
      </c>
      <c r="K314" s="114">
        <v>16.66</v>
      </c>
      <c r="L314" s="338" t="s">
        <v>409</v>
      </c>
    </row>
    <row r="315" spans="1:12" ht="15" customHeight="1">
      <c r="A315" s="401" t="s">
        <v>2017</v>
      </c>
      <c r="B315" s="406" t="s">
        <v>2018</v>
      </c>
      <c r="C315" s="238" t="s">
        <v>51</v>
      </c>
      <c r="D315" s="402" t="s">
        <v>2027</v>
      </c>
      <c r="E315" s="382" t="s">
        <v>2028</v>
      </c>
      <c r="F315" s="238" t="s">
        <v>1878</v>
      </c>
      <c r="G315" s="99">
        <v>4</v>
      </c>
      <c r="H315" s="99">
        <v>3</v>
      </c>
      <c r="I315" s="99">
        <v>4</v>
      </c>
      <c r="J315" s="385">
        <v>50</v>
      </c>
      <c r="K315" s="114">
        <v>16.66</v>
      </c>
      <c r="L315" s="338" t="s">
        <v>409</v>
      </c>
    </row>
    <row r="316" spans="1:12" ht="15" customHeight="1">
      <c r="A316" s="406" t="s">
        <v>1999</v>
      </c>
      <c r="B316" s="406" t="s">
        <v>2029</v>
      </c>
      <c r="C316" s="238" t="s">
        <v>51</v>
      </c>
      <c r="D316" s="402" t="s">
        <v>2030</v>
      </c>
      <c r="E316" s="382" t="s">
        <v>2031</v>
      </c>
      <c r="F316" s="238" t="s">
        <v>1878</v>
      </c>
      <c r="G316" s="99">
        <v>2</v>
      </c>
      <c r="H316" s="99">
        <v>1</v>
      </c>
      <c r="I316" s="99">
        <v>2</v>
      </c>
      <c r="J316" s="385">
        <v>50</v>
      </c>
      <c r="K316" s="114">
        <v>50</v>
      </c>
      <c r="L316" s="338" t="s">
        <v>409</v>
      </c>
    </row>
    <row r="317" spans="1:12" ht="15" customHeight="1">
      <c r="A317" s="401" t="s">
        <v>1879</v>
      </c>
      <c r="B317" s="406" t="s">
        <v>1880</v>
      </c>
      <c r="C317" s="238" t="s">
        <v>51</v>
      </c>
      <c r="D317" s="402" t="s">
        <v>2032</v>
      </c>
      <c r="E317" s="382" t="s">
        <v>2033</v>
      </c>
      <c r="F317" s="238" t="s">
        <v>1990</v>
      </c>
      <c r="G317" s="99">
        <v>3</v>
      </c>
      <c r="H317" s="99">
        <v>1</v>
      </c>
      <c r="I317" s="99">
        <v>3</v>
      </c>
      <c r="J317" s="385">
        <v>50</v>
      </c>
      <c r="K317" s="114">
        <v>16.66</v>
      </c>
      <c r="L317" s="338" t="s">
        <v>409</v>
      </c>
    </row>
    <row r="318" spans="1:12" ht="15" customHeight="1">
      <c r="A318" s="406" t="s">
        <v>1930</v>
      </c>
      <c r="B318" s="406" t="s">
        <v>1931</v>
      </c>
      <c r="C318" s="238" t="s">
        <v>51</v>
      </c>
      <c r="D318" s="402" t="s">
        <v>2032</v>
      </c>
      <c r="E318" s="382" t="s">
        <v>2033</v>
      </c>
      <c r="F318" s="238" t="s">
        <v>1990</v>
      </c>
      <c r="G318" s="99">
        <v>3</v>
      </c>
      <c r="H318" s="99">
        <v>3</v>
      </c>
      <c r="I318" s="99">
        <v>3</v>
      </c>
      <c r="J318" s="385">
        <v>50</v>
      </c>
      <c r="K318" s="114">
        <v>16.66</v>
      </c>
      <c r="L318" s="338" t="s">
        <v>409</v>
      </c>
    </row>
    <row r="319" spans="1:12" ht="15" customHeight="1">
      <c r="A319" s="406" t="s">
        <v>2034</v>
      </c>
      <c r="B319" s="406" t="s">
        <v>2035</v>
      </c>
      <c r="C319" s="238" t="s">
        <v>51</v>
      </c>
      <c r="D319" s="402" t="s">
        <v>2036</v>
      </c>
      <c r="E319" s="382" t="s">
        <v>2037</v>
      </c>
      <c r="F319" s="238" t="s">
        <v>1878</v>
      </c>
      <c r="G319" s="99">
        <v>1</v>
      </c>
      <c r="H319" s="99">
        <v>1</v>
      </c>
      <c r="I319" s="99">
        <v>8</v>
      </c>
      <c r="J319" s="385">
        <v>50</v>
      </c>
      <c r="K319" s="114">
        <v>50</v>
      </c>
      <c r="L319" s="338" t="s">
        <v>409</v>
      </c>
    </row>
    <row r="320" spans="1:12" ht="15" customHeight="1">
      <c r="A320" s="401" t="s">
        <v>1874</v>
      </c>
      <c r="B320" s="402" t="s">
        <v>1875</v>
      </c>
      <c r="C320" s="402" t="s">
        <v>51</v>
      </c>
      <c r="D320" s="402" t="s">
        <v>2023</v>
      </c>
      <c r="E320" s="382" t="s">
        <v>2038</v>
      </c>
      <c r="F320" s="238" t="s">
        <v>1990</v>
      </c>
      <c r="G320" s="99">
        <v>2</v>
      </c>
      <c r="H320" s="99">
        <v>1</v>
      </c>
      <c r="I320" s="99">
        <v>2</v>
      </c>
      <c r="J320" s="385">
        <v>50</v>
      </c>
      <c r="K320" s="114">
        <v>25</v>
      </c>
      <c r="L320" s="338" t="s">
        <v>409</v>
      </c>
    </row>
    <row r="321" spans="1:12" ht="15" customHeight="1">
      <c r="A321" s="401" t="s">
        <v>1879</v>
      </c>
      <c r="B321" s="406" t="s">
        <v>1880</v>
      </c>
      <c r="C321" s="238" t="s">
        <v>51</v>
      </c>
      <c r="D321" s="402" t="s">
        <v>2039</v>
      </c>
      <c r="E321" s="382" t="s">
        <v>1381</v>
      </c>
      <c r="F321" s="238" t="s">
        <v>1878</v>
      </c>
      <c r="G321" s="99">
        <v>3</v>
      </c>
      <c r="H321" s="99">
        <v>1</v>
      </c>
      <c r="I321" s="99">
        <v>3</v>
      </c>
      <c r="J321" s="385">
        <v>50</v>
      </c>
      <c r="K321" s="114">
        <v>16.66</v>
      </c>
      <c r="L321" s="338" t="s">
        <v>409</v>
      </c>
    </row>
    <row r="322" spans="1:12" ht="15" customHeight="1">
      <c r="A322" s="406" t="s">
        <v>1907</v>
      </c>
      <c r="B322" s="408" t="s">
        <v>1908</v>
      </c>
      <c r="C322" s="238" t="s">
        <v>51</v>
      </c>
      <c r="D322" s="402" t="s">
        <v>2040</v>
      </c>
      <c r="E322" s="382" t="s">
        <v>2041</v>
      </c>
      <c r="F322" s="238" t="s">
        <v>1878</v>
      </c>
      <c r="G322" s="99">
        <v>1</v>
      </c>
      <c r="H322" s="99">
        <v>1</v>
      </c>
      <c r="I322" s="99">
        <v>5</v>
      </c>
      <c r="J322" s="385">
        <v>50</v>
      </c>
      <c r="K322" s="114">
        <v>50</v>
      </c>
      <c r="L322" s="338" t="s">
        <v>409</v>
      </c>
    </row>
    <row r="323" spans="1:12" ht="15" customHeight="1">
      <c r="A323" s="406" t="s">
        <v>1900</v>
      </c>
      <c r="B323" s="408" t="s">
        <v>1901</v>
      </c>
      <c r="C323" s="238" t="s">
        <v>51</v>
      </c>
      <c r="D323" s="402" t="s">
        <v>2042</v>
      </c>
      <c r="E323" s="382" t="s">
        <v>2043</v>
      </c>
      <c r="F323" s="238" t="s">
        <v>1878</v>
      </c>
      <c r="G323" s="99">
        <v>10</v>
      </c>
      <c r="H323" s="99">
        <v>1</v>
      </c>
      <c r="I323" s="99">
        <v>10</v>
      </c>
      <c r="J323" s="385">
        <v>50</v>
      </c>
      <c r="K323" s="114">
        <v>5</v>
      </c>
      <c r="L323" s="338" t="s">
        <v>409</v>
      </c>
    </row>
    <row r="324" spans="1:12" ht="15" customHeight="1">
      <c r="A324" s="406" t="s">
        <v>1930</v>
      </c>
      <c r="B324" s="406" t="s">
        <v>1931</v>
      </c>
      <c r="C324" s="238" t="s">
        <v>51</v>
      </c>
      <c r="D324" s="402" t="s">
        <v>2044</v>
      </c>
      <c r="E324" s="382" t="s">
        <v>2045</v>
      </c>
      <c r="F324" s="238" t="s">
        <v>1878</v>
      </c>
      <c r="G324" s="99">
        <v>3</v>
      </c>
      <c r="H324" s="99">
        <v>3</v>
      </c>
      <c r="I324" s="99">
        <v>3</v>
      </c>
      <c r="J324" s="385">
        <v>50</v>
      </c>
      <c r="K324" s="114">
        <v>16.66</v>
      </c>
      <c r="L324" s="338" t="s">
        <v>409</v>
      </c>
    </row>
    <row r="325" spans="1:12" ht="15" customHeight="1">
      <c r="A325" s="406" t="s">
        <v>1930</v>
      </c>
      <c r="B325" s="406" t="s">
        <v>1931</v>
      </c>
      <c r="C325" s="238" t="s">
        <v>51</v>
      </c>
      <c r="D325" s="402" t="s">
        <v>2046</v>
      </c>
      <c r="E325" s="382" t="s">
        <v>2047</v>
      </c>
      <c r="F325" s="238" t="s">
        <v>1878</v>
      </c>
      <c r="G325" s="99">
        <v>3</v>
      </c>
      <c r="H325" s="99">
        <v>3</v>
      </c>
      <c r="I325" s="99">
        <v>3</v>
      </c>
      <c r="J325" s="385">
        <v>50</v>
      </c>
      <c r="K325" s="114">
        <v>16.66</v>
      </c>
      <c r="L325" s="338" t="s">
        <v>409</v>
      </c>
    </row>
    <row r="326" spans="1:12" ht="15" customHeight="1">
      <c r="A326" s="406" t="s">
        <v>1900</v>
      </c>
      <c r="B326" s="408" t="s">
        <v>1901</v>
      </c>
      <c r="C326" s="238" t="s">
        <v>51</v>
      </c>
      <c r="D326" s="402" t="s">
        <v>2048</v>
      </c>
      <c r="E326" s="382" t="s">
        <v>2049</v>
      </c>
      <c r="F326" s="238" t="s">
        <v>1878</v>
      </c>
      <c r="G326" s="99">
        <v>10</v>
      </c>
      <c r="H326" s="99">
        <v>1</v>
      </c>
      <c r="I326" s="99">
        <v>10</v>
      </c>
      <c r="J326" s="385">
        <v>50</v>
      </c>
      <c r="K326" s="114">
        <v>5</v>
      </c>
      <c r="L326" s="338" t="s">
        <v>409</v>
      </c>
    </row>
    <row r="327" spans="1:12" ht="15" customHeight="1">
      <c r="A327" s="406" t="s">
        <v>1930</v>
      </c>
      <c r="B327" s="406" t="s">
        <v>1931</v>
      </c>
      <c r="C327" s="238" t="s">
        <v>51</v>
      </c>
      <c r="D327" s="402" t="s">
        <v>2050</v>
      </c>
      <c r="E327" s="382" t="s">
        <v>2051</v>
      </c>
      <c r="F327" s="238" t="s">
        <v>1878</v>
      </c>
      <c r="G327" s="99">
        <v>3</v>
      </c>
      <c r="H327" s="99">
        <v>3</v>
      </c>
      <c r="I327" s="99">
        <v>3</v>
      </c>
      <c r="J327" s="385">
        <v>50</v>
      </c>
      <c r="K327" s="114">
        <v>16.66</v>
      </c>
      <c r="L327" s="338" t="s">
        <v>409</v>
      </c>
    </row>
    <row r="328" spans="1:12" ht="15" customHeight="1">
      <c r="A328" s="406" t="s">
        <v>1930</v>
      </c>
      <c r="B328" s="406" t="s">
        <v>1931</v>
      </c>
      <c r="C328" s="238" t="s">
        <v>51</v>
      </c>
      <c r="D328" s="402" t="s">
        <v>2052</v>
      </c>
      <c r="E328" s="382" t="s">
        <v>2053</v>
      </c>
      <c r="F328" s="238" t="s">
        <v>1990</v>
      </c>
      <c r="G328" s="99">
        <v>3</v>
      </c>
      <c r="H328" s="99">
        <v>3</v>
      </c>
      <c r="I328" s="99">
        <v>3</v>
      </c>
      <c r="J328" s="385">
        <v>50</v>
      </c>
      <c r="K328" s="114">
        <v>16.66</v>
      </c>
      <c r="L328" s="338" t="s">
        <v>409</v>
      </c>
    </row>
    <row r="329" spans="1:12" ht="15" customHeight="1">
      <c r="A329" s="406" t="s">
        <v>1930</v>
      </c>
      <c r="B329" s="406" t="s">
        <v>1931</v>
      </c>
      <c r="C329" s="238" t="s">
        <v>51</v>
      </c>
      <c r="D329" s="402" t="s">
        <v>2054</v>
      </c>
      <c r="E329" s="382" t="s">
        <v>2055</v>
      </c>
      <c r="F329" s="238" t="s">
        <v>1878</v>
      </c>
      <c r="G329" s="99">
        <v>3</v>
      </c>
      <c r="H329" s="99">
        <v>3</v>
      </c>
      <c r="I329" s="99">
        <v>3</v>
      </c>
      <c r="J329" s="385">
        <v>50</v>
      </c>
      <c r="K329" s="114">
        <v>16.66</v>
      </c>
      <c r="L329" s="338" t="s">
        <v>409</v>
      </c>
    </row>
    <row r="330" spans="1:12" ht="15" customHeight="1">
      <c r="A330" s="406" t="s">
        <v>1930</v>
      </c>
      <c r="B330" s="406" t="s">
        <v>1931</v>
      </c>
      <c r="C330" s="238" t="s">
        <v>51</v>
      </c>
      <c r="D330" s="402" t="s">
        <v>2056</v>
      </c>
      <c r="E330" s="382" t="s">
        <v>1622</v>
      </c>
      <c r="F330" s="238" t="s">
        <v>1878</v>
      </c>
      <c r="G330" s="99">
        <v>3</v>
      </c>
      <c r="H330" s="99">
        <v>3</v>
      </c>
      <c r="I330" s="99">
        <v>3</v>
      </c>
      <c r="J330" s="385">
        <v>50</v>
      </c>
      <c r="K330" s="114">
        <v>16.66</v>
      </c>
      <c r="L330" s="338" t="s">
        <v>409</v>
      </c>
    </row>
    <row r="331" spans="1:12" ht="15" customHeight="1">
      <c r="A331" s="406" t="s">
        <v>1930</v>
      </c>
      <c r="B331" s="406" t="s">
        <v>1931</v>
      </c>
      <c r="C331" s="238" t="s">
        <v>51</v>
      </c>
      <c r="D331" s="402" t="s">
        <v>2057</v>
      </c>
      <c r="E331" s="382" t="s">
        <v>2058</v>
      </c>
      <c r="F331" s="238" t="s">
        <v>2007</v>
      </c>
      <c r="G331" s="99">
        <v>3</v>
      </c>
      <c r="H331" s="99">
        <v>3</v>
      </c>
      <c r="I331" s="99">
        <v>3</v>
      </c>
      <c r="J331" s="385">
        <v>50</v>
      </c>
      <c r="K331" s="114">
        <v>16.66</v>
      </c>
      <c r="L331" s="338" t="s">
        <v>409</v>
      </c>
    </row>
    <row r="332" spans="1:12" ht="15" customHeight="1">
      <c r="A332" s="406" t="s">
        <v>1930</v>
      </c>
      <c r="B332" s="406" t="s">
        <v>1931</v>
      </c>
      <c r="C332" s="238" t="s">
        <v>51</v>
      </c>
      <c r="D332" s="402" t="s">
        <v>2059</v>
      </c>
      <c r="E332" s="382" t="s">
        <v>2060</v>
      </c>
      <c r="F332" s="238" t="s">
        <v>1878</v>
      </c>
      <c r="G332" s="99">
        <v>3</v>
      </c>
      <c r="H332" s="99">
        <v>3</v>
      </c>
      <c r="I332" s="99">
        <v>3</v>
      </c>
      <c r="J332" s="385">
        <v>50</v>
      </c>
      <c r="K332" s="114">
        <v>16.66</v>
      </c>
      <c r="L332" s="338" t="s">
        <v>409</v>
      </c>
    </row>
    <row r="333" spans="1:12" ht="15" customHeight="1">
      <c r="A333" s="406" t="s">
        <v>1900</v>
      </c>
      <c r="B333" s="408" t="s">
        <v>1901</v>
      </c>
      <c r="C333" s="238" t="s">
        <v>51</v>
      </c>
      <c r="D333" s="402" t="s">
        <v>2061</v>
      </c>
      <c r="E333" s="382" t="s">
        <v>2062</v>
      </c>
      <c r="F333" s="238" t="s">
        <v>1878</v>
      </c>
      <c r="G333" s="99">
        <v>10</v>
      </c>
      <c r="H333" s="99">
        <v>1</v>
      </c>
      <c r="I333" s="99">
        <v>10</v>
      </c>
      <c r="J333" s="385">
        <v>50</v>
      </c>
      <c r="K333" s="114">
        <v>5</v>
      </c>
      <c r="L333" s="338" t="s">
        <v>409</v>
      </c>
    </row>
    <row r="334" spans="1:12" ht="15" customHeight="1">
      <c r="A334" s="401" t="s">
        <v>1874</v>
      </c>
      <c r="B334" s="402" t="s">
        <v>1875</v>
      </c>
      <c r="C334" s="238" t="s">
        <v>51</v>
      </c>
      <c r="D334" s="403" t="s">
        <v>2063</v>
      </c>
      <c r="E334" s="403" t="s">
        <v>2063</v>
      </c>
      <c r="F334" s="238" t="s">
        <v>1878</v>
      </c>
      <c r="G334" s="99">
        <v>2</v>
      </c>
      <c r="H334" s="99">
        <v>1</v>
      </c>
      <c r="I334" s="99">
        <v>2</v>
      </c>
      <c r="J334" s="385">
        <v>50</v>
      </c>
      <c r="K334" s="114">
        <v>25</v>
      </c>
      <c r="L334" s="338" t="s">
        <v>409</v>
      </c>
    </row>
    <row r="335" spans="1:12" ht="15" customHeight="1">
      <c r="A335" s="401" t="s">
        <v>1874</v>
      </c>
      <c r="B335" s="402" t="s">
        <v>1875</v>
      </c>
      <c r="C335" s="238" t="s">
        <v>51</v>
      </c>
      <c r="D335" s="403" t="s">
        <v>2064</v>
      </c>
      <c r="E335" s="403" t="s">
        <v>2064</v>
      </c>
      <c r="F335" s="238" t="s">
        <v>1878</v>
      </c>
      <c r="G335" s="99">
        <v>2</v>
      </c>
      <c r="H335" s="99">
        <v>1</v>
      </c>
      <c r="I335" s="99">
        <v>2</v>
      </c>
      <c r="J335" s="385">
        <v>50</v>
      </c>
      <c r="K335" s="114">
        <v>25</v>
      </c>
      <c r="L335" s="338" t="s">
        <v>409</v>
      </c>
    </row>
    <row r="336" spans="1:12" ht="15" customHeight="1">
      <c r="A336" s="401" t="s">
        <v>2065</v>
      </c>
      <c r="B336" s="406" t="s">
        <v>2066</v>
      </c>
      <c r="C336" s="238" t="s">
        <v>51</v>
      </c>
      <c r="D336" s="403" t="s">
        <v>2067</v>
      </c>
      <c r="E336" s="404" t="s">
        <v>2068</v>
      </c>
      <c r="F336" s="238" t="s">
        <v>1990</v>
      </c>
      <c r="G336" s="99">
        <v>1</v>
      </c>
      <c r="H336" s="99">
        <v>1</v>
      </c>
      <c r="I336" s="99">
        <v>7</v>
      </c>
      <c r="J336" s="385">
        <v>50</v>
      </c>
      <c r="K336" s="114">
        <v>50</v>
      </c>
      <c r="L336" s="338" t="s">
        <v>409</v>
      </c>
    </row>
    <row r="337" spans="1:12" ht="15" customHeight="1">
      <c r="A337" s="408" t="s">
        <v>1915</v>
      </c>
      <c r="B337" s="408" t="s">
        <v>1916</v>
      </c>
      <c r="C337" s="408" t="s">
        <v>51</v>
      </c>
      <c r="D337" s="403" t="s">
        <v>2069</v>
      </c>
      <c r="E337" s="382" t="s">
        <v>2070</v>
      </c>
      <c r="F337" s="238" t="s">
        <v>1878</v>
      </c>
      <c r="G337" s="99">
        <v>6</v>
      </c>
      <c r="H337" s="99">
        <v>1</v>
      </c>
      <c r="I337" s="99">
        <v>6</v>
      </c>
      <c r="J337" s="385">
        <v>50</v>
      </c>
      <c r="K337" s="114">
        <v>8.33</v>
      </c>
      <c r="L337" s="338" t="s">
        <v>409</v>
      </c>
    </row>
    <row r="338" spans="1:12" ht="15" customHeight="1">
      <c r="A338" s="406" t="s">
        <v>1930</v>
      </c>
      <c r="B338" s="406" t="s">
        <v>1931</v>
      </c>
      <c r="C338" s="238" t="s">
        <v>51</v>
      </c>
      <c r="D338" s="403" t="s">
        <v>2071</v>
      </c>
      <c r="E338" s="404" t="s">
        <v>2058</v>
      </c>
      <c r="F338" s="238" t="s">
        <v>2072</v>
      </c>
      <c r="G338" s="99">
        <v>3</v>
      </c>
      <c r="H338" s="99">
        <v>3</v>
      </c>
      <c r="I338" s="99">
        <v>3</v>
      </c>
      <c r="J338" s="385">
        <v>50</v>
      </c>
      <c r="K338" s="114">
        <v>16.66</v>
      </c>
      <c r="L338" s="338" t="s">
        <v>409</v>
      </c>
    </row>
    <row r="339" spans="1:12" ht="15" customHeight="1">
      <c r="A339" s="406" t="s">
        <v>1900</v>
      </c>
      <c r="B339" s="408" t="s">
        <v>1901</v>
      </c>
      <c r="C339" s="238" t="s">
        <v>51</v>
      </c>
      <c r="D339" s="406" t="s">
        <v>2073</v>
      </c>
      <c r="E339" s="407" t="s">
        <v>2074</v>
      </c>
      <c r="F339" s="238" t="s">
        <v>1990</v>
      </c>
      <c r="G339" s="99">
        <v>10</v>
      </c>
      <c r="H339" s="99">
        <v>1</v>
      </c>
      <c r="I339" s="99">
        <v>10</v>
      </c>
      <c r="J339" s="385">
        <v>50</v>
      </c>
      <c r="K339" s="114">
        <v>5</v>
      </c>
      <c r="L339" s="338" t="s">
        <v>409</v>
      </c>
    </row>
    <row r="340" spans="1:12" ht="15" customHeight="1">
      <c r="A340" s="406" t="s">
        <v>1930</v>
      </c>
      <c r="B340" s="406" t="s">
        <v>1931</v>
      </c>
      <c r="C340" s="238" t="s">
        <v>51</v>
      </c>
      <c r="D340" s="402" t="s">
        <v>2059</v>
      </c>
      <c r="E340" s="382" t="s">
        <v>2060</v>
      </c>
      <c r="F340" s="238" t="s">
        <v>1878</v>
      </c>
      <c r="G340" s="99">
        <v>3</v>
      </c>
      <c r="H340" s="99">
        <v>3</v>
      </c>
      <c r="I340" s="99">
        <v>3</v>
      </c>
      <c r="J340" s="385">
        <v>50</v>
      </c>
      <c r="K340" s="114">
        <v>16.66</v>
      </c>
      <c r="L340" s="338" t="s">
        <v>409</v>
      </c>
    </row>
    <row r="341" spans="1:12" ht="15" customHeight="1">
      <c r="A341" s="401" t="s">
        <v>1879</v>
      </c>
      <c r="B341" s="402" t="s">
        <v>1880</v>
      </c>
      <c r="C341" s="238" t="s">
        <v>51</v>
      </c>
      <c r="D341" s="402" t="s">
        <v>2075</v>
      </c>
      <c r="E341" s="382" t="s">
        <v>2076</v>
      </c>
      <c r="F341" s="238" t="s">
        <v>1878</v>
      </c>
      <c r="G341" s="99">
        <v>3</v>
      </c>
      <c r="H341" s="99">
        <v>1</v>
      </c>
      <c r="I341" s="99">
        <v>3</v>
      </c>
      <c r="J341" s="385">
        <v>50</v>
      </c>
      <c r="K341" s="114">
        <v>16.66</v>
      </c>
      <c r="L341" s="338" t="s">
        <v>409</v>
      </c>
    </row>
    <row r="342" spans="1:12" ht="15" customHeight="1">
      <c r="A342" s="403" t="s">
        <v>1887</v>
      </c>
      <c r="B342" s="402" t="s">
        <v>1888</v>
      </c>
      <c r="C342" s="238" t="s">
        <v>51</v>
      </c>
      <c r="D342" s="402" t="s">
        <v>2077</v>
      </c>
      <c r="E342" s="382" t="s">
        <v>2078</v>
      </c>
      <c r="F342" s="238" t="s">
        <v>1878</v>
      </c>
      <c r="G342" s="99">
        <v>4</v>
      </c>
      <c r="H342" s="99">
        <v>1</v>
      </c>
      <c r="I342" s="99">
        <v>40</v>
      </c>
      <c r="J342" s="385">
        <v>50</v>
      </c>
      <c r="K342" s="114">
        <v>12.5</v>
      </c>
      <c r="L342" s="338" t="s">
        <v>409</v>
      </c>
    </row>
    <row r="343" spans="1:12" ht="15" customHeight="1">
      <c r="A343" s="401" t="s">
        <v>2079</v>
      </c>
      <c r="B343" s="402" t="s">
        <v>1875</v>
      </c>
      <c r="C343" s="238" t="s">
        <v>51</v>
      </c>
      <c r="D343" s="402" t="s">
        <v>2080</v>
      </c>
      <c r="E343" s="382" t="s">
        <v>2081</v>
      </c>
      <c r="F343" s="238" t="s">
        <v>1878</v>
      </c>
      <c r="G343" s="99">
        <v>2</v>
      </c>
      <c r="H343" s="99">
        <v>1</v>
      </c>
      <c r="I343" s="99">
        <v>2</v>
      </c>
      <c r="J343" s="385">
        <v>50</v>
      </c>
      <c r="K343" s="114">
        <v>25</v>
      </c>
      <c r="L343" s="338" t="s">
        <v>409</v>
      </c>
    </row>
    <row r="344" spans="1:12" ht="15" customHeight="1">
      <c r="A344" s="401" t="s">
        <v>2079</v>
      </c>
      <c r="B344" s="402" t="s">
        <v>1875</v>
      </c>
      <c r="C344" s="238" t="s">
        <v>51</v>
      </c>
      <c r="D344" s="402" t="s">
        <v>2082</v>
      </c>
      <c r="E344" s="382" t="s">
        <v>2083</v>
      </c>
      <c r="F344" s="238" t="s">
        <v>1878</v>
      </c>
      <c r="G344" s="99">
        <v>2</v>
      </c>
      <c r="H344" s="99">
        <v>1</v>
      </c>
      <c r="I344" s="99">
        <v>2</v>
      </c>
      <c r="J344" s="385">
        <v>50</v>
      </c>
      <c r="K344" s="114">
        <v>25</v>
      </c>
      <c r="L344" s="338" t="s">
        <v>409</v>
      </c>
    </row>
    <row r="345" spans="1:12" ht="15" customHeight="1">
      <c r="A345" s="401" t="s">
        <v>2079</v>
      </c>
      <c r="B345" s="402" t="s">
        <v>1875</v>
      </c>
      <c r="C345" s="238" t="s">
        <v>51</v>
      </c>
      <c r="D345" s="402" t="s">
        <v>2084</v>
      </c>
      <c r="E345" s="382" t="s">
        <v>2085</v>
      </c>
      <c r="F345" s="238" t="s">
        <v>1878</v>
      </c>
      <c r="G345" s="99">
        <v>2</v>
      </c>
      <c r="H345" s="99">
        <v>1</v>
      </c>
      <c r="I345" s="99">
        <v>2</v>
      </c>
      <c r="J345" s="385">
        <v>50</v>
      </c>
      <c r="K345" s="114">
        <v>25</v>
      </c>
      <c r="L345" s="338" t="s">
        <v>409</v>
      </c>
    </row>
    <row r="346" spans="1:12" ht="15" customHeight="1">
      <c r="A346" s="401" t="s">
        <v>2079</v>
      </c>
      <c r="B346" s="402" t="s">
        <v>1875</v>
      </c>
      <c r="C346" s="238" t="s">
        <v>51</v>
      </c>
      <c r="D346" s="402" t="s">
        <v>2086</v>
      </c>
      <c r="E346" s="382" t="s">
        <v>2087</v>
      </c>
      <c r="F346" s="238" t="s">
        <v>1878</v>
      </c>
      <c r="G346" s="99">
        <v>2</v>
      </c>
      <c r="H346" s="99">
        <v>1</v>
      </c>
      <c r="I346" s="99">
        <v>2</v>
      </c>
      <c r="J346" s="385">
        <v>50</v>
      </c>
      <c r="K346" s="114">
        <v>25</v>
      </c>
      <c r="L346" s="338" t="s">
        <v>409</v>
      </c>
    </row>
    <row r="347" spans="1:12" ht="15" customHeight="1">
      <c r="A347" s="401" t="s">
        <v>2017</v>
      </c>
      <c r="B347" s="406" t="s">
        <v>2018</v>
      </c>
      <c r="C347" s="238" t="s">
        <v>51</v>
      </c>
      <c r="D347" s="402" t="s">
        <v>2088</v>
      </c>
      <c r="E347" s="382" t="s">
        <v>2089</v>
      </c>
      <c r="F347" s="402" t="s">
        <v>1878</v>
      </c>
      <c r="G347" s="99">
        <v>4</v>
      </c>
      <c r="H347" s="99">
        <v>3</v>
      </c>
      <c r="I347" s="99">
        <v>3</v>
      </c>
      <c r="J347" s="385">
        <v>50</v>
      </c>
      <c r="K347" s="114">
        <v>16.66</v>
      </c>
      <c r="L347" s="338" t="s">
        <v>409</v>
      </c>
    </row>
    <row r="348" spans="1:12" ht="15" customHeight="1">
      <c r="A348" s="406" t="s">
        <v>1963</v>
      </c>
      <c r="B348" s="406" t="s">
        <v>1964</v>
      </c>
      <c r="C348" s="238" t="s">
        <v>51</v>
      </c>
      <c r="D348" s="402" t="s">
        <v>2090</v>
      </c>
      <c r="E348" s="382" t="s">
        <v>2091</v>
      </c>
      <c r="F348" s="238" t="s">
        <v>1878</v>
      </c>
      <c r="G348" s="99">
        <v>5</v>
      </c>
      <c r="H348" s="99">
        <v>3</v>
      </c>
      <c r="I348" s="99">
        <v>5</v>
      </c>
      <c r="J348" s="385">
        <v>50</v>
      </c>
      <c r="K348" s="114">
        <v>10</v>
      </c>
      <c r="L348" s="338" t="s">
        <v>409</v>
      </c>
    </row>
    <row r="349" spans="1:12" ht="15" customHeight="1">
      <c r="A349" s="406" t="s">
        <v>1930</v>
      </c>
      <c r="B349" s="406" t="s">
        <v>1931</v>
      </c>
      <c r="C349" s="238" t="s">
        <v>51</v>
      </c>
      <c r="D349" s="402" t="s">
        <v>2092</v>
      </c>
      <c r="E349" s="382" t="s">
        <v>2093</v>
      </c>
      <c r="F349" s="238" t="s">
        <v>1990</v>
      </c>
      <c r="G349" s="99">
        <v>3</v>
      </c>
      <c r="H349" s="99">
        <v>3</v>
      </c>
      <c r="I349" s="99">
        <v>3</v>
      </c>
      <c r="J349" s="385">
        <v>50</v>
      </c>
      <c r="K349" s="114">
        <v>16.66</v>
      </c>
      <c r="L349" s="338" t="s">
        <v>409</v>
      </c>
    </row>
    <row r="350" spans="1:12" ht="15" customHeight="1">
      <c r="A350" s="406" t="s">
        <v>1930</v>
      </c>
      <c r="B350" s="406" t="s">
        <v>1931</v>
      </c>
      <c r="C350" s="238" t="s">
        <v>51</v>
      </c>
      <c r="D350" s="402" t="s">
        <v>2094</v>
      </c>
      <c r="E350" s="382" t="s">
        <v>2095</v>
      </c>
      <c r="F350" s="238" t="s">
        <v>1990</v>
      </c>
      <c r="G350" s="99">
        <v>3</v>
      </c>
      <c r="H350" s="99">
        <v>3</v>
      </c>
      <c r="I350" s="99">
        <v>3</v>
      </c>
      <c r="J350" s="385">
        <v>50</v>
      </c>
      <c r="K350" s="114">
        <v>16.66</v>
      </c>
      <c r="L350" s="338" t="s">
        <v>409</v>
      </c>
    </row>
    <row r="351" spans="1:12" ht="15" customHeight="1">
      <c r="A351" s="406" t="s">
        <v>1930</v>
      </c>
      <c r="B351" s="406" t="s">
        <v>1931</v>
      </c>
      <c r="C351" s="238" t="s">
        <v>51</v>
      </c>
      <c r="D351" s="402" t="s">
        <v>2057</v>
      </c>
      <c r="E351" s="382" t="s">
        <v>2058</v>
      </c>
      <c r="F351" s="238" t="s">
        <v>1878</v>
      </c>
      <c r="G351" s="99">
        <v>3</v>
      </c>
      <c r="H351" s="99">
        <v>3</v>
      </c>
      <c r="I351" s="99">
        <v>3</v>
      </c>
      <c r="J351" s="385">
        <v>50</v>
      </c>
      <c r="K351" s="114">
        <v>16.66</v>
      </c>
      <c r="L351" s="338" t="s">
        <v>409</v>
      </c>
    </row>
    <row r="352" spans="1:12" ht="15" customHeight="1">
      <c r="A352" s="406" t="s">
        <v>1907</v>
      </c>
      <c r="B352" s="408" t="s">
        <v>1908</v>
      </c>
      <c r="C352" s="238" t="s">
        <v>51</v>
      </c>
      <c r="D352" s="402" t="s">
        <v>2096</v>
      </c>
      <c r="E352" s="382" t="s">
        <v>2097</v>
      </c>
      <c r="F352" s="238" t="s">
        <v>1878</v>
      </c>
      <c r="G352" s="99">
        <v>1</v>
      </c>
      <c r="H352" s="99">
        <v>1</v>
      </c>
      <c r="I352" s="99">
        <v>5</v>
      </c>
      <c r="J352" s="385">
        <v>50</v>
      </c>
      <c r="K352" s="114">
        <v>50</v>
      </c>
      <c r="L352" s="338" t="s">
        <v>409</v>
      </c>
    </row>
    <row r="353" spans="1:12" ht="15" customHeight="1">
      <c r="A353" s="401" t="s">
        <v>2065</v>
      </c>
      <c r="B353" s="406" t="s">
        <v>2066</v>
      </c>
      <c r="C353" s="238" t="s">
        <v>51</v>
      </c>
      <c r="D353" s="402" t="s">
        <v>2098</v>
      </c>
      <c r="E353" s="382" t="s">
        <v>2099</v>
      </c>
      <c r="F353" s="238" t="s">
        <v>1878</v>
      </c>
      <c r="G353" s="99">
        <v>1</v>
      </c>
      <c r="H353" s="99">
        <v>1</v>
      </c>
      <c r="I353" s="99">
        <v>7</v>
      </c>
      <c r="J353" s="385">
        <v>50</v>
      </c>
      <c r="K353" s="114">
        <v>50</v>
      </c>
      <c r="L353" s="338" t="s">
        <v>409</v>
      </c>
    </row>
    <row r="354" spans="1:12" ht="15" customHeight="1">
      <c r="A354" s="401" t="s">
        <v>1879</v>
      </c>
      <c r="B354" s="402" t="s">
        <v>1880</v>
      </c>
      <c r="C354" s="238" t="s">
        <v>51</v>
      </c>
      <c r="D354" s="402" t="s">
        <v>2100</v>
      </c>
      <c r="E354" s="382" t="s">
        <v>2101</v>
      </c>
      <c r="F354" s="238" t="s">
        <v>1990</v>
      </c>
      <c r="G354" s="99">
        <v>3</v>
      </c>
      <c r="H354" s="99">
        <v>1</v>
      </c>
      <c r="I354" s="99">
        <v>3</v>
      </c>
      <c r="J354" s="385">
        <v>50</v>
      </c>
      <c r="K354" s="114">
        <v>16.66</v>
      </c>
      <c r="L354" s="338" t="s">
        <v>409</v>
      </c>
    </row>
    <row r="355" spans="1:12" ht="15" customHeight="1">
      <c r="A355" s="406" t="s">
        <v>1930</v>
      </c>
      <c r="B355" s="406" t="s">
        <v>1931</v>
      </c>
      <c r="C355" s="238" t="s">
        <v>51</v>
      </c>
      <c r="D355" s="402" t="s">
        <v>2102</v>
      </c>
      <c r="E355" s="382" t="s">
        <v>2103</v>
      </c>
      <c r="F355" s="238" t="s">
        <v>1990</v>
      </c>
      <c r="G355" s="99">
        <v>3</v>
      </c>
      <c r="H355" s="99">
        <v>3</v>
      </c>
      <c r="I355" s="99">
        <v>3</v>
      </c>
      <c r="J355" s="385">
        <v>50</v>
      </c>
      <c r="K355" s="114">
        <v>16.66</v>
      </c>
      <c r="L355" s="338" t="s">
        <v>409</v>
      </c>
    </row>
    <row r="356" spans="1:12" ht="15" customHeight="1">
      <c r="A356" s="406" t="s">
        <v>1930</v>
      </c>
      <c r="B356" s="406" t="s">
        <v>1931</v>
      </c>
      <c r="C356" s="238" t="s">
        <v>51</v>
      </c>
      <c r="D356" s="402" t="s">
        <v>2104</v>
      </c>
      <c r="E356" s="382" t="s">
        <v>2105</v>
      </c>
      <c r="F356" s="238" t="s">
        <v>1990</v>
      </c>
      <c r="G356" s="99">
        <v>3</v>
      </c>
      <c r="H356" s="99">
        <v>3</v>
      </c>
      <c r="I356" s="99">
        <v>6</v>
      </c>
      <c r="J356" s="385">
        <v>50</v>
      </c>
      <c r="K356" s="114">
        <v>16.66</v>
      </c>
      <c r="L356" s="338" t="s">
        <v>409</v>
      </c>
    </row>
    <row r="357" spans="1:12" ht="15" customHeight="1">
      <c r="A357" s="406" t="s">
        <v>557</v>
      </c>
      <c r="B357" s="406" t="s">
        <v>401</v>
      </c>
      <c r="C357" s="238" t="s">
        <v>2106</v>
      </c>
      <c r="D357" s="402" t="s">
        <v>2107</v>
      </c>
      <c r="E357" s="382" t="s">
        <v>2108</v>
      </c>
      <c r="F357" s="238" t="s">
        <v>1878</v>
      </c>
      <c r="G357" s="99">
        <v>6</v>
      </c>
      <c r="H357" s="99">
        <v>6</v>
      </c>
      <c r="I357" s="99">
        <v>6</v>
      </c>
      <c r="J357" s="385">
        <v>50</v>
      </c>
      <c r="K357" s="114">
        <v>8.33</v>
      </c>
      <c r="L357" s="338" t="s">
        <v>409</v>
      </c>
    </row>
    <row r="358" spans="1:12" ht="15" customHeight="1">
      <c r="A358" s="406" t="s">
        <v>1917</v>
      </c>
      <c r="B358" s="408" t="s">
        <v>1918</v>
      </c>
      <c r="C358" s="238" t="s">
        <v>51</v>
      </c>
      <c r="D358" s="402" t="s">
        <v>2109</v>
      </c>
      <c r="E358" s="382" t="s">
        <v>2110</v>
      </c>
      <c r="F358" s="238" t="s">
        <v>1990</v>
      </c>
      <c r="G358" s="99">
        <v>5</v>
      </c>
      <c r="H358" s="99">
        <v>1</v>
      </c>
      <c r="I358" s="99">
        <v>5</v>
      </c>
      <c r="J358" s="385">
        <v>50</v>
      </c>
      <c r="K358" s="114">
        <v>10</v>
      </c>
      <c r="L358" s="338" t="s">
        <v>409</v>
      </c>
    </row>
    <row r="359" spans="1:12" ht="15" customHeight="1">
      <c r="A359" s="131" t="s">
        <v>2111</v>
      </c>
      <c r="B359" s="133" t="s">
        <v>2112</v>
      </c>
      <c r="C359" s="409" t="s">
        <v>401</v>
      </c>
      <c r="D359" s="133" t="s">
        <v>2113</v>
      </c>
      <c r="E359" s="146" t="s">
        <v>2114</v>
      </c>
      <c r="F359" s="398" t="s">
        <v>230</v>
      </c>
      <c r="G359" s="410">
        <v>2</v>
      </c>
      <c r="H359" s="410">
        <v>2</v>
      </c>
      <c r="I359" s="410">
        <v>2</v>
      </c>
      <c r="J359" s="411">
        <v>50</v>
      </c>
      <c r="K359" s="412">
        <v>25</v>
      </c>
      <c r="L359" s="338" t="s">
        <v>2115</v>
      </c>
    </row>
    <row r="360" spans="1:12" ht="15" customHeight="1">
      <c r="A360" s="131" t="s">
        <v>2111</v>
      </c>
      <c r="B360" s="133" t="s">
        <v>2112</v>
      </c>
      <c r="C360" s="409" t="s">
        <v>401</v>
      </c>
      <c r="D360" s="413" t="s">
        <v>2116</v>
      </c>
      <c r="E360" s="133" t="s">
        <v>2117</v>
      </c>
      <c r="F360" s="414" t="s">
        <v>2118</v>
      </c>
      <c r="G360" s="410">
        <v>2</v>
      </c>
      <c r="H360" s="410">
        <v>2</v>
      </c>
      <c r="I360" s="410">
        <v>2</v>
      </c>
      <c r="J360" s="411">
        <v>50</v>
      </c>
      <c r="K360" s="412">
        <v>25</v>
      </c>
      <c r="L360" s="338" t="s">
        <v>2115</v>
      </c>
    </row>
    <row r="361" spans="1:12" ht="15" customHeight="1">
      <c r="A361" s="131" t="s">
        <v>2111</v>
      </c>
      <c r="B361" s="133" t="s">
        <v>2112</v>
      </c>
      <c r="C361" s="409" t="s">
        <v>401</v>
      </c>
      <c r="D361" s="415" t="s">
        <v>2119</v>
      </c>
      <c r="E361" s="146" t="s">
        <v>2120</v>
      </c>
      <c r="F361" s="414" t="s">
        <v>2118</v>
      </c>
      <c r="G361" s="410">
        <v>2</v>
      </c>
      <c r="H361" s="410">
        <v>2</v>
      </c>
      <c r="I361" s="410">
        <v>2</v>
      </c>
      <c r="J361" s="411">
        <v>50</v>
      </c>
      <c r="K361" s="412">
        <v>25</v>
      </c>
      <c r="L361" s="338" t="s">
        <v>2115</v>
      </c>
    </row>
    <row r="362" spans="1:12" ht="15" customHeight="1">
      <c r="A362" s="131" t="s">
        <v>2111</v>
      </c>
      <c r="B362" s="133" t="s">
        <v>2112</v>
      </c>
      <c r="C362" s="409" t="s">
        <v>401</v>
      </c>
      <c r="D362" s="133" t="s">
        <v>2121</v>
      </c>
      <c r="E362" s="146" t="s">
        <v>2122</v>
      </c>
      <c r="F362" s="414" t="s">
        <v>230</v>
      </c>
      <c r="G362" s="410">
        <v>2</v>
      </c>
      <c r="H362" s="410">
        <v>2</v>
      </c>
      <c r="I362" s="410">
        <v>2</v>
      </c>
      <c r="J362" s="411">
        <v>50</v>
      </c>
      <c r="K362" s="412">
        <v>25</v>
      </c>
      <c r="L362" s="338" t="s">
        <v>2115</v>
      </c>
    </row>
    <row r="363" spans="1:12" ht="15" customHeight="1">
      <c r="A363" s="131" t="s">
        <v>2111</v>
      </c>
      <c r="B363" s="133" t="s">
        <v>2123</v>
      </c>
      <c r="C363" s="409" t="s">
        <v>401</v>
      </c>
      <c r="D363" s="133" t="s">
        <v>2124</v>
      </c>
      <c r="E363" s="146" t="s">
        <v>2125</v>
      </c>
      <c r="F363" s="414" t="s">
        <v>2118</v>
      </c>
      <c r="G363" s="410">
        <v>2</v>
      </c>
      <c r="H363" s="410">
        <v>2</v>
      </c>
      <c r="I363" s="410">
        <v>2</v>
      </c>
      <c r="J363" s="411">
        <v>50</v>
      </c>
      <c r="K363" s="412">
        <v>25</v>
      </c>
      <c r="L363" s="338" t="s">
        <v>2115</v>
      </c>
    </row>
    <row r="364" spans="1:12" ht="15" customHeight="1">
      <c r="A364" s="131" t="s">
        <v>2126</v>
      </c>
      <c r="B364" s="133" t="s">
        <v>2127</v>
      </c>
      <c r="C364" s="409" t="s">
        <v>401</v>
      </c>
      <c r="D364" s="133" t="s">
        <v>2128</v>
      </c>
      <c r="E364" s="146" t="s">
        <v>2129</v>
      </c>
      <c r="F364" s="414" t="s">
        <v>230</v>
      </c>
      <c r="G364" s="410">
        <v>2</v>
      </c>
      <c r="H364" s="410">
        <v>2</v>
      </c>
      <c r="I364" s="410">
        <v>2</v>
      </c>
      <c r="J364" s="411">
        <v>50</v>
      </c>
      <c r="K364" s="412">
        <v>25</v>
      </c>
      <c r="L364" s="338" t="s">
        <v>2115</v>
      </c>
    </row>
    <row r="365" spans="1:12" ht="15" customHeight="1">
      <c r="A365" s="131" t="s">
        <v>2111</v>
      </c>
      <c r="B365" s="133" t="s">
        <v>2130</v>
      </c>
      <c r="C365" s="409" t="s">
        <v>401</v>
      </c>
      <c r="D365" s="133" t="s">
        <v>2131</v>
      </c>
      <c r="E365" s="146" t="s">
        <v>2132</v>
      </c>
      <c r="F365" s="414" t="s">
        <v>2133</v>
      </c>
      <c r="G365" s="410">
        <v>2</v>
      </c>
      <c r="H365" s="410">
        <v>2</v>
      </c>
      <c r="I365" s="410">
        <v>2</v>
      </c>
      <c r="J365" s="411">
        <v>50</v>
      </c>
      <c r="K365" s="412">
        <v>25</v>
      </c>
      <c r="L365" s="338" t="s">
        <v>2115</v>
      </c>
    </row>
    <row r="366" spans="1:12" ht="15" customHeight="1">
      <c r="A366" s="131" t="s">
        <v>2111</v>
      </c>
      <c r="B366" s="133" t="s">
        <v>2134</v>
      </c>
      <c r="C366" s="409" t="s">
        <v>401</v>
      </c>
      <c r="D366" s="133" t="s">
        <v>2135</v>
      </c>
      <c r="E366" s="146" t="s">
        <v>2136</v>
      </c>
      <c r="F366" s="414" t="s">
        <v>2133</v>
      </c>
      <c r="G366" s="410">
        <v>2</v>
      </c>
      <c r="H366" s="410">
        <v>2</v>
      </c>
      <c r="I366" s="410">
        <v>2</v>
      </c>
      <c r="J366" s="411">
        <v>50</v>
      </c>
      <c r="K366" s="412">
        <v>25</v>
      </c>
      <c r="L366" s="338" t="s">
        <v>2115</v>
      </c>
    </row>
    <row r="367" spans="1:12" ht="15" customHeight="1">
      <c r="A367" s="131" t="s">
        <v>2111</v>
      </c>
      <c r="B367" s="133" t="s">
        <v>2134</v>
      </c>
      <c r="C367" s="409" t="s">
        <v>401</v>
      </c>
      <c r="D367" s="415" t="s">
        <v>2137</v>
      </c>
      <c r="E367" s="146" t="s">
        <v>2138</v>
      </c>
      <c r="F367" s="414" t="s">
        <v>2133</v>
      </c>
      <c r="G367" s="410">
        <v>2</v>
      </c>
      <c r="H367" s="410">
        <v>2</v>
      </c>
      <c r="I367" s="410">
        <v>2</v>
      </c>
      <c r="J367" s="411">
        <v>50</v>
      </c>
      <c r="K367" s="412">
        <v>25</v>
      </c>
      <c r="L367" s="338" t="s">
        <v>2115</v>
      </c>
    </row>
    <row r="368" spans="1:12" ht="15" customHeight="1">
      <c r="A368" s="416" t="s">
        <v>2139</v>
      </c>
      <c r="B368" s="133" t="s">
        <v>2140</v>
      </c>
      <c r="C368" s="409" t="s">
        <v>401</v>
      </c>
      <c r="D368" s="415" t="s">
        <v>2141</v>
      </c>
      <c r="E368" s="146" t="s">
        <v>2142</v>
      </c>
      <c r="F368" s="414" t="s">
        <v>230</v>
      </c>
      <c r="G368" s="398">
        <v>3</v>
      </c>
      <c r="H368" s="398">
        <v>3</v>
      </c>
      <c r="I368" s="398">
        <v>3</v>
      </c>
      <c r="J368" s="417">
        <v>50</v>
      </c>
      <c r="K368" s="418">
        <v>16.670000000000002</v>
      </c>
      <c r="L368" s="338" t="s">
        <v>2115</v>
      </c>
    </row>
    <row r="369" spans="1:12" ht="15" customHeight="1">
      <c r="A369" s="416" t="s">
        <v>2139</v>
      </c>
      <c r="B369" s="133" t="s">
        <v>2140</v>
      </c>
      <c r="C369" s="409" t="s">
        <v>401</v>
      </c>
      <c r="D369" s="415" t="s">
        <v>2143</v>
      </c>
      <c r="E369" s="146" t="s">
        <v>2144</v>
      </c>
      <c r="F369" s="414" t="s">
        <v>2145</v>
      </c>
      <c r="G369" s="398">
        <v>3</v>
      </c>
      <c r="H369" s="398">
        <v>3</v>
      </c>
      <c r="I369" s="398">
        <v>3</v>
      </c>
      <c r="J369" s="417">
        <v>50</v>
      </c>
      <c r="K369" s="418">
        <v>16.670000000000002</v>
      </c>
      <c r="L369" s="338" t="s">
        <v>2115</v>
      </c>
    </row>
    <row r="370" spans="1:12" ht="15" customHeight="1">
      <c r="A370" s="416" t="s">
        <v>2139</v>
      </c>
      <c r="B370" s="133" t="s">
        <v>2140</v>
      </c>
      <c r="C370" s="409" t="s">
        <v>401</v>
      </c>
      <c r="D370" s="415" t="s">
        <v>2146</v>
      </c>
      <c r="E370" s="146" t="s">
        <v>2147</v>
      </c>
      <c r="F370" s="414" t="s">
        <v>230</v>
      </c>
      <c r="G370" s="398">
        <v>3</v>
      </c>
      <c r="H370" s="398">
        <v>3</v>
      </c>
      <c r="I370" s="398">
        <v>3</v>
      </c>
      <c r="J370" s="417">
        <v>50</v>
      </c>
      <c r="K370" s="418">
        <v>16.670000000000002</v>
      </c>
      <c r="L370" s="338" t="s">
        <v>2115</v>
      </c>
    </row>
    <row r="371" spans="1:12" ht="15" customHeight="1">
      <c r="A371" s="91" t="s">
        <v>2111</v>
      </c>
      <c r="B371" s="134" t="s">
        <v>2148</v>
      </c>
      <c r="C371" s="419" t="s">
        <v>401</v>
      </c>
      <c r="D371" s="420" t="s">
        <v>2149</v>
      </c>
      <c r="E371" s="421" t="s">
        <v>2150</v>
      </c>
      <c r="F371" s="119" t="s">
        <v>2133</v>
      </c>
      <c r="G371" s="379">
        <v>2</v>
      </c>
      <c r="H371" s="379">
        <v>2</v>
      </c>
      <c r="I371" s="379">
        <v>2</v>
      </c>
      <c r="J371" s="272">
        <v>50</v>
      </c>
      <c r="K371" s="134">
        <v>25</v>
      </c>
      <c r="L371" s="338" t="s">
        <v>2115</v>
      </c>
    </row>
    <row r="372" spans="1:12" ht="15" customHeight="1">
      <c r="A372" s="131" t="s">
        <v>2111</v>
      </c>
      <c r="B372" s="133" t="s">
        <v>2148</v>
      </c>
      <c r="C372" s="409" t="s">
        <v>401</v>
      </c>
      <c r="D372" s="415" t="s">
        <v>2151</v>
      </c>
      <c r="E372" s="146" t="s">
        <v>2152</v>
      </c>
      <c r="F372" s="414" t="s">
        <v>230</v>
      </c>
      <c r="G372" s="410">
        <v>2</v>
      </c>
      <c r="H372" s="410">
        <v>2</v>
      </c>
      <c r="I372" s="410">
        <v>2</v>
      </c>
      <c r="J372" s="411">
        <v>50</v>
      </c>
      <c r="K372" s="412">
        <v>25</v>
      </c>
      <c r="L372" s="338" t="s">
        <v>2115</v>
      </c>
    </row>
    <row r="373" spans="1:12" ht="15" customHeight="1">
      <c r="A373" s="134" t="s">
        <v>2153</v>
      </c>
      <c r="B373" s="91" t="s">
        <v>2154</v>
      </c>
      <c r="C373" s="133" t="s">
        <v>401</v>
      </c>
      <c r="D373" s="134" t="s">
        <v>2155</v>
      </c>
      <c r="E373" s="134" t="s">
        <v>2156</v>
      </c>
      <c r="F373" s="134"/>
      <c r="G373" s="119">
        <v>2</v>
      </c>
      <c r="H373" s="119">
        <v>2</v>
      </c>
      <c r="I373" s="119">
        <v>2</v>
      </c>
      <c r="J373" s="272"/>
      <c r="K373" s="134"/>
      <c r="L373" s="338" t="s">
        <v>466</v>
      </c>
    </row>
    <row r="374" spans="1:12" ht="15" customHeight="1">
      <c r="A374" s="91" t="s">
        <v>2153</v>
      </c>
      <c r="B374" s="256" t="s">
        <v>2154</v>
      </c>
      <c r="C374" s="92" t="s">
        <v>401</v>
      </c>
      <c r="D374" s="134" t="s">
        <v>2157</v>
      </c>
      <c r="E374" s="382" t="s">
        <v>2158</v>
      </c>
      <c r="F374" s="238" t="s">
        <v>2072</v>
      </c>
      <c r="G374" s="94">
        <v>2</v>
      </c>
      <c r="H374" s="94">
        <v>2</v>
      </c>
      <c r="I374" s="94">
        <v>2</v>
      </c>
      <c r="J374" s="385">
        <v>50</v>
      </c>
      <c r="K374" s="114">
        <v>25</v>
      </c>
      <c r="L374" s="338" t="s">
        <v>466</v>
      </c>
    </row>
    <row r="375" spans="1:12" ht="15" customHeight="1">
      <c r="A375" s="134" t="s">
        <v>2153</v>
      </c>
      <c r="B375" s="91" t="s">
        <v>2154</v>
      </c>
      <c r="C375" s="422" t="s">
        <v>401</v>
      </c>
      <c r="D375" s="256" t="s">
        <v>2159</v>
      </c>
      <c r="E375" s="99" t="s">
        <v>2160</v>
      </c>
      <c r="F375" s="238" t="s">
        <v>1338</v>
      </c>
      <c r="G375" s="99">
        <v>2</v>
      </c>
      <c r="H375" s="99">
        <v>2</v>
      </c>
      <c r="I375" s="99">
        <v>2</v>
      </c>
      <c r="J375" s="385">
        <v>50</v>
      </c>
      <c r="K375" s="114">
        <v>25</v>
      </c>
      <c r="L375" s="338" t="s">
        <v>466</v>
      </c>
    </row>
    <row r="376" spans="1:12" ht="15" customHeight="1">
      <c r="A376" s="134" t="s">
        <v>2161</v>
      </c>
      <c r="B376" s="423" t="s">
        <v>2162</v>
      </c>
      <c r="C376" s="99"/>
      <c r="D376" s="99" t="s">
        <v>2163</v>
      </c>
      <c r="E376" s="216" t="s">
        <v>2164</v>
      </c>
      <c r="F376" s="133" t="s">
        <v>1338</v>
      </c>
      <c r="G376" s="99">
        <v>3</v>
      </c>
      <c r="H376" s="99">
        <v>2</v>
      </c>
      <c r="I376" s="99">
        <v>3</v>
      </c>
      <c r="J376" s="385">
        <v>50</v>
      </c>
      <c r="K376" s="114">
        <v>16.66</v>
      </c>
      <c r="L376" s="338" t="s">
        <v>466</v>
      </c>
    </row>
    <row r="377" spans="1:12" ht="15" customHeight="1">
      <c r="A377" s="134" t="s">
        <v>2165</v>
      </c>
      <c r="B377" s="134" t="s">
        <v>2166</v>
      </c>
      <c r="C377" s="187" t="s">
        <v>401</v>
      </c>
      <c r="D377" s="284" t="s">
        <v>2167</v>
      </c>
      <c r="E377" s="382" t="s">
        <v>2168</v>
      </c>
      <c r="F377" s="238" t="s">
        <v>1338</v>
      </c>
      <c r="G377" s="99">
        <v>3</v>
      </c>
      <c r="H377" s="99">
        <v>1</v>
      </c>
      <c r="I377" s="99">
        <v>3</v>
      </c>
      <c r="J377" s="385">
        <v>50</v>
      </c>
      <c r="K377" s="114">
        <v>16.670000000000002</v>
      </c>
      <c r="L377" s="338" t="s">
        <v>466</v>
      </c>
    </row>
    <row r="378" spans="1:12" ht="15" customHeight="1">
      <c r="A378" s="134" t="s">
        <v>2169</v>
      </c>
      <c r="B378" s="134" t="s">
        <v>1964</v>
      </c>
      <c r="C378" s="99" t="s">
        <v>401</v>
      </c>
      <c r="D378" s="134" t="s">
        <v>2170</v>
      </c>
      <c r="E378" s="99" t="s">
        <v>2091</v>
      </c>
      <c r="F378" s="238" t="s">
        <v>1338</v>
      </c>
      <c r="G378" s="99">
        <v>5</v>
      </c>
      <c r="H378" s="99">
        <v>3</v>
      </c>
      <c r="I378" s="99">
        <v>5</v>
      </c>
      <c r="J378" s="385">
        <v>50</v>
      </c>
      <c r="K378" s="114">
        <v>10</v>
      </c>
      <c r="L378" s="338" t="s">
        <v>466</v>
      </c>
    </row>
    <row r="379" spans="1:12" ht="15" customHeight="1">
      <c r="A379" s="134" t="s">
        <v>1963</v>
      </c>
      <c r="B379" s="134" t="s">
        <v>1964</v>
      </c>
      <c r="C379" s="99" t="s">
        <v>401</v>
      </c>
      <c r="D379" s="134" t="s">
        <v>2171</v>
      </c>
      <c r="E379" s="99" t="s">
        <v>2172</v>
      </c>
      <c r="F379" s="238" t="s">
        <v>1338</v>
      </c>
      <c r="G379" s="99">
        <v>5</v>
      </c>
      <c r="H379" s="99">
        <v>2</v>
      </c>
      <c r="I379" s="99">
        <v>5</v>
      </c>
      <c r="J379" s="385">
        <v>50</v>
      </c>
      <c r="K379" s="114">
        <v>10</v>
      </c>
      <c r="L379" s="338" t="s">
        <v>466</v>
      </c>
    </row>
    <row r="380" spans="1:12" ht="15" customHeight="1">
      <c r="A380" s="256" t="s">
        <v>2008</v>
      </c>
      <c r="B380" s="256" t="s">
        <v>462</v>
      </c>
      <c r="C380" s="177" t="s">
        <v>51</v>
      </c>
      <c r="D380" s="256" t="s">
        <v>2009</v>
      </c>
      <c r="E380" s="177" t="s">
        <v>2010</v>
      </c>
      <c r="F380" s="424" t="s">
        <v>1878</v>
      </c>
      <c r="G380" s="177">
        <v>4</v>
      </c>
      <c r="H380" s="177">
        <v>3</v>
      </c>
      <c r="I380" s="177">
        <v>4</v>
      </c>
      <c r="J380" s="425">
        <v>50</v>
      </c>
      <c r="K380" s="179">
        <v>12.5</v>
      </c>
      <c r="L380" s="338" t="s">
        <v>466</v>
      </c>
    </row>
    <row r="381" spans="1:12" ht="15" customHeight="1">
      <c r="A381" s="134" t="s">
        <v>2111</v>
      </c>
      <c r="B381" s="134" t="s">
        <v>2112</v>
      </c>
      <c r="C381" s="99" t="s">
        <v>401</v>
      </c>
      <c r="D381" s="134" t="s">
        <v>2113</v>
      </c>
      <c r="E381" s="99" t="s">
        <v>2114</v>
      </c>
      <c r="F381" s="238" t="s">
        <v>230</v>
      </c>
      <c r="G381" s="99">
        <v>2</v>
      </c>
      <c r="H381" s="99">
        <v>2</v>
      </c>
      <c r="I381" s="99">
        <v>2</v>
      </c>
      <c r="J381" s="125">
        <v>50</v>
      </c>
      <c r="K381" s="114">
        <v>25</v>
      </c>
      <c r="L381" s="338" t="s">
        <v>466</v>
      </c>
    </row>
    <row r="382" spans="1:12" ht="15" customHeight="1">
      <c r="A382" s="134" t="s">
        <v>2111</v>
      </c>
      <c r="B382" s="134" t="s">
        <v>2112</v>
      </c>
      <c r="C382" s="99" t="s">
        <v>401</v>
      </c>
      <c r="D382" s="134" t="s">
        <v>2116</v>
      </c>
      <c r="E382" s="99" t="s">
        <v>2117</v>
      </c>
      <c r="F382" s="238" t="s">
        <v>2118</v>
      </c>
      <c r="G382" s="99">
        <v>2</v>
      </c>
      <c r="H382" s="99">
        <v>2</v>
      </c>
      <c r="I382" s="99">
        <v>2</v>
      </c>
      <c r="J382" s="125">
        <v>50</v>
      </c>
      <c r="K382" s="114">
        <v>25</v>
      </c>
      <c r="L382" s="338" t="s">
        <v>466</v>
      </c>
    </row>
    <row r="383" spans="1:12" ht="15" customHeight="1">
      <c r="A383" s="134" t="s">
        <v>2111</v>
      </c>
      <c r="B383" s="134" t="s">
        <v>2112</v>
      </c>
      <c r="C383" s="99" t="s">
        <v>401</v>
      </c>
      <c r="D383" s="134" t="s">
        <v>2173</v>
      </c>
      <c r="E383" s="99" t="s">
        <v>2120</v>
      </c>
      <c r="F383" s="238" t="s">
        <v>2118</v>
      </c>
      <c r="G383" s="99">
        <v>2</v>
      </c>
      <c r="H383" s="99">
        <v>2</v>
      </c>
      <c r="I383" s="99">
        <v>2</v>
      </c>
      <c r="J383" s="125">
        <v>50</v>
      </c>
      <c r="K383" s="114">
        <v>25</v>
      </c>
      <c r="L383" s="338" t="s">
        <v>466</v>
      </c>
    </row>
    <row r="384" spans="1:12" ht="15" customHeight="1">
      <c r="A384" s="134" t="s">
        <v>2111</v>
      </c>
      <c r="B384" s="134" t="s">
        <v>2112</v>
      </c>
      <c r="C384" s="99" t="s">
        <v>401</v>
      </c>
      <c r="D384" s="134" t="s">
        <v>2121</v>
      </c>
      <c r="E384" s="99" t="s">
        <v>2122</v>
      </c>
      <c r="F384" s="238" t="s">
        <v>230</v>
      </c>
      <c r="G384" s="99">
        <v>2</v>
      </c>
      <c r="H384" s="99">
        <v>2</v>
      </c>
      <c r="I384" s="99">
        <v>2</v>
      </c>
      <c r="J384" s="125">
        <v>50</v>
      </c>
      <c r="K384" s="114">
        <v>25</v>
      </c>
      <c r="L384" s="338" t="s">
        <v>466</v>
      </c>
    </row>
    <row r="385" spans="1:12" ht="15" customHeight="1">
      <c r="A385" s="134" t="s">
        <v>2111</v>
      </c>
      <c r="B385" s="134" t="s">
        <v>2123</v>
      </c>
      <c r="C385" s="99" t="s">
        <v>401</v>
      </c>
      <c r="D385" s="134" t="s">
        <v>2124</v>
      </c>
      <c r="E385" s="99" t="s">
        <v>2125</v>
      </c>
      <c r="F385" s="238" t="s">
        <v>2118</v>
      </c>
      <c r="G385" s="99">
        <v>2</v>
      </c>
      <c r="H385" s="99">
        <v>2</v>
      </c>
      <c r="I385" s="99">
        <v>2</v>
      </c>
      <c r="J385" s="125">
        <v>50</v>
      </c>
      <c r="K385" s="114">
        <v>25</v>
      </c>
      <c r="L385" s="338" t="s">
        <v>466</v>
      </c>
    </row>
    <row r="386" spans="1:12" ht="15" customHeight="1">
      <c r="A386" s="134" t="s">
        <v>2111</v>
      </c>
      <c r="B386" s="134" t="s">
        <v>2130</v>
      </c>
      <c r="C386" s="99" t="s">
        <v>401</v>
      </c>
      <c r="D386" s="134" t="s">
        <v>2128</v>
      </c>
      <c r="E386" s="99" t="s">
        <v>2129</v>
      </c>
      <c r="F386" s="238" t="s">
        <v>230</v>
      </c>
      <c r="G386" s="99">
        <v>2</v>
      </c>
      <c r="H386" s="99">
        <v>2</v>
      </c>
      <c r="I386" s="99">
        <v>2</v>
      </c>
      <c r="J386" s="125">
        <v>50</v>
      </c>
      <c r="K386" s="114">
        <v>25</v>
      </c>
      <c r="L386" s="338" t="s">
        <v>466</v>
      </c>
    </row>
    <row r="387" spans="1:12" ht="15" customHeight="1">
      <c r="A387" s="134" t="s">
        <v>2111</v>
      </c>
      <c r="B387" s="134" t="s">
        <v>2130</v>
      </c>
      <c r="C387" s="99" t="s">
        <v>401</v>
      </c>
      <c r="D387" s="134" t="s">
        <v>2131</v>
      </c>
      <c r="E387" s="99" t="s">
        <v>2132</v>
      </c>
      <c r="F387" s="238" t="s">
        <v>2133</v>
      </c>
      <c r="G387" s="99">
        <v>2</v>
      </c>
      <c r="H387" s="99">
        <v>2</v>
      </c>
      <c r="I387" s="99">
        <v>2</v>
      </c>
      <c r="J387" s="125">
        <v>50</v>
      </c>
      <c r="K387" s="114">
        <v>25</v>
      </c>
      <c r="L387" s="338" t="s">
        <v>466</v>
      </c>
    </row>
    <row r="388" spans="1:12" ht="15" customHeight="1">
      <c r="A388" s="134" t="s">
        <v>2111</v>
      </c>
      <c r="B388" s="134" t="s">
        <v>2134</v>
      </c>
      <c r="C388" s="99" t="s">
        <v>401</v>
      </c>
      <c r="D388" s="134" t="s">
        <v>2135</v>
      </c>
      <c r="E388" s="99" t="s">
        <v>2136</v>
      </c>
      <c r="F388" s="238" t="s">
        <v>2133</v>
      </c>
      <c r="G388" s="99">
        <v>2</v>
      </c>
      <c r="H388" s="99">
        <v>2</v>
      </c>
      <c r="I388" s="99">
        <v>2</v>
      </c>
      <c r="J388" s="125">
        <v>50</v>
      </c>
      <c r="K388" s="114">
        <v>25</v>
      </c>
      <c r="L388" s="338" t="s">
        <v>466</v>
      </c>
    </row>
    <row r="389" spans="1:12" ht="15" customHeight="1">
      <c r="A389" s="134" t="s">
        <v>2111</v>
      </c>
      <c r="B389" s="134" t="s">
        <v>2134</v>
      </c>
      <c r="C389" s="99" t="s">
        <v>401</v>
      </c>
      <c r="D389" s="134" t="s">
        <v>2174</v>
      </c>
      <c r="E389" s="99" t="s">
        <v>2138</v>
      </c>
      <c r="F389" s="238" t="s">
        <v>2133</v>
      </c>
      <c r="G389" s="99">
        <v>2</v>
      </c>
      <c r="H389" s="99">
        <v>2</v>
      </c>
      <c r="I389" s="99">
        <v>2</v>
      </c>
      <c r="J389" s="125">
        <v>50</v>
      </c>
      <c r="K389" s="114">
        <v>25</v>
      </c>
      <c r="L389" s="338" t="s">
        <v>466</v>
      </c>
    </row>
    <row r="390" spans="1:12" ht="15" customHeight="1">
      <c r="A390" s="134" t="s">
        <v>2139</v>
      </c>
      <c r="B390" s="134" t="s">
        <v>2140</v>
      </c>
      <c r="C390" s="99" t="s">
        <v>401</v>
      </c>
      <c r="D390" s="134" t="s">
        <v>2175</v>
      </c>
      <c r="E390" s="99" t="s">
        <v>2142</v>
      </c>
      <c r="F390" s="238" t="s">
        <v>230</v>
      </c>
      <c r="G390" s="99">
        <v>3</v>
      </c>
      <c r="H390" s="99">
        <v>3</v>
      </c>
      <c r="I390" s="99">
        <v>3</v>
      </c>
      <c r="J390" s="125">
        <v>50</v>
      </c>
      <c r="K390" s="114">
        <v>16.670000000000002</v>
      </c>
      <c r="L390" s="338" t="s">
        <v>466</v>
      </c>
    </row>
    <row r="391" spans="1:12" ht="15" customHeight="1">
      <c r="A391" s="134" t="s">
        <v>2139</v>
      </c>
      <c r="B391" s="134" t="s">
        <v>2140</v>
      </c>
      <c r="C391" s="99" t="s">
        <v>401</v>
      </c>
      <c r="D391" s="134" t="s">
        <v>2143</v>
      </c>
      <c r="E391" s="99" t="s">
        <v>2144</v>
      </c>
      <c r="F391" s="238" t="s">
        <v>2145</v>
      </c>
      <c r="G391" s="99">
        <v>3</v>
      </c>
      <c r="H391" s="99">
        <v>3</v>
      </c>
      <c r="I391" s="99">
        <v>3</v>
      </c>
      <c r="J391" s="125">
        <v>50</v>
      </c>
      <c r="K391" s="114">
        <v>16.670000000000002</v>
      </c>
      <c r="L391" s="338" t="s">
        <v>466</v>
      </c>
    </row>
    <row r="392" spans="1:12" ht="15" customHeight="1">
      <c r="A392" s="134" t="s">
        <v>2139</v>
      </c>
      <c r="B392" s="134" t="s">
        <v>2140</v>
      </c>
      <c r="C392" s="99" t="s">
        <v>401</v>
      </c>
      <c r="D392" s="134" t="s">
        <v>2176</v>
      </c>
      <c r="E392" s="99" t="s">
        <v>2147</v>
      </c>
      <c r="F392" s="238" t="s">
        <v>230</v>
      </c>
      <c r="G392" s="99">
        <v>3</v>
      </c>
      <c r="H392" s="99">
        <v>3</v>
      </c>
      <c r="I392" s="99">
        <v>3</v>
      </c>
      <c r="J392" s="125">
        <v>50</v>
      </c>
      <c r="K392" s="114">
        <v>16.670000000000002</v>
      </c>
      <c r="L392" s="338" t="s">
        <v>466</v>
      </c>
    </row>
    <row r="393" spans="1:12" ht="15" customHeight="1">
      <c r="A393" s="134" t="s">
        <v>2111</v>
      </c>
      <c r="B393" s="134" t="s">
        <v>2148</v>
      </c>
      <c r="C393" s="99" t="s">
        <v>401</v>
      </c>
      <c r="D393" s="134" t="s">
        <v>2177</v>
      </c>
      <c r="E393" s="99" t="s">
        <v>2152</v>
      </c>
      <c r="F393" s="238" t="s">
        <v>230</v>
      </c>
      <c r="G393" s="99">
        <v>2</v>
      </c>
      <c r="H393" s="99">
        <v>2</v>
      </c>
      <c r="I393" s="99">
        <v>2</v>
      </c>
      <c r="J393" s="125">
        <v>50</v>
      </c>
      <c r="K393" s="114">
        <v>25</v>
      </c>
      <c r="L393" s="338" t="s">
        <v>466</v>
      </c>
    </row>
    <row r="394" spans="1:12" ht="15" customHeight="1">
      <c r="A394" s="134" t="s">
        <v>2111</v>
      </c>
      <c r="B394" s="134" t="s">
        <v>2148</v>
      </c>
      <c r="C394" s="99" t="s">
        <v>401</v>
      </c>
      <c r="D394" s="134" t="s">
        <v>2178</v>
      </c>
      <c r="E394" s="99" t="s">
        <v>2150</v>
      </c>
      <c r="F394" s="238" t="s">
        <v>2133</v>
      </c>
      <c r="G394" s="99">
        <v>2</v>
      </c>
      <c r="H394" s="99">
        <v>2</v>
      </c>
      <c r="I394" s="99">
        <v>2</v>
      </c>
      <c r="J394" s="125">
        <v>50</v>
      </c>
      <c r="K394" s="114">
        <v>25</v>
      </c>
      <c r="L394" s="338" t="s">
        <v>466</v>
      </c>
    </row>
    <row r="395" spans="1:12" ht="15" customHeight="1">
      <c r="A395" s="134" t="s">
        <v>2179</v>
      </c>
      <c r="B395" s="134" t="s">
        <v>2180</v>
      </c>
      <c r="C395" s="99" t="s">
        <v>401</v>
      </c>
      <c r="D395" s="134" t="s">
        <v>2181</v>
      </c>
      <c r="E395" s="426" t="s">
        <v>2182</v>
      </c>
      <c r="F395" s="238" t="str">
        <f>$F$37</f>
        <v>WoS</v>
      </c>
      <c r="G395" s="99">
        <v>3</v>
      </c>
      <c r="H395" s="99">
        <v>3</v>
      </c>
      <c r="I395" s="99">
        <v>3</v>
      </c>
      <c r="J395" s="125">
        <v>50</v>
      </c>
      <c r="K395" s="114">
        <v>16.66</v>
      </c>
      <c r="L395" s="338" t="s">
        <v>466</v>
      </c>
    </row>
    <row r="396" spans="1:12" ht="15" customHeight="1">
      <c r="A396" s="134" t="s">
        <v>2179</v>
      </c>
      <c r="B396" s="134" t="s">
        <v>2180</v>
      </c>
      <c r="C396" s="99" t="s">
        <v>401</v>
      </c>
      <c r="D396" s="427" t="s">
        <v>2183</v>
      </c>
      <c r="E396" s="99" t="s">
        <v>2184</v>
      </c>
      <c r="F396" s="119" t="s">
        <v>1338</v>
      </c>
      <c r="G396" s="99">
        <v>3</v>
      </c>
      <c r="H396" s="99">
        <v>3</v>
      </c>
      <c r="I396" s="99">
        <v>3</v>
      </c>
      <c r="J396" s="125">
        <v>50</v>
      </c>
      <c r="K396" s="428">
        <v>16.66</v>
      </c>
      <c r="L396" s="338" t="s">
        <v>466</v>
      </c>
    </row>
    <row r="397" spans="1:12" ht="15" customHeight="1">
      <c r="A397" s="134" t="s">
        <v>2179</v>
      </c>
      <c r="B397" s="134" t="s">
        <v>2180</v>
      </c>
      <c r="C397" s="99" t="s">
        <v>401</v>
      </c>
      <c r="D397" s="134" t="s">
        <v>2185</v>
      </c>
      <c r="E397" s="99" t="s">
        <v>2186</v>
      </c>
      <c r="F397" s="238" t="s">
        <v>2133</v>
      </c>
      <c r="G397" s="99">
        <v>3</v>
      </c>
      <c r="H397" s="99">
        <v>3</v>
      </c>
      <c r="I397" s="99">
        <v>3</v>
      </c>
      <c r="J397" s="125">
        <v>50</v>
      </c>
      <c r="K397" s="114">
        <v>16.66</v>
      </c>
      <c r="L397" s="338" t="s">
        <v>466</v>
      </c>
    </row>
    <row r="398" spans="1:12" ht="15" customHeight="1">
      <c r="A398" s="134" t="s">
        <v>2187</v>
      </c>
      <c r="B398" s="134" t="s">
        <v>2188</v>
      </c>
      <c r="C398" s="99" t="s">
        <v>401</v>
      </c>
      <c r="D398" s="134" t="s">
        <v>2189</v>
      </c>
      <c r="E398" s="99" t="s">
        <v>2190</v>
      </c>
      <c r="F398" s="238" t="s">
        <v>1338</v>
      </c>
      <c r="G398" s="99">
        <v>3</v>
      </c>
      <c r="H398" s="99">
        <v>3</v>
      </c>
      <c r="I398" s="99">
        <v>3</v>
      </c>
      <c r="J398" s="125">
        <v>50</v>
      </c>
      <c r="K398" s="114">
        <v>16.670000000000002</v>
      </c>
      <c r="L398" s="338" t="s">
        <v>466</v>
      </c>
    </row>
    <row r="399" spans="1:12" ht="15" customHeight="1">
      <c r="A399" s="284" t="s">
        <v>2191</v>
      </c>
      <c r="B399" s="429" t="s">
        <v>2192</v>
      </c>
      <c r="C399" s="99" t="s">
        <v>401</v>
      </c>
      <c r="D399" s="284" t="s">
        <v>2193</v>
      </c>
      <c r="E399" s="430" t="s">
        <v>2194</v>
      </c>
      <c r="F399" s="187" t="s">
        <v>1338</v>
      </c>
      <c r="G399" s="154">
        <v>3</v>
      </c>
      <c r="H399" s="154">
        <v>3</v>
      </c>
      <c r="I399" s="154">
        <v>3</v>
      </c>
      <c r="J399" s="431">
        <v>50</v>
      </c>
      <c r="K399" s="432">
        <v>16.66</v>
      </c>
      <c r="L399" s="338" t="s">
        <v>466</v>
      </c>
    </row>
    <row r="400" spans="1:12" ht="15" customHeight="1">
      <c r="A400" s="134" t="s">
        <v>2195</v>
      </c>
      <c r="B400" s="134" t="s">
        <v>2196</v>
      </c>
      <c r="C400" s="99" t="s">
        <v>401</v>
      </c>
      <c r="D400" s="134" t="s">
        <v>2197</v>
      </c>
      <c r="E400" s="99" t="s">
        <v>2198</v>
      </c>
      <c r="F400" s="238" t="s">
        <v>1338</v>
      </c>
      <c r="G400" s="99">
        <v>7</v>
      </c>
      <c r="H400" s="99">
        <v>3</v>
      </c>
      <c r="I400" s="99">
        <v>10</v>
      </c>
      <c r="J400" s="125">
        <v>50</v>
      </c>
      <c r="K400" s="114">
        <v>16.670000000000002</v>
      </c>
      <c r="L400" s="338" t="s">
        <v>466</v>
      </c>
    </row>
    <row r="401" spans="1:12" ht="15" customHeight="1">
      <c r="A401" s="284" t="s">
        <v>2199</v>
      </c>
      <c r="B401" s="284" t="s">
        <v>2200</v>
      </c>
      <c r="C401" s="99" t="s">
        <v>401</v>
      </c>
      <c r="D401" s="284" t="s">
        <v>2201</v>
      </c>
      <c r="E401" s="187" t="s">
        <v>2202</v>
      </c>
      <c r="F401" s="433" t="s">
        <v>1338</v>
      </c>
      <c r="G401" s="187">
        <v>6</v>
      </c>
      <c r="H401" s="187">
        <v>4</v>
      </c>
      <c r="I401" s="187">
        <v>6</v>
      </c>
      <c r="J401" s="434">
        <v>50</v>
      </c>
      <c r="K401" s="189">
        <v>12.5</v>
      </c>
      <c r="L401" s="338" t="s">
        <v>466</v>
      </c>
    </row>
    <row r="402" spans="1:12" ht="15" customHeight="1">
      <c r="A402" s="134" t="s">
        <v>2203</v>
      </c>
      <c r="B402" s="256" t="s">
        <v>2204</v>
      </c>
      <c r="C402" s="92" t="s">
        <v>51</v>
      </c>
      <c r="D402" s="134" t="s">
        <v>2205</v>
      </c>
      <c r="E402" s="435" t="s">
        <v>2206</v>
      </c>
      <c r="F402" s="238" t="s">
        <v>2072</v>
      </c>
      <c r="G402" s="94">
        <v>1</v>
      </c>
      <c r="H402" s="94">
        <v>1</v>
      </c>
      <c r="I402" s="94">
        <v>1</v>
      </c>
      <c r="J402" s="385">
        <v>50</v>
      </c>
      <c r="K402" s="114">
        <v>50</v>
      </c>
      <c r="L402" s="338" t="s">
        <v>2207</v>
      </c>
    </row>
    <row r="403" spans="1:12" ht="15" customHeight="1">
      <c r="A403" s="134" t="s">
        <v>2208</v>
      </c>
      <c r="B403" s="91" t="s">
        <v>2209</v>
      </c>
      <c r="C403" s="133" t="s">
        <v>51</v>
      </c>
      <c r="D403" s="400" t="s">
        <v>2210</v>
      </c>
      <c r="E403" s="378" t="s">
        <v>2211</v>
      </c>
      <c r="F403" s="134" t="s">
        <v>1338</v>
      </c>
      <c r="G403" s="379">
        <v>3</v>
      </c>
      <c r="H403" s="379">
        <v>3</v>
      </c>
      <c r="I403" s="379">
        <v>3</v>
      </c>
      <c r="J403" s="272">
        <v>50</v>
      </c>
      <c r="K403" s="134">
        <f>J403/3</f>
        <v>16.666666666666668</v>
      </c>
      <c r="L403" s="338" t="s">
        <v>473</v>
      </c>
    </row>
    <row r="404" spans="1:12" ht="15" customHeight="1">
      <c r="A404" s="91" t="s">
        <v>2212</v>
      </c>
      <c r="B404" s="256" t="s">
        <v>2213</v>
      </c>
      <c r="C404" s="92" t="s">
        <v>51</v>
      </c>
      <c r="D404" s="400" t="s">
        <v>2214</v>
      </c>
      <c r="E404" s="382" t="s">
        <v>2215</v>
      </c>
      <c r="F404" s="238" t="s">
        <v>1868</v>
      </c>
      <c r="G404" s="94">
        <v>1</v>
      </c>
      <c r="H404" s="94">
        <v>1</v>
      </c>
      <c r="I404" s="94">
        <v>4</v>
      </c>
      <c r="J404" s="385">
        <v>50</v>
      </c>
      <c r="K404" s="114">
        <f>J404/1</f>
        <v>50</v>
      </c>
      <c r="L404" s="338" t="s">
        <v>473</v>
      </c>
    </row>
    <row r="405" spans="1:12" ht="15" customHeight="1">
      <c r="A405" s="134" t="s">
        <v>2208</v>
      </c>
      <c r="B405" s="91" t="s">
        <v>2209</v>
      </c>
      <c r="C405" s="133" t="s">
        <v>51</v>
      </c>
      <c r="D405" s="400" t="s">
        <v>2216</v>
      </c>
      <c r="E405" s="378" t="s">
        <v>2217</v>
      </c>
      <c r="F405" s="134" t="s">
        <v>1338</v>
      </c>
      <c r="G405" s="379">
        <v>3</v>
      </c>
      <c r="H405" s="379">
        <v>3</v>
      </c>
      <c r="I405" s="379">
        <v>3</v>
      </c>
      <c r="J405" s="272">
        <v>50</v>
      </c>
      <c r="K405" s="134">
        <f>J405/3</f>
        <v>16.666666666666668</v>
      </c>
      <c r="L405" s="338" t="s">
        <v>473</v>
      </c>
    </row>
    <row r="406" spans="1:12" ht="15" customHeight="1">
      <c r="A406" s="134" t="s">
        <v>1864</v>
      </c>
      <c r="B406" s="134" t="s">
        <v>1865</v>
      </c>
      <c r="C406" s="99" t="s">
        <v>51</v>
      </c>
      <c r="D406" s="400" t="s">
        <v>2218</v>
      </c>
      <c r="E406" s="382" t="s">
        <v>1867</v>
      </c>
      <c r="F406" s="238" t="s">
        <v>1868</v>
      </c>
      <c r="G406" s="99">
        <v>2</v>
      </c>
      <c r="H406" s="99">
        <v>2</v>
      </c>
      <c r="I406" s="99">
        <v>2</v>
      </c>
      <c r="J406" s="385">
        <v>50</v>
      </c>
      <c r="K406" s="114">
        <f t="shared" ref="K406:K407" si="2">J406/2</f>
        <v>25</v>
      </c>
      <c r="L406" s="338" t="s">
        <v>473</v>
      </c>
    </row>
    <row r="407" spans="1:12" ht="15" customHeight="1">
      <c r="A407" s="134" t="s">
        <v>1864</v>
      </c>
      <c r="B407" s="134" t="s">
        <v>1865</v>
      </c>
      <c r="C407" s="99" t="s">
        <v>51</v>
      </c>
      <c r="D407" s="400" t="s">
        <v>2219</v>
      </c>
      <c r="E407" s="382" t="s">
        <v>1871</v>
      </c>
      <c r="F407" s="238" t="s">
        <v>1868</v>
      </c>
      <c r="G407" s="99">
        <v>2</v>
      </c>
      <c r="H407" s="99">
        <v>2</v>
      </c>
      <c r="I407" s="99">
        <v>2</v>
      </c>
      <c r="J407" s="385">
        <v>50</v>
      </c>
      <c r="K407" s="114">
        <f t="shared" si="2"/>
        <v>25</v>
      </c>
      <c r="L407" s="338" t="s">
        <v>473</v>
      </c>
    </row>
    <row r="408" spans="1:12" ht="15" customHeight="1">
      <c r="A408" s="134" t="s">
        <v>2208</v>
      </c>
      <c r="B408" s="91" t="s">
        <v>2209</v>
      </c>
      <c r="C408" s="99" t="s">
        <v>51</v>
      </c>
      <c r="D408" s="400" t="s">
        <v>2220</v>
      </c>
      <c r="E408" s="382" t="s">
        <v>2221</v>
      </c>
      <c r="F408" s="134" t="s">
        <v>1338</v>
      </c>
      <c r="G408" s="379">
        <v>3</v>
      </c>
      <c r="H408" s="379">
        <v>3</v>
      </c>
      <c r="I408" s="379">
        <v>3</v>
      </c>
      <c r="J408" s="272">
        <v>50</v>
      </c>
      <c r="K408" s="134">
        <f>J408/3</f>
        <v>16.666666666666668</v>
      </c>
      <c r="L408" s="338" t="s">
        <v>473</v>
      </c>
    </row>
    <row r="409" spans="1:12" ht="15" customHeight="1">
      <c r="A409" s="91" t="s">
        <v>2212</v>
      </c>
      <c r="B409" s="256" t="s">
        <v>2213</v>
      </c>
      <c r="C409" s="99" t="s">
        <v>51</v>
      </c>
      <c r="D409" s="400" t="s">
        <v>2222</v>
      </c>
      <c r="E409" s="382" t="s">
        <v>2223</v>
      </c>
      <c r="F409" s="238" t="s">
        <v>1868</v>
      </c>
      <c r="G409" s="94">
        <v>1</v>
      </c>
      <c r="H409" s="94">
        <v>1</v>
      </c>
      <c r="I409" s="94">
        <v>4</v>
      </c>
      <c r="J409" s="385">
        <v>50</v>
      </c>
      <c r="K409" s="114">
        <f>J409/1</f>
        <v>50</v>
      </c>
      <c r="L409" s="338" t="s">
        <v>473</v>
      </c>
    </row>
    <row r="410" spans="1:12" ht="15" customHeight="1">
      <c r="A410" s="91" t="s">
        <v>2224</v>
      </c>
      <c r="B410" s="256" t="s">
        <v>2225</v>
      </c>
      <c r="C410" s="99" t="s">
        <v>51</v>
      </c>
      <c r="D410" s="400" t="s">
        <v>2226</v>
      </c>
      <c r="E410" s="382" t="s">
        <v>2227</v>
      </c>
      <c r="F410" s="238" t="s">
        <v>635</v>
      </c>
      <c r="G410" s="94">
        <v>2</v>
      </c>
      <c r="H410" s="94">
        <v>2</v>
      </c>
      <c r="I410" s="94">
        <v>2</v>
      </c>
      <c r="J410" s="385">
        <v>50</v>
      </c>
      <c r="K410" s="114">
        <f>J410/2</f>
        <v>25</v>
      </c>
      <c r="L410" s="338" t="s">
        <v>473</v>
      </c>
    </row>
    <row r="411" spans="1:12" ht="15" customHeight="1">
      <c r="A411" s="134" t="s">
        <v>2208</v>
      </c>
      <c r="B411" s="91" t="s">
        <v>2209</v>
      </c>
      <c r="C411" s="99" t="s">
        <v>51</v>
      </c>
      <c r="D411" s="216" t="s">
        <v>2228</v>
      </c>
      <c r="E411" s="382" t="s">
        <v>2229</v>
      </c>
      <c r="F411" s="238" t="s">
        <v>635</v>
      </c>
      <c r="G411" s="379">
        <v>3</v>
      </c>
      <c r="H411" s="379">
        <v>3</v>
      </c>
      <c r="I411" s="379">
        <v>3</v>
      </c>
      <c r="J411" s="272">
        <v>50</v>
      </c>
      <c r="K411" s="134">
        <f>J411/3</f>
        <v>16.666666666666668</v>
      </c>
      <c r="L411" s="338" t="s">
        <v>473</v>
      </c>
    </row>
    <row r="412" spans="1:12" ht="15" customHeight="1">
      <c r="A412" s="91" t="s">
        <v>2224</v>
      </c>
      <c r="B412" s="256" t="s">
        <v>2225</v>
      </c>
      <c r="C412" s="99" t="s">
        <v>51</v>
      </c>
      <c r="D412" s="436" t="s">
        <v>2230</v>
      </c>
      <c r="E412" s="382" t="s">
        <v>2231</v>
      </c>
      <c r="F412" s="238" t="s">
        <v>635</v>
      </c>
      <c r="G412" s="94">
        <v>2</v>
      </c>
      <c r="H412" s="94">
        <v>2</v>
      </c>
      <c r="I412" s="94">
        <v>2</v>
      </c>
      <c r="J412" s="385">
        <v>50</v>
      </c>
      <c r="K412" s="114">
        <f>J412/2</f>
        <v>25</v>
      </c>
      <c r="L412" s="338" t="s">
        <v>473</v>
      </c>
    </row>
    <row r="413" spans="1:12" ht="15" customHeight="1">
      <c r="A413" s="134" t="s">
        <v>2208</v>
      </c>
      <c r="B413" s="91" t="s">
        <v>2209</v>
      </c>
      <c r="C413" s="99" t="s">
        <v>51</v>
      </c>
      <c r="D413" s="436" t="s">
        <v>2232</v>
      </c>
      <c r="E413" s="382" t="s">
        <v>2233</v>
      </c>
      <c r="F413" s="238" t="s">
        <v>635</v>
      </c>
      <c r="G413" s="379">
        <v>3</v>
      </c>
      <c r="H413" s="379">
        <v>3</v>
      </c>
      <c r="I413" s="379">
        <v>3</v>
      </c>
      <c r="J413" s="272">
        <v>50</v>
      </c>
      <c r="K413" s="134">
        <f t="shared" ref="K413:K414" si="3">J413/3</f>
        <v>16.666666666666668</v>
      </c>
      <c r="L413" s="338" t="s">
        <v>473</v>
      </c>
    </row>
    <row r="414" spans="1:12" ht="15" customHeight="1">
      <c r="A414" s="134" t="s">
        <v>2208</v>
      </c>
      <c r="B414" s="91" t="s">
        <v>2209</v>
      </c>
      <c r="C414" s="99" t="s">
        <v>51</v>
      </c>
      <c r="D414" s="436" t="s">
        <v>2234</v>
      </c>
      <c r="E414" s="382" t="s">
        <v>2235</v>
      </c>
      <c r="F414" s="238" t="s">
        <v>635</v>
      </c>
      <c r="G414" s="379">
        <v>3</v>
      </c>
      <c r="H414" s="379">
        <v>3</v>
      </c>
      <c r="I414" s="379">
        <v>3</v>
      </c>
      <c r="J414" s="272">
        <v>50</v>
      </c>
      <c r="K414" s="134">
        <f t="shared" si="3"/>
        <v>16.666666666666668</v>
      </c>
      <c r="L414" s="338" t="s">
        <v>473</v>
      </c>
    </row>
    <row r="415" spans="1:12" ht="15" customHeight="1">
      <c r="A415" s="91" t="s">
        <v>2212</v>
      </c>
      <c r="B415" s="256" t="s">
        <v>2213</v>
      </c>
      <c r="C415" s="92" t="s">
        <v>51</v>
      </c>
      <c r="D415" s="437" t="s">
        <v>2236</v>
      </c>
      <c r="E415" s="382" t="s">
        <v>2237</v>
      </c>
      <c r="F415" s="238" t="s">
        <v>635</v>
      </c>
      <c r="G415" s="94">
        <v>1</v>
      </c>
      <c r="H415" s="94">
        <v>1</v>
      </c>
      <c r="I415" s="94">
        <v>4</v>
      </c>
      <c r="J415" s="385">
        <v>50</v>
      </c>
      <c r="K415" s="114">
        <f t="shared" ref="K415:K416" si="4">J415/1</f>
        <v>50</v>
      </c>
      <c r="L415" s="338" t="s">
        <v>473</v>
      </c>
    </row>
    <row r="416" spans="1:12" ht="15" customHeight="1">
      <c r="A416" s="134" t="s">
        <v>2238</v>
      </c>
      <c r="B416" s="91" t="s">
        <v>2239</v>
      </c>
      <c r="C416" s="92" t="s">
        <v>51</v>
      </c>
      <c r="D416" s="437" t="s">
        <v>2236</v>
      </c>
      <c r="E416" s="382" t="s">
        <v>2237</v>
      </c>
      <c r="F416" s="238" t="s">
        <v>635</v>
      </c>
      <c r="G416" s="94">
        <v>1</v>
      </c>
      <c r="H416" s="94">
        <v>1</v>
      </c>
      <c r="I416" s="94">
        <v>4</v>
      </c>
      <c r="J416" s="385">
        <v>50</v>
      </c>
      <c r="K416" s="114">
        <f t="shared" si="4"/>
        <v>50</v>
      </c>
      <c r="L416" s="338" t="s">
        <v>473</v>
      </c>
    </row>
    <row r="417" spans="1:12" ht="15" customHeight="1">
      <c r="A417" s="134" t="s">
        <v>2240</v>
      </c>
      <c r="B417" s="91" t="s">
        <v>2241</v>
      </c>
      <c r="C417" s="92" t="s">
        <v>51</v>
      </c>
      <c r="D417" s="437" t="s">
        <v>2242</v>
      </c>
      <c r="E417" s="382" t="s">
        <v>2243</v>
      </c>
      <c r="F417" s="238" t="s">
        <v>635</v>
      </c>
      <c r="G417" s="94">
        <v>2</v>
      </c>
      <c r="H417" s="94">
        <v>2</v>
      </c>
      <c r="I417" s="94">
        <v>3</v>
      </c>
      <c r="J417" s="385">
        <v>50</v>
      </c>
      <c r="K417" s="114">
        <f t="shared" ref="K417:K418" si="5">J417/2</f>
        <v>25</v>
      </c>
      <c r="L417" s="338" t="s">
        <v>473</v>
      </c>
    </row>
    <row r="418" spans="1:12" ht="15" customHeight="1">
      <c r="A418" s="134" t="s">
        <v>1864</v>
      </c>
      <c r="B418" s="134" t="s">
        <v>1865</v>
      </c>
      <c r="C418" s="99" t="s">
        <v>51</v>
      </c>
      <c r="D418" s="400" t="s">
        <v>2244</v>
      </c>
      <c r="E418" s="382" t="s">
        <v>1867</v>
      </c>
      <c r="F418" s="238" t="s">
        <v>635</v>
      </c>
      <c r="G418" s="99">
        <v>2</v>
      </c>
      <c r="H418" s="99">
        <v>2</v>
      </c>
      <c r="I418" s="99">
        <v>2</v>
      </c>
      <c r="J418" s="385">
        <v>50</v>
      </c>
      <c r="K418" s="114">
        <f t="shared" si="5"/>
        <v>25</v>
      </c>
      <c r="L418" s="338" t="s">
        <v>473</v>
      </c>
    </row>
    <row r="419" spans="1:12" ht="15" customHeight="1">
      <c r="A419" s="134" t="s">
        <v>2208</v>
      </c>
      <c r="B419" s="91" t="s">
        <v>2209</v>
      </c>
      <c r="C419" s="133" t="s">
        <v>51</v>
      </c>
      <c r="D419" s="400" t="s">
        <v>2245</v>
      </c>
      <c r="E419" s="378" t="s">
        <v>2217</v>
      </c>
      <c r="F419" s="134" t="s">
        <v>635</v>
      </c>
      <c r="G419" s="379">
        <v>3</v>
      </c>
      <c r="H419" s="379">
        <v>3</v>
      </c>
      <c r="I419" s="379">
        <v>3</v>
      </c>
      <c r="J419" s="272">
        <v>50</v>
      </c>
      <c r="K419" s="134">
        <f>J419/3</f>
        <v>16.666666666666668</v>
      </c>
      <c r="L419" s="338" t="s">
        <v>473</v>
      </c>
    </row>
    <row r="420" spans="1:12" ht="15" customHeight="1">
      <c r="A420" s="91" t="s">
        <v>2212</v>
      </c>
      <c r="B420" s="256" t="s">
        <v>2213</v>
      </c>
      <c r="C420" s="92" t="s">
        <v>51</v>
      </c>
      <c r="D420" s="400" t="s">
        <v>2246</v>
      </c>
      <c r="E420" s="378" t="s">
        <v>2247</v>
      </c>
      <c r="F420" s="238" t="s">
        <v>635</v>
      </c>
      <c r="G420" s="94">
        <v>1</v>
      </c>
      <c r="H420" s="94">
        <v>1</v>
      </c>
      <c r="I420" s="94">
        <v>4</v>
      </c>
      <c r="J420" s="385">
        <v>50</v>
      </c>
      <c r="K420" s="114">
        <f t="shared" ref="K420:K421" si="6">J420/1</f>
        <v>50</v>
      </c>
      <c r="L420" s="338" t="s">
        <v>473</v>
      </c>
    </row>
    <row r="421" spans="1:12" ht="15" customHeight="1">
      <c r="A421" s="91" t="s">
        <v>2212</v>
      </c>
      <c r="B421" s="256" t="s">
        <v>2213</v>
      </c>
      <c r="C421" s="92" t="s">
        <v>51</v>
      </c>
      <c r="D421" s="400" t="s">
        <v>2248</v>
      </c>
      <c r="E421" s="382" t="s">
        <v>2215</v>
      </c>
      <c r="F421" s="238" t="s">
        <v>635</v>
      </c>
      <c r="G421" s="94">
        <v>1</v>
      </c>
      <c r="H421" s="94">
        <v>1</v>
      </c>
      <c r="I421" s="94">
        <v>4</v>
      </c>
      <c r="J421" s="385">
        <v>50</v>
      </c>
      <c r="K421" s="114">
        <f t="shared" si="6"/>
        <v>50</v>
      </c>
      <c r="L421" s="338" t="s">
        <v>473</v>
      </c>
    </row>
    <row r="422" spans="1:12" ht="15" customHeight="1">
      <c r="A422" s="134" t="s">
        <v>2249</v>
      </c>
      <c r="B422" s="91" t="s">
        <v>2250</v>
      </c>
      <c r="C422" s="133" t="s">
        <v>51</v>
      </c>
      <c r="D422" s="436" t="s">
        <v>2251</v>
      </c>
      <c r="E422" s="378" t="s">
        <v>2252</v>
      </c>
      <c r="F422" s="134" t="s">
        <v>635</v>
      </c>
      <c r="G422" s="379">
        <v>3</v>
      </c>
      <c r="H422" s="379">
        <v>3</v>
      </c>
      <c r="I422" s="379">
        <v>3</v>
      </c>
      <c r="J422" s="272">
        <v>50</v>
      </c>
      <c r="K422" s="134">
        <f t="shared" ref="K422:K424" si="7">J422/3</f>
        <v>16.666666666666668</v>
      </c>
      <c r="L422" s="338" t="s">
        <v>473</v>
      </c>
    </row>
    <row r="423" spans="1:12" ht="15" customHeight="1">
      <c r="A423" s="134" t="s">
        <v>2249</v>
      </c>
      <c r="B423" s="91" t="s">
        <v>2250</v>
      </c>
      <c r="C423" s="133" t="s">
        <v>51</v>
      </c>
      <c r="D423" s="436" t="s">
        <v>2253</v>
      </c>
      <c r="E423" s="378" t="s">
        <v>2254</v>
      </c>
      <c r="F423" s="134" t="s">
        <v>635</v>
      </c>
      <c r="G423" s="379">
        <v>3</v>
      </c>
      <c r="H423" s="379">
        <v>3</v>
      </c>
      <c r="I423" s="379">
        <v>3</v>
      </c>
      <c r="J423" s="272">
        <v>50</v>
      </c>
      <c r="K423" s="134">
        <f t="shared" si="7"/>
        <v>16.666666666666668</v>
      </c>
      <c r="L423" s="338" t="s">
        <v>473</v>
      </c>
    </row>
    <row r="424" spans="1:12" ht="15" customHeight="1">
      <c r="A424" s="134" t="s">
        <v>2208</v>
      </c>
      <c r="B424" s="91" t="s">
        <v>2209</v>
      </c>
      <c r="C424" s="133" t="s">
        <v>51</v>
      </c>
      <c r="D424" s="400" t="s">
        <v>2255</v>
      </c>
      <c r="E424" s="378" t="s">
        <v>2211</v>
      </c>
      <c r="F424" s="134" t="s">
        <v>635</v>
      </c>
      <c r="G424" s="379">
        <v>3</v>
      </c>
      <c r="H424" s="379">
        <v>3</v>
      </c>
      <c r="I424" s="379">
        <v>3</v>
      </c>
      <c r="J424" s="272">
        <v>50</v>
      </c>
      <c r="K424" s="134">
        <f t="shared" si="7"/>
        <v>16.666666666666668</v>
      </c>
      <c r="L424" s="338" t="s">
        <v>473</v>
      </c>
    </row>
    <row r="425" spans="1:12" ht="15" customHeight="1">
      <c r="A425" s="134" t="s">
        <v>2256</v>
      </c>
      <c r="B425" s="91" t="s">
        <v>2257</v>
      </c>
      <c r="C425" s="133" t="s">
        <v>51</v>
      </c>
      <c r="D425" s="134" t="s">
        <v>2258</v>
      </c>
      <c r="E425" s="134" t="s">
        <v>2259</v>
      </c>
      <c r="F425" s="228" t="s">
        <v>1338</v>
      </c>
      <c r="G425" s="379">
        <v>4</v>
      </c>
      <c r="H425" s="379">
        <v>4</v>
      </c>
      <c r="I425" s="379">
        <v>4</v>
      </c>
      <c r="J425" s="272">
        <v>50</v>
      </c>
      <c r="K425" s="134">
        <f t="shared" ref="K425:K426" si="8">J425/4</f>
        <v>12.5</v>
      </c>
      <c r="L425" s="338" t="s">
        <v>2260</v>
      </c>
    </row>
    <row r="426" spans="1:12" ht="15" customHeight="1">
      <c r="A426" s="134" t="s">
        <v>2256</v>
      </c>
      <c r="B426" s="91" t="s">
        <v>2257</v>
      </c>
      <c r="C426" s="133" t="s">
        <v>51</v>
      </c>
      <c r="D426" s="134" t="s">
        <v>2261</v>
      </c>
      <c r="E426" s="134" t="s">
        <v>2262</v>
      </c>
      <c r="F426" s="228" t="s">
        <v>230</v>
      </c>
      <c r="G426" s="379">
        <v>4</v>
      </c>
      <c r="H426" s="379">
        <v>4</v>
      </c>
      <c r="I426" s="379">
        <v>4</v>
      </c>
      <c r="J426" s="272">
        <v>50</v>
      </c>
      <c r="K426" s="134">
        <f t="shared" si="8"/>
        <v>12.5</v>
      </c>
      <c r="L426" s="338" t="s">
        <v>2260</v>
      </c>
    </row>
    <row r="427" spans="1:12" ht="15" customHeight="1">
      <c r="A427" s="438" t="s">
        <v>2263</v>
      </c>
      <c r="B427" s="228" t="s">
        <v>2264</v>
      </c>
      <c r="C427" s="138" t="s">
        <v>51</v>
      </c>
      <c r="D427" s="138" t="s">
        <v>2265</v>
      </c>
      <c r="E427" s="138" t="s">
        <v>2266</v>
      </c>
      <c r="F427" s="228" t="s">
        <v>1338</v>
      </c>
      <c r="G427" s="379">
        <v>2</v>
      </c>
      <c r="H427" s="379">
        <v>2</v>
      </c>
      <c r="I427" s="379">
        <v>2</v>
      </c>
      <c r="J427" s="379">
        <v>50</v>
      </c>
      <c r="K427" s="379">
        <f>J427/2</f>
        <v>25</v>
      </c>
      <c r="L427" s="338" t="s">
        <v>2260</v>
      </c>
    </row>
    <row r="428" spans="1:12" ht="15" customHeight="1">
      <c r="A428" s="91" t="s">
        <v>475</v>
      </c>
      <c r="B428" s="256" t="s">
        <v>474</v>
      </c>
      <c r="C428" s="133" t="s">
        <v>51</v>
      </c>
      <c r="D428" s="133" t="s">
        <v>2267</v>
      </c>
      <c r="E428" s="382" t="s">
        <v>2268</v>
      </c>
      <c r="F428" s="238" t="s">
        <v>2133</v>
      </c>
      <c r="G428" s="94">
        <v>3</v>
      </c>
      <c r="H428" s="94">
        <v>3</v>
      </c>
      <c r="I428" s="94">
        <v>3</v>
      </c>
      <c r="J428" s="385">
        <v>50</v>
      </c>
      <c r="K428" s="114">
        <f t="shared" ref="K428:K429" si="9">J428/3</f>
        <v>16.666666666666668</v>
      </c>
      <c r="L428" s="338" t="s">
        <v>482</v>
      </c>
    </row>
    <row r="429" spans="1:12" ht="15" customHeight="1">
      <c r="A429" s="134" t="s">
        <v>2269</v>
      </c>
      <c r="B429" s="91" t="s">
        <v>2270</v>
      </c>
      <c r="C429" s="92" t="s">
        <v>51</v>
      </c>
      <c r="D429" s="133" t="s">
        <v>2271</v>
      </c>
      <c r="E429" s="426" t="s">
        <v>2272</v>
      </c>
      <c r="F429" s="238" t="s">
        <v>2133</v>
      </c>
      <c r="G429" s="99">
        <v>3</v>
      </c>
      <c r="H429" s="99">
        <v>2</v>
      </c>
      <c r="I429" s="99">
        <v>4</v>
      </c>
      <c r="J429" s="385">
        <v>50</v>
      </c>
      <c r="K429" s="114">
        <f t="shared" si="9"/>
        <v>16.666666666666668</v>
      </c>
      <c r="L429" s="338" t="s">
        <v>482</v>
      </c>
    </row>
    <row r="430" spans="1:12" ht="15" customHeight="1">
      <c r="A430" s="134" t="s">
        <v>2273</v>
      </c>
      <c r="B430" s="134" t="s">
        <v>2274</v>
      </c>
      <c r="C430" s="92" t="s">
        <v>51</v>
      </c>
      <c r="D430" s="133" t="s">
        <v>2275</v>
      </c>
      <c r="E430" s="426" t="s">
        <v>2276</v>
      </c>
      <c r="F430" s="238" t="s">
        <v>2133</v>
      </c>
      <c r="G430" s="99">
        <v>7</v>
      </c>
      <c r="H430" s="99">
        <v>7</v>
      </c>
      <c r="I430" s="99">
        <v>7</v>
      </c>
      <c r="J430" s="385">
        <v>50</v>
      </c>
      <c r="K430" s="114">
        <f>J430/7</f>
        <v>7.1428571428571432</v>
      </c>
      <c r="L430" s="338" t="s">
        <v>482</v>
      </c>
    </row>
    <row r="431" spans="1:12" ht="15" customHeight="1">
      <c r="A431" s="134" t="s">
        <v>2277</v>
      </c>
      <c r="B431" s="134" t="s">
        <v>2278</v>
      </c>
      <c r="C431" s="92" t="s">
        <v>51</v>
      </c>
      <c r="D431" s="133" t="s">
        <v>2279</v>
      </c>
      <c r="E431" s="382" t="s">
        <v>2280</v>
      </c>
      <c r="F431" s="238" t="s">
        <v>2133</v>
      </c>
      <c r="G431" s="99">
        <v>5</v>
      </c>
      <c r="H431" s="99">
        <v>5</v>
      </c>
      <c r="I431" s="99">
        <v>7</v>
      </c>
      <c r="J431" s="385">
        <v>50</v>
      </c>
      <c r="K431" s="114">
        <v>10</v>
      </c>
      <c r="L431" s="338" t="s">
        <v>482</v>
      </c>
    </row>
    <row r="432" spans="1:12" ht="15" customHeight="1">
      <c r="A432" s="134" t="s">
        <v>2277</v>
      </c>
      <c r="B432" s="134" t="s">
        <v>2278</v>
      </c>
      <c r="C432" s="92" t="s">
        <v>51</v>
      </c>
      <c r="D432" s="133" t="s">
        <v>2281</v>
      </c>
      <c r="E432" s="382" t="s">
        <v>2280</v>
      </c>
      <c r="F432" s="238" t="s">
        <v>2133</v>
      </c>
      <c r="G432" s="99">
        <v>5</v>
      </c>
      <c r="H432" s="99">
        <v>5</v>
      </c>
      <c r="I432" s="99">
        <v>7</v>
      </c>
      <c r="J432" s="385">
        <v>50</v>
      </c>
      <c r="K432" s="114">
        <v>10</v>
      </c>
      <c r="L432" s="338" t="s">
        <v>482</v>
      </c>
    </row>
    <row r="433" spans="1:12" ht="15" customHeight="1">
      <c r="A433" s="134" t="s">
        <v>2277</v>
      </c>
      <c r="B433" s="134" t="s">
        <v>2278</v>
      </c>
      <c r="C433" s="92" t="s">
        <v>51</v>
      </c>
      <c r="D433" s="133" t="s">
        <v>2282</v>
      </c>
      <c r="E433" s="382" t="s">
        <v>2280</v>
      </c>
      <c r="F433" s="238" t="s">
        <v>2133</v>
      </c>
      <c r="G433" s="99">
        <v>5</v>
      </c>
      <c r="H433" s="99">
        <v>5</v>
      </c>
      <c r="I433" s="99">
        <v>7</v>
      </c>
      <c r="J433" s="385">
        <v>50</v>
      </c>
      <c r="K433" s="114">
        <v>10</v>
      </c>
      <c r="L433" s="338" t="s">
        <v>482</v>
      </c>
    </row>
    <row r="434" spans="1:12" ht="15" customHeight="1">
      <c r="A434" s="134" t="s">
        <v>2277</v>
      </c>
      <c r="B434" s="134" t="s">
        <v>2278</v>
      </c>
      <c r="C434" s="92" t="s">
        <v>51</v>
      </c>
      <c r="D434" s="133" t="s">
        <v>2283</v>
      </c>
      <c r="E434" s="382" t="s">
        <v>2280</v>
      </c>
      <c r="F434" s="238" t="s">
        <v>2133</v>
      </c>
      <c r="G434" s="99">
        <v>5</v>
      </c>
      <c r="H434" s="99">
        <v>5</v>
      </c>
      <c r="I434" s="99">
        <v>7</v>
      </c>
      <c r="J434" s="385">
        <v>50</v>
      </c>
      <c r="K434" s="114">
        <v>10</v>
      </c>
      <c r="L434" s="338" t="s">
        <v>482</v>
      </c>
    </row>
    <row r="435" spans="1:12" ht="15" customHeight="1">
      <c r="A435" s="134" t="s">
        <v>2277</v>
      </c>
      <c r="B435" s="134" t="s">
        <v>2278</v>
      </c>
      <c r="C435" s="92" t="s">
        <v>51</v>
      </c>
      <c r="D435" s="133" t="s">
        <v>2284</v>
      </c>
      <c r="E435" s="382" t="s">
        <v>2285</v>
      </c>
      <c r="F435" s="238" t="s">
        <v>635</v>
      </c>
      <c r="G435" s="99">
        <v>5</v>
      </c>
      <c r="H435" s="99">
        <v>5</v>
      </c>
      <c r="I435" s="99">
        <v>7</v>
      </c>
      <c r="J435" s="385">
        <v>50</v>
      </c>
      <c r="K435" s="114">
        <v>10</v>
      </c>
      <c r="L435" s="338" t="s">
        <v>482</v>
      </c>
    </row>
    <row r="436" spans="1:12" ht="15" customHeight="1">
      <c r="A436" s="134" t="s">
        <v>2273</v>
      </c>
      <c r="B436" s="134" t="s">
        <v>2274</v>
      </c>
      <c r="C436" s="92" t="s">
        <v>51</v>
      </c>
      <c r="D436" s="133" t="s">
        <v>2286</v>
      </c>
      <c r="E436" s="382" t="s">
        <v>2287</v>
      </c>
      <c r="F436" s="238" t="s">
        <v>2133</v>
      </c>
      <c r="G436" s="99">
        <v>7</v>
      </c>
      <c r="H436" s="99">
        <v>7</v>
      </c>
      <c r="I436" s="99">
        <v>7</v>
      </c>
      <c r="J436" s="385">
        <v>50</v>
      </c>
      <c r="K436" s="114">
        <f>J436/7</f>
        <v>7.1428571428571432</v>
      </c>
      <c r="L436" s="338" t="s">
        <v>482</v>
      </c>
    </row>
    <row r="437" spans="1:12" ht="15" customHeight="1">
      <c r="A437" s="134" t="s">
        <v>2288</v>
      </c>
      <c r="B437" s="134" t="s">
        <v>2289</v>
      </c>
      <c r="C437" s="92" t="s">
        <v>51</v>
      </c>
      <c r="D437" s="131" t="s">
        <v>2290</v>
      </c>
      <c r="E437" s="99" t="s">
        <v>2291</v>
      </c>
      <c r="F437" s="238" t="s">
        <v>2133</v>
      </c>
      <c r="G437" s="99">
        <v>4</v>
      </c>
      <c r="H437" s="99">
        <v>4</v>
      </c>
      <c r="I437" s="99">
        <v>4</v>
      </c>
      <c r="J437" s="385">
        <v>50</v>
      </c>
      <c r="K437" s="114">
        <f>J437/4</f>
        <v>12.5</v>
      </c>
      <c r="L437" s="338" t="s">
        <v>482</v>
      </c>
    </row>
    <row r="438" spans="1:12" ht="15" customHeight="1">
      <c r="A438" s="134" t="s">
        <v>2292</v>
      </c>
      <c r="B438" s="134" t="s">
        <v>2293</v>
      </c>
      <c r="C438" s="92" t="s">
        <v>51</v>
      </c>
      <c r="D438" s="134" t="s">
        <v>2294</v>
      </c>
      <c r="E438" s="382" t="s">
        <v>2295</v>
      </c>
      <c r="F438" s="238" t="s">
        <v>2133</v>
      </c>
      <c r="G438" s="99">
        <v>2</v>
      </c>
      <c r="H438" s="99">
        <v>2</v>
      </c>
      <c r="I438" s="99">
        <v>4</v>
      </c>
      <c r="J438" s="385">
        <v>50</v>
      </c>
      <c r="K438" s="114">
        <v>25</v>
      </c>
      <c r="L438" s="338" t="s">
        <v>482</v>
      </c>
    </row>
    <row r="439" spans="1:12" ht="15" customHeight="1">
      <c r="A439" s="134" t="s">
        <v>2296</v>
      </c>
      <c r="B439" s="134" t="s">
        <v>2297</v>
      </c>
      <c r="C439" s="92" t="s">
        <v>51</v>
      </c>
      <c r="D439" s="134" t="s">
        <v>2298</v>
      </c>
      <c r="E439" s="382" t="s">
        <v>2299</v>
      </c>
      <c r="F439" s="238" t="s">
        <v>1878</v>
      </c>
      <c r="G439" s="99">
        <v>3</v>
      </c>
      <c r="H439" s="99">
        <v>3</v>
      </c>
      <c r="I439" s="99">
        <v>3</v>
      </c>
      <c r="J439" s="385">
        <v>50</v>
      </c>
      <c r="K439" s="114">
        <v>16.670000000000002</v>
      </c>
      <c r="L439" s="338" t="s">
        <v>482</v>
      </c>
    </row>
    <row r="440" spans="1:12" ht="15" customHeight="1">
      <c r="A440" s="134" t="s">
        <v>2300</v>
      </c>
      <c r="B440" s="134" t="s">
        <v>2301</v>
      </c>
      <c r="C440" s="92" t="s">
        <v>51</v>
      </c>
      <c r="D440" s="134" t="s">
        <v>2302</v>
      </c>
      <c r="E440" s="382" t="s">
        <v>2303</v>
      </c>
      <c r="F440" s="238" t="s">
        <v>1878</v>
      </c>
      <c r="G440" s="99">
        <v>3</v>
      </c>
      <c r="H440" s="99">
        <v>3</v>
      </c>
      <c r="I440" s="99">
        <v>3</v>
      </c>
      <c r="J440" s="385">
        <v>50</v>
      </c>
      <c r="K440" s="114">
        <v>16.670000000000002</v>
      </c>
      <c r="L440" s="338" t="s">
        <v>482</v>
      </c>
    </row>
    <row r="441" spans="1:12" ht="15" customHeight="1">
      <c r="A441" s="134" t="s">
        <v>2300</v>
      </c>
      <c r="B441" s="134" t="s">
        <v>2301</v>
      </c>
      <c r="C441" s="92" t="s">
        <v>51</v>
      </c>
      <c r="D441" s="134" t="s">
        <v>2304</v>
      </c>
      <c r="E441" s="382" t="s">
        <v>2305</v>
      </c>
      <c r="F441" s="238" t="s">
        <v>635</v>
      </c>
      <c r="G441" s="99">
        <v>3</v>
      </c>
      <c r="H441" s="99">
        <v>3</v>
      </c>
      <c r="I441" s="99">
        <v>3</v>
      </c>
      <c r="J441" s="385">
        <v>50</v>
      </c>
      <c r="K441" s="114">
        <v>16.670000000000002</v>
      </c>
      <c r="L441" s="338" t="s">
        <v>482</v>
      </c>
    </row>
    <row r="442" spans="1:12" ht="15" customHeight="1">
      <c r="A442" s="134" t="s">
        <v>2300</v>
      </c>
      <c r="B442" s="134" t="s">
        <v>2301</v>
      </c>
      <c r="C442" s="92" t="s">
        <v>51</v>
      </c>
      <c r="D442" s="134" t="s">
        <v>2306</v>
      </c>
      <c r="E442" s="382" t="s">
        <v>2305</v>
      </c>
      <c r="F442" s="238" t="s">
        <v>635</v>
      </c>
      <c r="G442" s="99">
        <v>3</v>
      </c>
      <c r="H442" s="99">
        <v>3</v>
      </c>
      <c r="I442" s="99">
        <v>3</v>
      </c>
      <c r="J442" s="385">
        <v>50</v>
      </c>
      <c r="K442" s="114">
        <v>16.670000000000002</v>
      </c>
      <c r="L442" s="338" t="s">
        <v>482</v>
      </c>
    </row>
    <row r="443" spans="1:12" ht="15" customHeight="1">
      <c r="A443" s="134" t="s">
        <v>2307</v>
      </c>
      <c r="B443" s="134" t="s">
        <v>2308</v>
      </c>
      <c r="C443" s="92" t="s">
        <v>51</v>
      </c>
      <c r="D443" s="134" t="s">
        <v>2309</v>
      </c>
      <c r="E443" s="382" t="s">
        <v>2310</v>
      </c>
      <c r="F443" s="238" t="s">
        <v>1878</v>
      </c>
      <c r="G443" s="99">
        <v>1</v>
      </c>
      <c r="H443" s="99">
        <v>1</v>
      </c>
      <c r="I443" s="99">
        <v>2</v>
      </c>
      <c r="J443" s="385">
        <v>50</v>
      </c>
      <c r="K443" s="114">
        <v>50</v>
      </c>
      <c r="L443" s="338" t="s">
        <v>482</v>
      </c>
    </row>
    <row r="444" spans="1:12" ht="15" customHeight="1">
      <c r="A444" s="134" t="s">
        <v>2307</v>
      </c>
      <c r="B444" s="134" t="s">
        <v>2308</v>
      </c>
      <c r="C444" s="92" t="s">
        <v>51</v>
      </c>
      <c r="D444" s="134" t="s">
        <v>2311</v>
      </c>
      <c r="E444" s="382" t="s">
        <v>2310</v>
      </c>
      <c r="F444" s="238" t="s">
        <v>1878</v>
      </c>
      <c r="G444" s="99">
        <v>1</v>
      </c>
      <c r="H444" s="99">
        <v>1</v>
      </c>
      <c r="I444" s="99">
        <v>2</v>
      </c>
      <c r="J444" s="385">
        <v>50</v>
      </c>
      <c r="K444" s="114">
        <v>50</v>
      </c>
      <c r="L444" s="338" t="s">
        <v>482</v>
      </c>
    </row>
    <row r="445" spans="1:12" ht="15" customHeight="1">
      <c r="A445" s="134" t="s">
        <v>2307</v>
      </c>
      <c r="B445" s="134" t="s">
        <v>2308</v>
      </c>
      <c r="C445" s="92" t="s">
        <v>51</v>
      </c>
      <c r="D445" s="134" t="s">
        <v>2312</v>
      </c>
      <c r="E445" s="382" t="s">
        <v>2313</v>
      </c>
      <c r="F445" s="238" t="s">
        <v>635</v>
      </c>
      <c r="G445" s="99">
        <v>1</v>
      </c>
      <c r="H445" s="99">
        <v>1</v>
      </c>
      <c r="I445" s="99">
        <v>2</v>
      </c>
      <c r="J445" s="385">
        <v>50</v>
      </c>
      <c r="K445" s="114">
        <v>50</v>
      </c>
      <c r="L445" s="338" t="s">
        <v>482</v>
      </c>
    </row>
    <row r="446" spans="1:12" ht="15" customHeight="1">
      <c r="A446" s="134" t="s">
        <v>2307</v>
      </c>
      <c r="B446" s="134" t="s">
        <v>2308</v>
      </c>
      <c r="C446" s="92" t="s">
        <v>51</v>
      </c>
      <c r="D446" s="134" t="s">
        <v>2314</v>
      </c>
      <c r="E446" s="382" t="s">
        <v>2313</v>
      </c>
      <c r="F446" s="238" t="s">
        <v>635</v>
      </c>
      <c r="G446" s="99">
        <v>1</v>
      </c>
      <c r="H446" s="99">
        <v>1</v>
      </c>
      <c r="I446" s="99">
        <v>2</v>
      </c>
      <c r="J446" s="385">
        <v>50</v>
      </c>
      <c r="K446" s="114">
        <v>50</v>
      </c>
      <c r="L446" s="338" t="s">
        <v>482</v>
      </c>
    </row>
    <row r="447" spans="1:12" ht="15" customHeight="1">
      <c r="A447" s="134" t="s">
        <v>2307</v>
      </c>
      <c r="B447" s="134" t="s">
        <v>2308</v>
      </c>
      <c r="C447" s="92" t="s">
        <v>51</v>
      </c>
      <c r="D447" s="134" t="s">
        <v>2315</v>
      </c>
      <c r="E447" s="382" t="s">
        <v>2313</v>
      </c>
      <c r="F447" s="238" t="s">
        <v>635</v>
      </c>
      <c r="G447" s="99">
        <v>1</v>
      </c>
      <c r="H447" s="99">
        <v>1</v>
      </c>
      <c r="I447" s="99">
        <v>2</v>
      </c>
      <c r="J447" s="385">
        <v>50</v>
      </c>
      <c r="K447" s="114">
        <v>50</v>
      </c>
      <c r="L447" s="338" t="s">
        <v>482</v>
      </c>
    </row>
    <row r="448" spans="1:12" ht="15" customHeight="1">
      <c r="A448" s="134" t="s">
        <v>2316</v>
      </c>
      <c r="B448" s="134" t="s">
        <v>2317</v>
      </c>
      <c r="C448" s="92" t="s">
        <v>51</v>
      </c>
      <c r="D448" s="134" t="s">
        <v>2318</v>
      </c>
      <c r="E448" s="382" t="s">
        <v>2319</v>
      </c>
      <c r="F448" s="238" t="s">
        <v>635</v>
      </c>
      <c r="G448" s="99">
        <v>1</v>
      </c>
      <c r="H448" s="99">
        <v>1</v>
      </c>
      <c r="I448" s="99">
        <v>4</v>
      </c>
      <c r="J448" s="385">
        <v>50</v>
      </c>
      <c r="K448" s="114">
        <v>50</v>
      </c>
      <c r="L448" s="338" t="s">
        <v>482</v>
      </c>
    </row>
    <row r="449" spans="1:12" ht="15" customHeight="1">
      <c r="A449" s="134" t="s">
        <v>2316</v>
      </c>
      <c r="B449" s="134" t="s">
        <v>2317</v>
      </c>
      <c r="C449" s="92" t="s">
        <v>51</v>
      </c>
      <c r="D449" s="134" t="s">
        <v>2320</v>
      </c>
      <c r="E449" s="382" t="s">
        <v>2319</v>
      </c>
      <c r="F449" s="238" t="s">
        <v>635</v>
      </c>
      <c r="G449" s="99">
        <v>1</v>
      </c>
      <c r="H449" s="99">
        <v>1</v>
      </c>
      <c r="I449" s="99">
        <v>4</v>
      </c>
      <c r="J449" s="385">
        <v>50</v>
      </c>
      <c r="K449" s="114">
        <v>50</v>
      </c>
      <c r="L449" s="338" t="s">
        <v>482</v>
      </c>
    </row>
    <row r="450" spans="1:12" ht="15" customHeight="1">
      <c r="A450" s="134" t="s">
        <v>2316</v>
      </c>
      <c r="B450" s="134" t="s">
        <v>2317</v>
      </c>
      <c r="C450" s="92" t="s">
        <v>51</v>
      </c>
      <c r="D450" s="134" t="s">
        <v>2321</v>
      </c>
      <c r="E450" s="382" t="s">
        <v>2319</v>
      </c>
      <c r="F450" s="238" t="s">
        <v>635</v>
      </c>
      <c r="G450" s="99">
        <v>1</v>
      </c>
      <c r="H450" s="99">
        <v>1</v>
      </c>
      <c r="I450" s="99">
        <v>4</v>
      </c>
      <c r="J450" s="385">
        <v>50</v>
      </c>
      <c r="K450" s="114">
        <v>50</v>
      </c>
      <c r="L450" s="338" t="s">
        <v>482</v>
      </c>
    </row>
    <row r="451" spans="1:12" ht="15" customHeight="1">
      <c r="A451" s="134" t="s">
        <v>2322</v>
      </c>
      <c r="B451" s="134" t="s">
        <v>2323</v>
      </c>
      <c r="C451" s="92" t="s">
        <v>51</v>
      </c>
      <c r="D451" s="134" t="s">
        <v>2324</v>
      </c>
      <c r="E451" s="382" t="s">
        <v>2325</v>
      </c>
      <c r="F451" s="238" t="s">
        <v>635</v>
      </c>
      <c r="G451" s="99">
        <v>3</v>
      </c>
      <c r="H451" s="99">
        <v>3</v>
      </c>
      <c r="I451" s="99">
        <v>3</v>
      </c>
      <c r="J451" s="385">
        <v>50</v>
      </c>
      <c r="K451" s="114">
        <v>16.670000000000002</v>
      </c>
      <c r="L451" s="338" t="s">
        <v>482</v>
      </c>
    </row>
    <row r="452" spans="1:12" ht="15" customHeight="1">
      <c r="A452" s="134" t="s">
        <v>2326</v>
      </c>
      <c r="B452" s="134" t="s">
        <v>2327</v>
      </c>
      <c r="C452" s="92" t="s">
        <v>51</v>
      </c>
      <c r="D452" s="134" t="s">
        <v>2328</v>
      </c>
      <c r="E452" s="382" t="s">
        <v>2329</v>
      </c>
      <c r="F452" s="238" t="s">
        <v>1878</v>
      </c>
      <c r="G452" s="99">
        <v>2</v>
      </c>
      <c r="H452" s="99">
        <v>2</v>
      </c>
      <c r="I452" s="99">
        <v>2</v>
      </c>
      <c r="J452" s="385">
        <v>50</v>
      </c>
      <c r="K452" s="114">
        <v>25</v>
      </c>
      <c r="L452" s="338" t="s">
        <v>482</v>
      </c>
    </row>
    <row r="453" spans="1:12" ht="15" customHeight="1">
      <c r="A453" s="134" t="s">
        <v>2330</v>
      </c>
      <c r="B453" s="134" t="s">
        <v>2331</v>
      </c>
      <c r="C453" s="92" t="s">
        <v>51</v>
      </c>
      <c r="D453" s="134" t="s">
        <v>2332</v>
      </c>
      <c r="E453" s="382" t="s">
        <v>2333</v>
      </c>
      <c r="F453" s="238" t="s">
        <v>1878</v>
      </c>
      <c r="G453" s="99">
        <v>2</v>
      </c>
      <c r="H453" s="99">
        <v>2</v>
      </c>
      <c r="I453" s="99">
        <v>2</v>
      </c>
      <c r="J453" s="385">
        <v>50</v>
      </c>
      <c r="K453" s="114">
        <v>25</v>
      </c>
      <c r="L453" s="338" t="s">
        <v>482</v>
      </c>
    </row>
    <row r="454" spans="1:12" ht="15" customHeight="1">
      <c r="A454" s="134" t="s">
        <v>2334</v>
      </c>
      <c r="B454" s="134" t="s">
        <v>2335</v>
      </c>
      <c r="C454" s="92" t="s">
        <v>51</v>
      </c>
      <c r="D454" s="134" t="s">
        <v>2336</v>
      </c>
      <c r="E454" s="382" t="s">
        <v>2337</v>
      </c>
      <c r="F454" s="238" t="s">
        <v>1878</v>
      </c>
      <c r="G454" s="99">
        <v>2</v>
      </c>
      <c r="H454" s="99">
        <v>2</v>
      </c>
      <c r="I454" s="99">
        <v>3</v>
      </c>
      <c r="J454" s="385">
        <v>50</v>
      </c>
      <c r="K454" s="114">
        <v>25</v>
      </c>
      <c r="L454" s="338" t="s">
        <v>482</v>
      </c>
    </row>
    <row r="455" spans="1:12" ht="15" customHeight="1">
      <c r="A455" s="134" t="s">
        <v>2330</v>
      </c>
      <c r="B455" s="134" t="s">
        <v>2338</v>
      </c>
      <c r="C455" s="92" t="s">
        <v>51</v>
      </c>
      <c r="D455" s="134" t="s">
        <v>2339</v>
      </c>
      <c r="E455" s="382" t="s">
        <v>2340</v>
      </c>
      <c r="F455" s="238" t="s">
        <v>1878</v>
      </c>
      <c r="G455" s="99">
        <v>2</v>
      </c>
      <c r="H455" s="99">
        <v>2</v>
      </c>
      <c r="I455" s="99">
        <v>2</v>
      </c>
      <c r="J455" s="385">
        <v>50</v>
      </c>
      <c r="K455" s="114">
        <v>25</v>
      </c>
      <c r="L455" s="338" t="s">
        <v>482</v>
      </c>
    </row>
    <row r="456" spans="1:12" ht="15" customHeight="1">
      <c r="A456" s="134" t="s">
        <v>2330</v>
      </c>
      <c r="B456" s="134" t="s">
        <v>2338</v>
      </c>
      <c r="C456" s="92" t="s">
        <v>51</v>
      </c>
      <c r="D456" s="134" t="s">
        <v>2341</v>
      </c>
      <c r="E456" s="382" t="s">
        <v>2342</v>
      </c>
      <c r="F456" s="238" t="s">
        <v>2343</v>
      </c>
      <c r="G456" s="99">
        <v>2</v>
      </c>
      <c r="H456" s="99">
        <v>2</v>
      </c>
      <c r="I456" s="99">
        <v>2</v>
      </c>
      <c r="J456" s="385">
        <v>50</v>
      </c>
      <c r="K456" s="114">
        <v>25</v>
      </c>
      <c r="L456" s="338" t="s">
        <v>482</v>
      </c>
    </row>
    <row r="457" spans="1:12" ht="15" customHeight="1">
      <c r="A457" s="134" t="s">
        <v>2344</v>
      </c>
      <c r="B457" s="134" t="s">
        <v>2345</v>
      </c>
      <c r="C457" s="92" t="s">
        <v>51</v>
      </c>
      <c r="D457" s="134" t="s">
        <v>2346</v>
      </c>
      <c r="E457" s="382" t="s">
        <v>2347</v>
      </c>
      <c r="F457" s="238" t="s">
        <v>2348</v>
      </c>
      <c r="G457" s="99">
        <v>3</v>
      </c>
      <c r="H457" s="99">
        <v>3</v>
      </c>
      <c r="I457" s="99">
        <v>3</v>
      </c>
      <c r="J457" s="385">
        <v>50</v>
      </c>
      <c r="K457" s="114">
        <v>16.670000000000002</v>
      </c>
      <c r="L457" s="338" t="s">
        <v>482</v>
      </c>
    </row>
    <row r="458" spans="1:12" ht="15" customHeight="1">
      <c r="A458" s="399" t="s">
        <v>2349</v>
      </c>
      <c r="B458" s="399" t="s">
        <v>2350</v>
      </c>
      <c r="C458" s="92" t="s">
        <v>51</v>
      </c>
      <c r="D458" s="399" t="s">
        <v>2351</v>
      </c>
      <c r="E458" s="439" t="s">
        <v>2352</v>
      </c>
      <c r="F458" s="440" t="s">
        <v>1868</v>
      </c>
      <c r="G458" s="139">
        <v>2</v>
      </c>
      <c r="H458" s="139">
        <v>2</v>
      </c>
      <c r="I458" s="139">
        <v>2</v>
      </c>
      <c r="J458" s="441">
        <v>50</v>
      </c>
      <c r="K458" s="442">
        <v>25</v>
      </c>
      <c r="L458" s="338" t="s">
        <v>482</v>
      </c>
    </row>
    <row r="459" spans="1:12" ht="15" customHeight="1">
      <c r="A459" s="134" t="s">
        <v>2353</v>
      </c>
      <c r="B459" s="91" t="s">
        <v>2354</v>
      </c>
      <c r="C459" s="133" t="s">
        <v>51</v>
      </c>
      <c r="D459" s="134" t="s">
        <v>2355</v>
      </c>
      <c r="E459" s="378" t="s">
        <v>2356</v>
      </c>
      <c r="F459" s="134" t="s">
        <v>2357</v>
      </c>
      <c r="G459" s="379">
        <v>4</v>
      </c>
      <c r="H459" s="379">
        <v>4</v>
      </c>
      <c r="I459" s="379">
        <v>4</v>
      </c>
      <c r="J459" s="272">
        <v>50</v>
      </c>
      <c r="K459" s="381">
        <v>12.5</v>
      </c>
      <c r="L459" s="338" t="s">
        <v>2358</v>
      </c>
    </row>
    <row r="460" spans="1:12" ht="15" customHeight="1">
      <c r="A460" s="134" t="s">
        <v>2359</v>
      </c>
      <c r="B460" s="99" t="s">
        <v>2360</v>
      </c>
      <c r="C460" s="92" t="s">
        <v>51</v>
      </c>
      <c r="D460" s="133" t="s">
        <v>2361</v>
      </c>
      <c r="E460" s="99" t="s">
        <v>2362</v>
      </c>
      <c r="F460" s="238" t="s">
        <v>230</v>
      </c>
      <c r="G460" s="94">
        <v>3</v>
      </c>
      <c r="H460" s="94">
        <v>3</v>
      </c>
      <c r="I460" s="94">
        <v>3</v>
      </c>
      <c r="J460" s="385">
        <v>50</v>
      </c>
      <c r="K460" s="114">
        <v>16.66</v>
      </c>
      <c r="L460" s="338" t="s">
        <v>2358</v>
      </c>
    </row>
    <row r="461" spans="1:12" ht="15" customHeight="1">
      <c r="A461" s="134" t="s">
        <v>2363</v>
      </c>
      <c r="B461" s="91" t="s">
        <v>2364</v>
      </c>
      <c r="C461" s="92" t="s">
        <v>51</v>
      </c>
      <c r="D461" s="134" t="s">
        <v>2365</v>
      </c>
      <c r="E461" s="382" t="s">
        <v>2366</v>
      </c>
      <c r="F461" s="238" t="s">
        <v>230</v>
      </c>
      <c r="G461" s="99">
        <v>3</v>
      </c>
      <c r="H461" s="99">
        <v>3</v>
      </c>
      <c r="I461" s="99">
        <v>3</v>
      </c>
      <c r="J461" s="385">
        <v>50</v>
      </c>
      <c r="K461" s="114">
        <v>16.66</v>
      </c>
      <c r="L461" s="338" t="s">
        <v>2358</v>
      </c>
    </row>
    <row r="462" spans="1:12" ht="15" customHeight="1">
      <c r="A462" s="443" t="s">
        <v>2367</v>
      </c>
      <c r="B462" s="444" t="s">
        <v>2368</v>
      </c>
      <c r="C462" s="445" t="s">
        <v>51</v>
      </c>
      <c r="D462" s="446" t="s">
        <v>2369</v>
      </c>
      <c r="E462" s="365" t="s">
        <v>2370</v>
      </c>
      <c r="F462" s="162" t="s">
        <v>2371</v>
      </c>
      <c r="G462" s="162">
        <v>1</v>
      </c>
      <c r="H462" s="162">
        <v>1</v>
      </c>
      <c r="I462" s="162">
        <v>3</v>
      </c>
      <c r="J462" s="447">
        <v>50</v>
      </c>
      <c r="K462" s="162">
        <v>50</v>
      </c>
      <c r="L462" s="338" t="s">
        <v>2372</v>
      </c>
    </row>
    <row r="463" spans="1:12" ht="15" customHeight="1">
      <c r="A463" s="443" t="s">
        <v>2373</v>
      </c>
      <c r="B463" s="448" t="s">
        <v>2368</v>
      </c>
      <c r="C463" s="449" t="s">
        <v>51</v>
      </c>
      <c r="D463" s="443" t="s">
        <v>2374</v>
      </c>
      <c r="E463" s="450" t="s">
        <v>2375</v>
      </c>
      <c r="F463" s="162" t="s">
        <v>230</v>
      </c>
      <c r="G463" s="162">
        <v>1</v>
      </c>
      <c r="H463" s="162">
        <v>1</v>
      </c>
      <c r="I463" s="162">
        <v>3</v>
      </c>
      <c r="J463" s="447">
        <v>50</v>
      </c>
      <c r="K463" s="162">
        <v>50</v>
      </c>
      <c r="L463" s="338" t="s">
        <v>2372</v>
      </c>
    </row>
    <row r="464" spans="1:12" ht="15" customHeight="1">
      <c r="A464" s="451" t="s">
        <v>2376</v>
      </c>
      <c r="B464" s="452" t="s">
        <v>2377</v>
      </c>
      <c r="C464" s="92"/>
      <c r="D464" s="453" t="s">
        <v>2378</v>
      </c>
      <c r="E464" s="365" t="s">
        <v>2379</v>
      </c>
      <c r="F464" s="454" t="s">
        <v>1338</v>
      </c>
      <c r="G464" s="162">
        <v>1</v>
      </c>
      <c r="H464" s="162">
        <v>1</v>
      </c>
      <c r="I464" s="162">
        <v>2</v>
      </c>
      <c r="J464" s="455">
        <v>50</v>
      </c>
      <c r="K464" s="456">
        <v>50</v>
      </c>
      <c r="L464" s="338" t="s">
        <v>2372</v>
      </c>
    </row>
    <row r="465" spans="1:12" ht="15" customHeight="1">
      <c r="A465" s="451" t="s">
        <v>2380</v>
      </c>
      <c r="B465" s="448" t="s">
        <v>2377</v>
      </c>
      <c r="C465" s="449" t="s">
        <v>51</v>
      </c>
      <c r="D465" s="443" t="s">
        <v>2381</v>
      </c>
      <c r="E465" s="365" t="s">
        <v>2382</v>
      </c>
      <c r="F465" s="454" t="s">
        <v>1338</v>
      </c>
      <c r="G465" s="162">
        <v>1</v>
      </c>
      <c r="H465" s="162">
        <v>1</v>
      </c>
      <c r="I465" s="162">
        <v>2</v>
      </c>
      <c r="J465" s="455">
        <v>50</v>
      </c>
      <c r="K465" s="456">
        <v>50</v>
      </c>
      <c r="L465" s="338" t="s">
        <v>2372</v>
      </c>
    </row>
    <row r="466" spans="1:12" ht="15" customHeight="1">
      <c r="A466" s="162" t="s">
        <v>2383</v>
      </c>
      <c r="B466" s="457" t="s">
        <v>2384</v>
      </c>
      <c r="C466" s="449" t="s">
        <v>51</v>
      </c>
      <c r="D466" s="162" t="s">
        <v>2385</v>
      </c>
      <c r="E466" s="365" t="s">
        <v>2386</v>
      </c>
      <c r="F466" s="454" t="s">
        <v>1338</v>
      </c>
      <c r="G466" s="162">
        <v>1</v>
      </c>
      <c r="H466" s="162">
        <v>1</v>
      </c>
      <c r="I466" s="162">
        <v>2</v>
      </c>
      <c r="J466" s="455">
        <v>20</v>
      </c>
      <c r="K466" s="456">
        <v>50</v>
      </c>
      <c r="L466" s="338" t="s">
        <v>2372</v>
      </c>
    </row>
    <row r="467" spans="1:12" ht="15" customHeight="1">
      <c r="A467" s="458" t="s">
        <v>2387</v>
      </c>
      <c r="B467" s="459" t="s">
        <v>2388</v>
      </c>
      <c r="C467" s="460" t="s">
        <v>51</v>
      </c>
      <c r="D467" s="459" t="s">
        <v>2389</v>
      </c>
      <c r="E467" s="158" t="s">
        <v>2390</v>
      </c>
      <c r="F467" s="162" t="s">
        <v>2391</v>
      </c>
      <c r="G467" s="461">
        <v>2</v>
      </c>
      <c r="H467" s="461">
        <v>2</v>
      </c>
      <c r="I467" s="461">
        <v>2</v>
      </c>
      <c r="J467" s="462">
        <v>50</v>
      </c>
      <c r="K467" s="162">
        <f t="shared" ref="K467:K468" si="10">J467/2</f>
        <v>25</v>
      </c>
      <c r="L467" s="338" t="s">
        <v>2392</v>
      </c>
    </row>
    <row r="468" spans="1:12" ht="15" customHeight="1">
      <c r="A468" s="458" t="s">
        <v>2393</v>
      </c>
      <c r="B468" s="463" t="s">
        <v>2394</v>
      </c>
      <c r="C468" s="460" t="s">
        <v>51</v>
      </c>
      <c r="D468" s="464" t="s">
        <v>2395</v>
      </c>
      <c r="E468" s="382" t="s">
        <v>2396</v>
      </c>
      <c r="F468" s="454" t="s">
        <v>2397</v>
      </c>
      <c r="G468" s="461">
        <v>2</v>
      </c>
      <c r="H468" s="461">
        <v>2</v>
      </c>
      <c r="I468" s="461">
        <v>2</v>
      </c>
      <c r="J468" s="462">
        <v>50</v>
      </c>
      <c r="K468" s="162">
        <f t="shared" si="10"/>
        <v>25</v>
      </c>
      <c r="L468" s="338" t="s">
        <v>2392</v>
      </c>
    </row>
    <row r="469" spans="1:12" ht="15" customHeight="1">
      <c r="A469" s="134" t="s">
        <v>1310</v>
      </c>
      <c r="B469" s="91" t="s">
        <v>1311</v>
      </c>
      <c r="C469" s="133" t="s">
        <v>51</v>
      </c>
      <c r="D469" s="134" t="s">
        <v>1312</v>
      </c>
      <c r="E469" s="378" t="s">
        <v>1313</v>
      </c>
      <c r="F469" s="380" t="s">
        <v>2398</v>
      </c>
      <c r="G469" s="379">
        <v>2</v>
      </c>
      <c r="H469" s="379">
        <v>2</v>
      </c>
      <c r="I469" s="379">
        <v>4</v>
      </c>
      <c r="J469" s="119">
        <v>50</v>
      </c>
      <c r="K469" s="381">
        <v>25</v>
      </c>
      <c r="L469" s="338" t="s">
        <v>2399</v>
      </c>
    </row>
    <row r="470" spans="1:12" ht="15" customHeight="1">
      <c r="A470" s="134" t="s">
        <v>1310</v>
      </c>
      <c r="B470" s="256" t="s">
        <v>1311</v>
      </c>
      <c r="C470" s="133" t="s">
        <v>51</v>
      </c>
      <c r="D470" s="134" t="s">
        <v>1316</v>
      </c>
      <c r="E470" s="382" t="s">
        <v>1317</v>
      </c>
      <c r="F470" s="99" t="s">
        <v>2400</v>
      </c>
      <c r="G470" s="379">
        <v>2</v>
      </c>
      <c r="H470" s="379">
        <v>2</v>
      </c>
      <c r="I470" s="379">
        <v>4</v>
      </c>
      <c r="J470" s="383">
        <v>50</v>
      </c>
      <c r="K470" s="381">
        <v>25</v>
      </c>
      <c r="L470" s="338" t="s">
        <v>2399</v>
      </c>
    </row>
    <row r="471" spans="1:12" ht="15" customHeight="1">
      <c r="A471" s="134" t="s">
        <v>1310</v>
      </c>
      <c r="B471" s="91" t="s">
        <v>1311</v>
      </c>
      <c r="C471" s="133" t="s">
        <v>51</v>
      </c>
      <c r="D471" s="134" t="s">
        <v>1319</v>
      </c>
      <c r="E471" s="382" t="s">
        <v>1320</v>
      </c>
      <c r="F471" s="380" t="s">
        <v>2401</v>
      </c>
      <c r="G471" s="379">
        <v>2</v>
      </c>
      <c r="H471" s="379">
        <v>2</v>
      </c>
      <c r="I471" s="379">
        <v>4</v>
      </c>
      <c r="J471" s="383">
        <v>50</v>
      </c>
      <c r="K471" s="381">
        <v>25</v>
      </c>
      <c r="L471" s="338" t="s">
        <v>2399</v>
      </c>
    </row>
    <row r="472" spans="1:12" ht="15" customHeight="1">
      <c r="A472" s="134" t="s">
        <v>2402</v>
      </c>
      <c r="B472" s="91" t="s">
        <v>2403</v>
      </c>
      <c r="C472" s="133" t="s">
        <v>51</v>
      </c>
      <c r="D472" s="134" t="s">
        <v>2404</v>
      </c>
      <c r="E472" s="378" t="s">
        <v>2016</v>
      </c>
      <c r="F472" s="134" t="s">
        <v>2405</v>
      </c>
      <c r="G472" s="379">
        <v>3</v>
      </c>
      <c r="H472" s="379">
        <v>3</v>
      </c>
      <c r="I472" s="379">
        <v>4</v>
      </c>
      <c r="J472" s="272">
        <v>50</v>
      </c>
      <c r="K472" s="381">
        <f t="shared" ref="K472:K480" si="11">J472/G472</f>
        <v>16.666666666666668</v>
      </c>
      <c r="L472" s="338" t="s">
        <v>488</v>
      </c>
    </row>
    <row r="473" spans="1:12" ht="15" customHeight="1">
      <c r="A473" s="134" t="s">
        <v>2402</v>
      </c>
      <c r="B473" s="91" t="s">
        <v>2403</v>
      </c>
      <c r="C473" s="133" t="s">
        <v>51</v>
      </c>
      <c r="D473" s="134" t="s">
        <v>2406</v>
      </c>
      <c r="E473" s="382" t="s">
        <v>2028</v>
      </c>
      <c r="F473" s="134" t="s">
        <v>2405</v>
      </c>
      <c r="G473" s="379">
        <v>3</v>
      </c>
      <c r="H473" s="379">
        <v>3</v>
      </c>
      <c r="I473" s="379">
        <v>4</v>
      </c>
      <c r="J473" s="385">
        <v>50</v>
      </c>
      <c r="K473" s="381">
        <f t="shared" si="11"/>
        <v>16.666666666666668</v>
      </c>
      <c r="L473" s="338" t="s">
        <v>488</v>
      </c>
    </row>
    <row r="474" spans="1:12" ht="15" customHeight="1">
      <c r="A474" s="134" t="s">
        <v>2402</v>
      </c>
      <c r="B474" s="91" t="s">
        <v>2403</v>
      </c>
      <c r="C474" s="133" t="s">
        <v>51</v>
      </c>
      <c r="D474" s="134" t="s">
        <v>2407</v>
      </c>
      <c r="E474" s="382" t="s">
        <v>2408</v>
      </c>
      <c r="F474" s="134" t="s">
        <v>635</v>
      </c>
      <c r="G474" s="379">
        <v>3</v>
      </c>
      <c r="H474" s="379">
        <v>3</v>
      </c>
      <c r="I474" s="379">
        <v>4</v>
      </c>
      <c r="J474" s="385">
        <v>50</v>
      </c>
      <c r="K474" s="381">
        <f t="shared" si="11"/>
        <v>16.666666666666668</v>
      </c>
      <c r="L474" s="338" t="s">
        <v>488</v>
      </c>
    </row>
    <row r="475" spans="1:12" ht="15" customHeight="1">
      <c r="A475" s="134" t="s">
        <v>2402</v>
      </c>
      <c r="B475" s="91" t="s">
        <v>2403</v>
      </c>
      <c r="C475" s="133" t="s">
        <v>51</v>
      </c>
      <c r="D475" s="134" t="s">
        <v>2409</v>
      </c>
      <c r="E475" s="382" t="s">
        <v>2089</v>
      </c>
      <c r="F475" s="134" t="s">
        <v>635</v>
      </c>
      <c r="G475" s="379">
        <v>3</v>
      </c>
      <c r="H475" s="379">
        <v>3</v>
      </c>
      <c r="I475" s="379">
        <v>4</v>
      </c>
      <c r="J475" s="385">
        <v>50</v>
      </c>
      <c r="K475" s="381">
        <f t="shared" si="11"/>
        <v>16.666666666666668</v>
      </c>
      <c r="L475" s="338" t="s">
        <v>488</v>
      </c>
    </row>
    <row r="476" spans="1:12" ht="15" customHeight="1">
      <c r="A476" s="134" t="s">
        <v>2410</v>
      </c>
      <c r="B476" s="134" t="s">
        <v>2411</v>
      </c>
      <c r="C476" s="99" t="s">
        <v>51</v>
      </c>
      <c r="D476" s="134" t="s">
        <v>2412</v>
      </c>
      <c r="E476" s="382" t="s">
        <v>2413</v>
      </c>
      <c r="F476" s="134" t="s">
        <v>2405</v>
      </c>
      <c r="G476" s="99">
        <v>5</v>
      </c>
      <c r="H476" s="99">
        <v>5</v>
      </c>
      <c r="I476" s="99">
        <v>5</v>
      </c>
      <c r="J476" s="385">
        <v>50</v>
      </c>
      <c r="K476" s="381">
        <f t="shared" si="11"/>
        <v>10</v>
      </c>
      <c r="L476" s="338" t="s">
        <v>488</v>
      </c>
    </row>
    <row r="477" spans="1:12" ht="15" customHeight="1">
      <c r="A477" s="134" t="s">
        <v>2414</v>
      </c>
      <c r="B477" s="134" t="s">
        <v>2415</v>
      </c>
      <c r="C477" s="99" t="s">
        <v>51</v>
      </c>
      <c r="D477" s="134" t="s">
        <v>2416</v>
      </c>
      <c r="E477" s="382" t="s">
        <v>2417</v>
      </c>
      <c r="F477" s="135" t="s">
        <v>2405</v>
      </c>
      <c r="G477" s="99">
        <v>7</v>
      </c>
      <c r="H477" s="99">
        <v>7</v>
      </c>
      <c r="I477" s="99">
        <v>8</v>
      </c>
      <c r="J477" s="385">
        <v>50</v>
      </c>
      <c r="K477" s="381">
        <f t="shared" si="11"/>
        <v>7.1428571428571432</v>
      </c>
      <c r="L477" s="338" t="s">
        <v>488</v>
      </c>
    </row>
    <row r="478" spans="1:12" ht="15" customHeight="1">
      <c r="A478" s="134" t="s">
        <v>2418</v>
      </c>
      <c r="B478" s="134" t="s">
        <v>2419</v>
      </c>
      <c r="C478" s="99" t="s">
        <v>51</v>
      </c>
      <c r="D478" s="134" t="s">
        <v>2420</v>
      </c>
      <c r="E478" s="382" t="s">
        <v>2421</v>
      </c>
      <c r="F478" s="135" t="s">
        <v>2405</v>
      </c>
      <c r="G478" s="99">
        <v>2</v>
      </c>
      <c r="H478" s="99">
        <v>2</v>
      </c>
      <c r="I478" s="99">
        <v>2</v>
      </c>
      <c r="J478" s="385">
        <v>50</v>
      </c>
      <c r="K478" s="381">
        <f t="shared" si="11"/>
        <v>25</v>
      </c>
      <c r="L478" s="338" t="s">
        <v>488</v>
      </c>
    </row>
    <row r="479" spans="1:12" ht="15" customHeight="1">
      <c r="A479" s="134" t="s">
        <v>2418</v>
      </c>
      <c r="B479" s="134" t="s">
        <v>2419</v>
      </c>
      <c r="C479" s="99" t="s">
        <v>51</v>
      </c>
      <c r="D479" s="134" t="s">
        <v>2422</v>
      </c>
      <c r="E479" s="382" t="s">
        <v>2423</v>
      </c>
      <c r="F479" s="135" t="s">
        <v>2405</v>
      </c>
      <c r="G479" s="99">
        <v>2</v>
      </c>
      <c r="H479" s="99">
        <v>2</v>
      </c>
      <c r="I479" s="99">
        <v>2</v>
      </c>
      <c r="J479" s="385">
        <v>50</v>
      </c>
      <c r="K479" s="381">
        <f t="shared" si="11"/>
        <v>25</v>
      </c>
      <c r="L479" s="338" t="s">
        <v>488</v>
      </c>
    </row>
    <row r="480" spans="1:12" ht="15" customHeight="1">
      <c r="A480" s="134" t="s">
        <v>2424</v>
      </c>
      <c r="B480" s="134" t="s">
        <v>2425</v>
      </c>
      <c r="C480" s="99" t="s">
        <v>51</v>
      </c>
      <c r="D480" s="134" t="s">
        <v>2426</v>
      </c>
      <c r="E480" s="382" t="s">
        <v>2427</v>
      </c>
      <c r="F480" s="238" t="s">
        <v>1338</v>
      </c>
      <c r="G480" s="99">
        <v>6</v>
      </c>
      <c r="H480" s="99">
        <v>6</v>
      </c>
      <c r="I480" s="99">
        <v>6</v>
      </c>
      <c r="J480" s="385">
        <v>50</v>
      </c>
      <c r="K480" s="381">
        <f t="shared" si="11"/>
        <v>8.3333333333333339</v>
      </c>
      <c r="L480" s="338" t="s">
        <v>488</v>
      </c>
    </row>
    <row r="481" spans="1:12" ht="15" customHeight="1">
      <c r="A481" s="134" t="s">
        <v>2428</v>
      </c>
      <c r="B481" s="91" t="s">
        <v>2429</v>
      </c>
      <c r="C481" s="133" t="s">
        <v>51</v>
      </c>
      <c r="D481" s="134" t="s">
        <v>2430</v>
      </c>
      <c r="E481" s="378" t="s">
        <v>2431</v>
      </c>
      <c r="F481" s="134" t="s">
        <v>635</v>
      </c>
      <c r="G481" s="379">
        <v>1</v>
      </c>
      <c r="H481" s="379">
        <v>1</v>
      </c>
      <c r="I481" s="379">
        <v>4</v>
      </c>
      <c r="J481" s="272">
        <v>50</v>
      </c>
      <c r="K481" s="134">
        <v>50</v>
      </c>
      <c r="L481" s="338" t="s">
        <v>510</v>
      </c>
    </row>
    <row r="482" spans="1:12" ht="15" customHeight="1">
      <c r="A482" s="134" t="s">
        <v>2428</v>
      </c>
      <c r="B482" s="91" t="s">
        <v>2429</v>
      </c>
      <c r="C482" s="133" t="s">
        <v>105</v>
      </c>
      <c r="D482" s="134" t="s">
        <v>2432</v>
      </c>
      <c r="E482" s="382" t="s">
        <v>2433</v>
      </c>
      <c r="F482" s="134" t="s">
        <v>635</v>
      </c>
      <c r="G482" s="379">
        <v>1</v>
      </c>
      <c r="H482" s="379">
        <v>1</v>
      </c>
      <c r="I482" s="379">
        <v>4</v>
      </c>
      <c r="J482" s="272">
        <v>50</v>
      </c>
      <c r="K482" s="134">
        <v>50</v>
      </c>
      <c r="L482" s="338" t="s">
        <v>510</v>
      </c>
    </row>
    <row r="483" spans="1:12" ht="15" customHeight="1">
      <c r="A483" s="134" t="s">
        <v>2434</v>
      </c>
      <c r="B483" s="91" t="s">
        <v>2435</v>
      </c>
      <c r="C483" s="133" t="s">
        <v>968</v>
      </c>
      <c r="D483" s="134" t="s">
        <v>2436</v>
      </c>
      <c r="E483" s="382" t="s">
        <v>2437</v>
      </c>
      <c r="F483" s="134" t="s">
        <v>635</v>
      </c>
      <c r="G483" s="99">
        <v>1</v>
      </c>
      <c r="H483" s="99">
        <v>1</v>
      </c>
      <c r="I483" s="99">
        <v>3</v>
      </c>
      <c r="J483" s="385">
        <v>50</v>
      </c>
      <c r="K483" s="114">
        <v>50</v>
      </c>
      <c r="L483" s="338" t="s">
        <v>510</v>
      </c>
    </row>
    <row r="484" spans="1:12" ht="15" customHeight="1">
      <c r="A484" s="134" t="s">
        <v>1327</v>
      </c>
      <c r="B484" s="134" t="s">
        <v>1328</v>
      </c>
      <c r="C484" s="133" t="s">
        <v>2438</v>
      </c>
      <c r="D484" s="134" t="s">
        <v>1329</v>
      </c>
      <c r="E484" s="382" t="s">
        <v>1330</v>
      </c>
      <c r="F484" s="134" t="s">
        <v>635</v>
      </c>
      <c r="G484" s="99">
        <v>3</v>
      </c>
      <c r="H484" s="99">
        <v>3</v>
      </c>
      <c r="I484" s="99">
        <v>4</v>
      </c>
      <c r="J484" s="385">
        <v>50</v>
      </c>
      <c r="K484" s="114">
        <f t="shared" ref="K484:K494" si="12">J484/H484</f>
        <v>16.666666666666668</v>
      </c>
      <c r="L484" s="338" t="s">
        <v>510</v>
      </c>
    </row>
    <row r="485" spans="1:12" ht="15" customHeight="1">
      <c r="A485" s="134" t="s">
        <v>2439</v>
      </c>
      <c r="B485" s="134" t="s">
        <v>2440</v>
      </c>
      <c r="C485" s="133" t="s">
        <v>2441</v>
      </c>
      <c r="D485" s="134" t="s">
        <v>2442</v>
      </c>
      <c r="E485" s="382" t="s">
        <v>2443</v>
      </c>
      <c r="F485" s="134" t="s">
        <v>635</v>
      </c>
      <c r="G485" s="99">
        <v>1</v>
      </c>
      <c r="H485" s="99">
        <v>1</v>
      </c>
      <c r="I485" s="99">
        <v>2</v>
      </c>
      <c r="J485" s="385">
        <v>50</v>
      </c>
      <c r="K485" s="114">
        <f t="shared" si="12"/>
        <v>50</v>
      </c>
      <c r="L485" s="338" t="s">
        <v>510</v>
      </c>
    </row>
    <row r="486" spans="1:12" ht="15" customHeight="1">
      <c r="A486" s="134" t="s">
        <v>2428</v>
      </c>
      <c r="B486" s="91" t="s">
        <v>2429</v>
      </c>
      <c r="C486" s="133" t="s">
        <v>2444</v>
      </c>
      <c r="D486" s="134" t="s">
        <v>2445</v>
      </c>
      <c r="E486" s="382" t="s">
        <v>2446</v>
      </c>
      <c r="F486" s="134" t="s">
        <v>635</v>
      </c>
      <c r="G486" s="379">
        <v>1</v>
      </c>
      <c r="H486" s="379">
        <v>1</v>
      </c>
      <c r="I486" s="379">
        <v>4</v>
      </c>
      <c r="J486" s="272">
        <v>50</v>
      </c>
      <c r="K486" s="114">
        <f t="shared" si="12"/>
        <v>50</v>
      </c>
      <c r="L486" s="338" t="s">
        <v>510</v>
      </c>
    </row>
    <row r="487" spans="1:12" ht="15" customHeight="1">
      <c r="A487" s="134" t="s">
        <v>2249</v>
      </c>
      <c r="B487" s="91" t="s">
        <v>2250</v>
      </c>
      <c r="C487" s="133" t="s">
        <v>2447</v>
      </c>
      <c r="D487" s="134" t="s">
        <v>2448</v>
      </c>
      <c r="E487" s="382" t="s">
        <v>2449</v>
      </c>
      <c r="F487" s="134" t="s">
        <v>635</v>
      </c>
      <c r="G487" s="379">
        <v>3</v>
      </c>
      <c r="H487" s="379">
        <v>3</v>
      </c>
      <c r="I487" s="379">
        <v>3</v>
      </c>
      <c r="J487" s="272">
        <v>50</v>
      </c>
      <c r="K487" s="114">
        <f t="shared" si="12"/>
        <v>16.666666666666668</v>
      </c>
      <c r="L487" s="338" t="s">
        <v>510</v>
      </c>
    </row>
    <row r="488" spans="1:12" ht="15" customHeight="1">
      <c r="A488" s="134" t="s">
        <v>2450</v>
      </c>
      <c r="B488" s="91" t="s">
        <v>2451</v>
      </c>
      <c r="C488" s="133" t="s">
        <v>2452</v>
      </c>
      <c r="D488" s="134" t="s">
        <v>2453</v>
      </c>
      <c r="E488" s="382" t="s">
        <v>2454</v>
      </c>
      <c r="F488" s="134" t="s">
        <v>635</v>
      </c>
      <c r="G488" s="379">
        <v>2</v>
      </c>
      <c r="H488" s="379">
        <v>2</v>
      </c>
      <c r="I488" s="379">
        <v>5</v>
      </c>
      <c r="J488" s="272">
        <v>50</v>
      </c>
      <c r="K488" s="114">
        <f t="shared" si="12"/>
        <v>25</v>
      </c>
      <c r="L488" s="338" t="s">
        <v>510</v>
      </c>
    </row>
    <row r="489" spans="1:12" ht="15" customHeight="1">
      <c r="A489" s="134" t="s">
        <v>2428</v>
      </c>
      <c r="B489" s="91" t="s">
        <v>2429</v>
      </c>
      <c r="C489" s="133" t="s">
        <v>2455</v>
      </c>
      <c r="D489" s="134" t="s">
        <v>2456</v>
      </c>
      <c r="E489" s="382" t="s">
        <v>2457</v>
      </c>
      <c r="F489" s="134" t="s">
        <v>635</v>
      </c>
      <c r="G489" s="379">
        <v>1</v>
      </c>
      <c r="H489" s="379">
        <v>1</v>
      </c>
      <c r="I489" s="379">
        <v>4</v>
      </c>
      <c r="J489" s="272">
        <v>50</v>
      </c>
      <c r="K489" s="114">
        <f t="shared" si="12"/>
        <v>50</v>
      </c>
      <c r="L489" s="338" t="s">
        <v>510</v>
      </c>
    </row>
    <row r="490" spans="1:12" ht="15" customHeight="1">
      <c r="A490" s="134" t="s">
        <v>2249</v>
      </c>
      <c r="B490" s="91" t="s">
        <v>2250</v>
      </c>
      <c r="C490" s="133" t="s">
        <v>2458</v>
      </c>
      <c r="D490" s="134" t="s">
        <v>2459</v>
      </c>
      <c r="E490" s="382" t="s">
        <v>2460</v>
      </c>
      <c r="F490" s="134" t="s">
        <v>635</v>
      </c>
      <c r="G490" s="379">
        <v>3</v>
      </c>
      <c r="H490" s="379">
        <v>3</v>
      </c>
      <c r="I490" s="379">
        <v>3</v>
      </c>
      <c r="J490" s="272">
        <v>50</v>
      </c>
      <c r="K490" s="114">
        <f t="shared" si="12"/>
        <v>16.666666666666668</v>
      </c>
      <c r="L490" s="338" t="s">
        <v>510</v>
      </c>
    </row>
    <row r="491" spans="1:12" ht="15" customHeight="1">
      <c r="A491" s="134" t="s">
        <v>1327</v>
      </c>
      <c r="B491" s="134" t="s">
        <v>1328</v>
      </c>
      <c r="C491" s="133" t="s">
        <v>2461</v>
      </c>
      <c r="D491" s="134" t="s">
        <v>1332</v>
      </c>
      <c r="E491" s="382" t="s">
        <v>1333</v>
      </c>
      <c r="F491" s="134" t="s">
        <v>635</v>
      </c>
      <c r="G491" s="99">
        <v>3</v>
      </c>
      <c r="H491" s="99">
        <v>3</v>
      </c>
      <c r="I491" s="99">
        <v>4</v>
      </c>
      <c r="J491" s="385">
        <v>50</v>
      </c>
      <c r="K491" s="114">
        <f t="shared" si="12"/>
        <v>16.666666666666668</v>
      </c>
      <c r="L491" s="338" t="s">
        <v>510</v>
      </c>
    </row>
    <row r="492" spans="1:12" ht="15" customHeight="1">
      <c r="A492" s="134" t="s">
        <v>2439</v>
      </c>
      <c r="B492" s="134" t="s">
        <v>2440</v>
      </c>
      <c r="C492" s="133" t="s">
        <v>2462</v>
      </c>
      <c r="D492" s="134" t="s">
        <v>2463</v>
      </c>
      <c r="E492" s="382" t="s">
        <v>2464</v>
      </c>
      <c r="F492" s="134" t="s">
        <v>635</v>
      </c>
      <c r="G492" s="99">
        <v>1</v>
      </c>
      <c r="H492" s="99">
        <v>1</v>
      </c>
      <c r="I492" s="99">
        <v>2</v>
      </c>
      <c r="J492" s="385">
        <v>50</v>
      </c>
      <c r="K492" s="114">
        <f t="shared" si="12"/>
        <v>50</v>
      </c>
      <c r="L492" s="338" t="s">
        <v>510</v>
      </c>
    </row>
    <row r="493" spans="1:12" ht="15" customHeight="1">
      <c r="A493" s="134" t="s">
        <v>2450</v>
      </c>
      <c r="B493" s="91" t="s">
        <v>2451</v>
      </c>
      <c r="C493" s="133" t="s">
        <v>2465</v>
      </c>
      <c r="D493" s="134" t="s">
        <v>2466</v>
      </c>
      <c r="E493" s="382" t="s">
        <v>2467</v>
      </c>
      <c r="F493" s="134" t="s">
        <v>1338</v>
      </c>
      <c r="G493" s="379">
        <v>2</v>
      </c>
      <c r="H493" s="379">
        <v>2</v>
      </c>
      <c r="I493" s="379">
        <v>5</v>
      </c>
      <c r="J493" s="272">
        <v>50</v>
      </c>
      <c r="K493" s="114">
        <f t="shared" si="12"/>
        <v>25</v>
      </c>
      <c r="L493" s="338" t="s">
        <v>510</v>
      </c>
    </row>
    <row r="494" spans="1:12" ht="15" customHeight="1">
      <c r="A494" s="134" t="s">
        <v>2450</v>
      </c>
      <c r="B494" s="91" t="s">
        <v>2451</v>
      </c>
      <c r="C494" s="133" t="s">
        <v>2468</v>
      </c>
      <c r="D494" s="134" t="s">
        <v>2469</v>
      </c>
      <c r="E494" s="382" t="s">
        <v>2470</v>
      </c>
      <c r="F494" s="134" t="s">
        <v>635</v>
      </c>
      <c r="G494" s="379">
        <v>2</v>
      </c>
      <c r="H494" s="379">
        <v>2</v>
      </c>
      <c r="I494" s="379">
        <v>5</v>
      </c>
      <c r="J494" s="272">
        <v>50</v>
      </c>
      <c r="K494" s="114">
        <f t="shared" si="12"/>
        <v>25</v>
      </c>
      <c r="L494" s="338" t="s">
        <v>510</v>
      </c>
    </row>
    <row r="495" spans="1:12" ht="15" customHeight="1">
      <c r="A495" s="134" t="s">
        <v>2471</v>
      </c>
      <c r="B495" s="91" t="s">
        <v>2472</v>
      </c>
      <c r="C495" s="133" t="s">
        <v>51</v>
      </c>
      <c r="D495" s="134" t="s">
        <v>2473</v>
      </c>
      <c r="E495" s="378" t="s">
        <v>2474</v>
      </c>
      <c r="F495" s="134" t="s">
        <v>1338</v>
      </c>
      <c r="G495" s="379">
        <v>1</v>
      </c>
      <c r="H495" s="379">
        <v>1</v>
      </c>
      <c r="I495" s="379">
        <v>6</v>
      </c>
      <c r="J495" s="272">
        <v>50</v>
      </c>
      <c r="K495" s="134">
        <f t="shared" ref="K495:K510" si="13">J495/G495</f>
        <v>50</v>
      </c>
      <c r="L495" s="338" t="s">
        <v>518</v>
      </c>
    </row>
    <row r="496" spans="1:12" ht="15" customHeight="1">
      <c r="A496" s="91" t="s">
        <v>2475</v>
      </c>
      <c r="B496" s="256" t="s">
        <v>2476</v>
      </c>
      <c r="C496" s="133" t="s">
        <v>51</v>
      </c>
      <c r="D496" s="134" t="s">
        <v>2477</v>
      </c>
      <c r="E496" s="382" t="s">
        <v>2478</v>
      </c>
      <c r="F496" s="238" t="s">
        <v>230</v>
      </c>
      <c r="G496" s="94">
        <v>2</v>
      </c>
      <c r="H496" s="94">
        <v>2</v>
      </c>
      <c r="I496" s="94">
        <v>2</v>
      </c>
      <c r="J496" s="385">
        <v>50</v>
      </c>
      <c r="K496" s="134">
        <f t="shared" si="13"/>
        <v>25</v>
      </c>
      <c r="L496" s="338" t="s">
        <v>518</v>
      </c>
    </row>
    <row r="497" spans="1:12" ht="15" customHeight="1">
      <c r="A497" s="91" t="s">
        <v>2475</v>
      </c>
      <c r="B497" s="256" t="s">
        <v>2476</v>
      </c>
      <c r="C497" s="133" t="s">
        <v>51</v>
      </c>
      <c r="D497" s="134" t="s">
        <v>2479</v>
      </c>
      <c r="E497" s="382" t="s">
        <v>2480</v>
      </c>
      <c r="F497" s="238" t="s">
        <v>230</v>
      </c>
      <c r="G497" s="99">
        <v>2</v>
      </c>
      <c r="H497" s="99">
        <v>2</v>
      </c>
      <c r="I497" s="99">
        <v>2</v>
      </c>
      <c r="J497" s="385">
        <v>50</v>
      </c>
      <c r="K497" s="134">
        <f t="shared" si="13"/>
        <v>25</v>
      </c>
      <c r="L497" s="338" t="s">
        <v>518</v>
      </c>
    </row>
    <row r="498" spans="1:12" ht="15" customHeight="1">
      <c r="A498" s="91" t="s">
        <v>2475</v>
      </c>
      <c r="B498" s="256" t="s">
        <v>2476</v>
      </c>
      <c r="C498" s="133" t="s">
        <v>51</v>
      </c>
      <c r="D498" s="134" t="s">
        <v>2481</v>
      </c>
      <c r="E498" s="382" t="s">
        <v>2482</v>
      </c>
      <c r="F498" s="238" t="s">
        <v>1868</v>
      </c>
      <c r="G498" s="99">
        <v>2</v>
      </c>
      <c r="H498" s="99">
        <v>2</v>
      </c>
      <c r="I498" s="99">
        <v>2</v>
      </c>
      <c r="J498" s="385">
        <v>50</v>
      </c>
      <c r="K498" s="134">
        <f t="shared" si="13"/>
        <v>25</v>
      </c>
      <c r="L498" s="338" t="s">
        <v>518</v>
      </c>
    </row>
    <row r="499" spans="1:12" ht="15" customHeight="1">
      <c r="A499" s="134" t="s">
        <v>2483</v>
      </c>
      <c r="B499" s="134" t="s">
        <v>2484</v>
      </c>
      <c r="C499" s="99" t="s">
        <v>51</v>
      </c>
      <c r="D499" s="134" t="s">
        <v>2485</v>
      </c>
      <c r="E499" s="382" t="s">
        <v>2486</v>
      </c>
      <c r="F499" s="238" t="s">
        <v>1338</v>
      </c>
      <c r="G499" s="99">
        <v>3</v>
      </c>
      <c r="H499" s="99">
        <v>3</v>
      </c>
      <c r="I499" s="99">
        <v>3</v>
      </c>
      <c r="J499" s="385">
        <v>50</v>
      </c>
      <c r="K499" s="114">
        <f t="shared" si="13"/>
        <v>16.666666666666668</v>
      </c>
      <c r="L499" s="338" t="s">
        <v>518</v>
      </c>
    </row>
    <row r="500" spans="1:12" ht="15" customHeight="1">
      <c r="A500" s="134" t="s">
        <v>2483</v>
      </c>
      <c r="B500" s="134" t="s">
        <v>2484</v>
      </c>
      <c r="C500" s="99" t="s">
        <v>51</v>
      </c>
      <c r="D500" s="134" t="s">
        <v>2487</v>
      </c>
      <c r="E500" s="382" t="s">
        <v>2488</v>
      </c>
      <c r="F500" s="238" t="s">
        <v>1338</v>
      </c>
      <c r="G500" s="99">
        <v>3</v>
      </c>
      <c r="H500" s="99">
        <v>3</v>
      </c>
      <c r="I500" s="99">
        <v>3</v>
      </c>
      <c r="J500" s="385">
        <v>50</v>
      </c>
      <c r="K500" s="114">
        <f t="shared" si="13"/>
        <v>16.666666666666668</v>
      </c>
      <c r="L500" s="338" t="s">
        <v>518</v>
      </c>
    </row>
    <row r="501" spans="1:12" ht="15" customHeight="1">
      <c r="A501" s="134" t="s">
        <v>2483</v>
      </c>
      <c r="B501" s="134" t="s">
        <v>2484</v>
      </c>
      <c r="C501" s="99" t="s">
        <v>51</v>
      </c>
      <c r="D501" s="134" t="s">
        <v>2489</v>
      </c>
      <c r="E501" s="382" t="s">
        <v>2490</v>
      </c>
      <c r="F501" s="238" t="s">
        <v>635</v>
      </c>
      <c r="G501" s="99">
        <v>3</v>
      </c>
      <c r="H501" s="99">
        <v>3</v>
      </c>
      <c r="I501" s="99">
        <v>3</v>
      </c>
      <c r="J501" s="385">
        <v>50</v>
      </c>
      <c r="K501" s="114">
        <f t="shared" si="13"/>
        <v>16.666666666666668</v>
      </c>
      <c r="L501" s="338" t="s">
        <v>518</v>
      </c>
    </row>
    <row r="502" spans="1:12" ht="15" customHeight="1">
      <c r="A502" s="134" t="s">
        <v>2491</v>
      </c>
      <c r="B502" s="134" t="s">
        <v>2492</v>
      </c>
      <c r="C502" s="99" t="s">
        <v>51</v>
      </c>
      <c r="D502" s="134" t="s">
        <v>2485</v>
      </c>
      <c r="E502" s="382" t="s">
        <v>2486</v>
      </c>
      <c r="F502" s="238" t="s">
        <v>1338</v>
      </c>
      <c r="G502" s="99">
        <v>3</v>
      </c>
      <c r="H502" s="99">
        <v>3</v>
      </c>
      <c r="I502" s="99">
        <v>3</v>
      </c>
      <c r="J502" s="385">
        <v>50</v>
      </c>
      <c r="K502" s="114">
        <f t="shared" si="13"/>
        <v>16.666666666666668</v>
      </c>
      <c r="L502" s="338" t="s">
        <v>518</v>
      </c>
    </row>
    <row r="503" spans="1:12" ht="15" customHeight="1">
      <c r="A503" s="134" t="s">
        <v>2491</v>
      </c>
      <c r="B503" s="134" t="s">
        <v>2492</v>
      </c>
      <c r="C503" s="99" t="s">
        <v>51</v>
      </c>
      <c r="D503" s="134" t="s">
        <v>2493</v>
      </c>
      <c r="E503" s="382" t="s">
        <v>2494</v>
      </c>
      <c r="F503" s="238" t="s">
        <v>1338</v>
      </c>
      <c r="G503" s="99">
        <v>3</v>
      </c>
      <c r="H503" s="99">
        <v>3</v>
      </c>
      <c r="I503" s="99">
        <v>3</v>
      </c>
      <c r="J503" s="385">
        <v>50</v>
      </c>
      <c r="K503" s="114">
        <f t="shared" si="13"/>
        <v>16.666666666666668</v>
      </c>
      <c r="L503" s="338" t="s">
        <v>518</v>
      </c>
    </row>
    <row r="504" spans="1:12" ht="15" customHeight="1">
      <c r="A504" s="134" t="s">
        <v>2491</v>
      </c>
      <c r="B504" s="134" t="s">
        <v>2492</v>
      </c>
      <c r="C504" s="99" t="s">
        <v>51</v>
      </c>
      <c r="D504" s="134" t="s">
        <v>2495</v>
      </c>
      <c r="E504" s="382" t="s">
        <v>2496</v>
      </c>
      <c r="F504" s="238" t="s">
        <v>1338</v>
      </c>
      <c r="G504" s="99">
        <v>3</v>
      </c>
      <c r="H504" s="99">
        <v>3</v>
      </c>
      <c r="I504" s="99">
        <v>3</v>
      </c>
      <c r="J504" s="385">
        <v>50</v>
      </c>
      <c r="K504" s="114">
        <f t="shared" si="13"/>
        <v>16.666666666666668</v>
      </c>
      <c r="L504" s="338" t="s">
        <v>518</v>
      </c>
    </row>
    <row r="505" spans="1:12" ht="15" customHeight="1">
      <c r="A505" s="134" t="s">
        <v>2491</v>
      </c>
      <c r="B505" s="134" t="s">
        <v>2492</v>
      </c>
      <c r="C505" s="99" t="s">
        <v>51</v>
      </c>
      <c r="D505" s="134" t="s">
        <v>2497</v>
      </c>
      <c r="E505" s="382" t="s">
        <v>2498</v>
      </c>
      <c r="F505" s="238" t="s">
        <v>635</v>
      </c>
      <c r="G505" s="99">
        <v>3</v>
      </c>
      <c r="H505" s="99">
        <v>3</v>
      </c>
      <c r="I505" s="99">
        <v>3</v>
      </c>
      <c r="J505" s="385">
        <v>50</v>
      </c>
      <c r="K505" s="114">
        <f t="shared" si="13"/>
        <v>16.666666666666668</v>
      </c>
      <c r="L505" s="338" t="s">
        <v>518</v>
      </c>
    </row>
    <row r="506" spans="1:12" ht="15" customHeight="1">
      <c r="A506" s="134" t="s">
        <v>2491</v>
      </c>
      <c r="B506" s="134" t="s">
        <v>2492</v>
      </c>
      <c r="C506" s="99" t="s">
        <v>51</v>
      </c>
      <c r="D506" s="134" t="s">
        <v>2499</v>
      </c>
      <c r="E506" s="382" t="s">
        <v>2500</v>
      </c>
      <c r="F506" s="238" t="s">
        <v>1338</v>
      </c>
      <c r="G506" s="99">
        <v>3</v>
      </c>
      <c r="H506" s="99">
        <v>3</v>
      </c>
      <c r="I506" s="99">
        <v>3</v>
      </c>
      <c r="J506" s="385">
        <v>50</v>
      </c>
      <c r="K506" s="114">
        <f t="shared" si="13"/>
        <v>16.666666666666668</v>
      </c>
      <c r="L506" s="338" t="s">
        <v>518</v>
      </c>
    </row>
    <row r="507" spans="1:12" ht="15" customHeight="1">
      <c r="A507" s="134" t="s">
        <v>2491</v>
      </c>
      <c r="B507" s="134" t="s">
        <v>2492</v>
      </c>
      <c r="C507" s="99" t="s">
        <v>51</v>
      </c>
      <c r="D507" s="134" t="s">
        <v>2501</v>
      </c>
      <c r="E507" s="382" t="s">
        <v>2502</v>
      </c>
      <c r="F507" s="238" t="s">
        <v>635</v>
      </c>
      <c r="G507" s="99">
        <v>3</v>
      </c>
      <c r="H507" s="99">
        <v>3</v>
      </c>
      <c r="I507" s="99">
        <v>3</v>
      </c>
      <c r="J507" s="385">
        <v>50</v>
      </c>
      <c r="K507" s="114">
        <f t="shared" si="13"/>
        <v>16.666666666666668</v>
      </c>
      <c r="L507" s="338" t="s">
        <v>518</v>
      </c>
    </row>
    <row r="508" spans="1:12" ht="15" customHeight="1">
      <c r="A508" s="134" t="s">
        <v>2503</v>
      </c>
      <c r="B508" s="134" t="s">
        <v>2504</v>
      </c>
      <c r="C508" s="99" t="s">
        <v>51</v>
      </c>
      <c r="D508" s="134" t="s">
        <v>2505</v>
      </c>
      <c r="E508" s="382" t="s">
        <v>2506</v>
      </c>
      <c r="F508" s="238" t="s">
        <v>1338</v>
      </c>
      <c r="G508" s="99">
        <v>4</v>
      </c>
      <c r="H508" s="99">
        <v>4</v>
      </c>
      <c r="I508" s="99">
        <v>6</v>
      </c>
      <c r="J508" s="385">
        <v>50</v>
      </c>
      <c r="K508" s="114">
        <f t="shared" si="13"/>
        <v>12.5</v>
      </c>
      <c r="L508" s="338" t="s">
        <v>518</v>
      </c>
    </row>
    <row r="509" spans="1:12" ht="15" customHeight="1">
      <c r="A509" s="134" t="s">
        <v>2503</v>
      </c>
      <c r="B509" s="134" t="s">
        <v>2504</v>
      </c>
      <c r="C509" s="99" t="s">
        <v>51</v>
      </c>
      <c r="D509" s="134" t="s">
        <v>2507</v>
      </c>
      <c r="E509" s="382" t="s">
        <v>2508</v>
      </c>
      <c r="F509" s="238" t="s">
        <v>635</v>
      </c>
      <c r="G509" s="99">
        <v>4</v>
      </c>
      <c r="H509" s="99">
        <v>4</v>
      </c>
      <c r="I509" s="99">
        <v>6</v>
      </c>
      <c r="J509" s="385">
        <v>50</v>
      </c>
      <c r="K509" s="114">
        <f t="shared" si="13"/>
        <v>12.5</v>
      </c>
      <c r="L509" s="338" t="s">
        <v>518</v>
      </c>
    </row>
    <row r="510" spans="1:12" ht="15" customHeight="1">
      <c r="A510" s="134" t="s">
        <v>2509</v>
      </c>
      <c r="B510" s="134" t="s">
        <v>2510</v>
      </c>
      <c r="C510" s="99" t="s">
        <v>51</v>
      </c>
      <c r="D510" s="134" t="s">
        <v>2511</v>
      </c>
      <c r="E510" s="382" t="s">
        <v>2512</v>
      </c>
      <c r="F510" s="238" t="s">
        <v>635</v>
      </c>
      <c r="G510" s="99">
        <v>4</v>
      </c>
      <c r="H510" s="99">
        <v>4</v>
      </c>
      <c r="I510" s="99">
        <v>6</v>
      </c>
      <c r="J510" s="385">
        <v>50</v>
      </c>
      <c r="K510" s="114">
        <f t="shared" si="13"/>
        <v>12.5</v>
      </c>
      <c r="L510" s="338" t="s">
        <v>518</v>
      </c>
    </row>
    <row r="511" spans="1:12" ht="15" customHeight="1">
      <c r="A511" s="458" t="s">
        <v>2393</v>
      </c>
      <c r="B511" s="463" t="s">
        <v>2394</v>
      </c>
      <c r="C511" s="460" t="s">
        <v>51</v>
      </c>
      <c r="D511" s="464" t="s">
        <v>2395</v>
      </c>
      <c r="E511" s="382" t="s">
        <v>2396</v>
      </c>
      <c r="F511" s="454" t="s">
        <v>2397</v>
      </c>
      <c r="G511" s="461">
        <v>2</v>
      </c>
      <c r="H511" s="461">
        <v>2</v>
      </c>
      <c r="I511" s="461">
        <v>2</v>
      </c>
      <c r="J511" s="272">
        <v>50</v>
      </c>
      <c r="K511" s="134">
        <f>J511/2</f>
        <v>25</v>
      </c>
      <c r="L511" s="338" t="s">
        <v>2513</v>
      </c>
    </row>
    <row r="512" spans="1:12" ht="15" customHeight="1">
      <c r="A512" s="134" t="s">
        <v>1305</v>
      </c>
      <c r="B512" s="91" t="s">
        <v>1306</v>
      </c>
      <c r="C512" s="133" t="s">
        <v>51</v>
      </c>
      <c r="D512" s="134" t="s">
        <v>1307</v>
      </c>
      <c r="E512" s="378" t="s">
        <v>1308</v>
      </c>
      <c r="F512" s="134" t="s">
        <v>1309</v>
      </c>
      <c r="G512" s="379">
        <v>2</v>
      </c>
      <c r="H512" s="379">
        <v>2</v>
      </c>
      <c r="I512" s="379">
        <v>2</v>
      </c>
      <c r="J512" s="272">
        <v>50</v>
      </c>
      <c r="K512" s="134">
        <v>25</v>
      </c>
      <c r="L512" s="338" t="s">
        <v>2514</v>
      </c>
    </row>
    <row r="513" spans="1:12" ht="15" customHeight="1">
      <c r="A513" s="134" t="s">
        <v>2515</v>
      </c>
      <c r="B513" s="91" t="s">
        <v>2516</v>
      </c>
      <c r="C513" s="133" t="s">
        <v>51</v>
      </c>
      <c r="D513" s="134" t="s">
        <v>2517</v>
      </c>
      <c r="E513" s="399" t="s">
        <v>2518</v>
      </c>
      <c r="F513" s="134" t="s">
        <v>2519</v>
      </c>
      <c r="G513" s="119">
        <v>1</v>
      </c>
      <c r="H513" s="119">
        <v>1</v>
      </c>
      <c r="I513" s="379">
        <v>2</v>
      </c>
      <c r="J513" s="272">
        <v>50</v>
      </c>
      <c r="K513" s="99">
        <v>50</v>
      </c>
      <c r="L513" s="338" t="s">
        <v>2520</v>
      </c>
    </row>
    <row r="514" spans="1:12" ht="15" customHeight="1">
      <c r="A514" s="91" t="s">
        <v>2521</v>
      </c>
      <c r="B514" s="256" t="s">
        <v>2522</v>
      </c>
      <c r="C514" s="92" t="s">
        <v>51</v>
      </c>
      <c r="D514" s="134" t="s">
        <v>2523</v>
      </c>
      <c r="E514" s="399" t="s">
        <v>2524</v>
      </c>
      <c r="F514" s="399" t="s">
        <v>2525</v>
      </c>
      <c r="G514" s="94">
        <v>2</v>
      </c>
      <c r="H514" s="94">
        <v>2</v>
      </c>
      <c r="I514" s="94">
        <v>3</v>
      </c>
      <c r="J514" s="385">
        <v>50</v>
      </c>
      <c r="K514" s="114">
        <f>J514/2</f>
        <v>25</v>
      </c>
      <c r="L514" s="338" t="s">
        <v>2520</v>
      </c>
    </row>
    <row r="515" spans="1:12" ht="15" customHeight="1">
      <c r="A515" s="134" t="s">
        <v>2526</v>
      </c>
      <c r="B515" s="91" t="s">
        <v>2527</v>
      </c>
      <c r="C515" s="92" t="s">
        <v>51</v>
      </c>
      <c r="D515" s="134" t="s">
        <v>2528</v>
      </c>
      <c r="E515" s="399" t="s">
        <v>2529</v>
      </c>
      <c r="F515" s="399" t="s">
        <v>2530</v>
      </c>
      <c r="G515" s="99">
        <v>3</v>
      </c>
      <c r="H515" s="99">
        <v>1</v>
      </c>
      <c r="I515" s="99">
        <v>6</v>
      </c>
      <c r="J515" s="385">
        <v>50</v>
      </c>
      <c r="K515" s="114">
        <f>J515/3</f>
        <v>16.666666666666668</v>
      </c>
      <c r="L515" s="338" t="s">
        <v>2520</v>
      </c>
    </row>
    <row r="516" spans="1:12" ht="15" customHeight="1">
      <c r="A516" s="406" t="s">
        <v>1976</v>
      </c>
      <c r="B516" s="406" t="s">
        <v>1977</v>
      </c>
      <c r="C516" s="238" t="s">
        <v>51</v>
      </c>
      <c r="D516" s="406" t="s">
        <v>1978</v>
      </c>
      <c r="E516" s="407" t="s">
        <v>1979</v>
      </c>
      <c r="F516" s="238" t="s">
        <v>1878</v>
      </c>
      <c r="G516" s="99">
        <v>3</v>
      </c>
      <c r="H516" s="99">
        <v>3</v>
      </c>
      <c r="I516" s="99">
        <v>3</v>
      </c>
      <c r="J516" s="385">
        <v>50</v>
      </c>
      <c r="K516" s="114">
        <v>16.66</v>
      </c>
      <c r="L516" s="338" t="s">
        <v>546</v>
      </c>
    </row>
    <row r="517" spans="1:12" ht="15" customHeight="1">
      <c r="A517" s="406" t="s">
        <v>557</v>
      </c>
      <c r="B517" s="406" t="s">
        <v>401</v>
      </c>
      <c r="C517" s="238" t="s">
        <v>2106</v>
      </c>
      <c r="D517" s="402" t="s">
        <v>2107</v>
      </c>
      <c r="E517" s="382" t="s">
        <v>2108</v>
      </c>
      <c r="F517" s="238" t="s">
        <v>1878</v>
      </c>
      <c r="G517" s="99">
        <v>6</v>
      </c>
      <c r="H517" s="99">
        <v>6</v>
      </c>
      <c r="I517" s="99">
        <v>6</v>
      </c>
      <c r="J517" s="385">
        <v>50</v>
      </c>
      <c r="K517" s="114">
        <v>8.33</v>
      </c>
      <c r="L517" s="338" t="s">
        <v>546</v>
      </c>
    </row>
    <row r="518" spans="1:12" ht="15" customHeight="1">
      <c r="A518" s="91" t="s">
        <v>475</v>
      </c>
      <c r="B518" s="256" t="s">
        <v>474</v>
      </c>
      <c r="C518" s="133" t="s">
        <v>51</v>
      </c>
      <c r="D518" s="133" t="s">
        <v>2267</v>
      </c>
      <c r="E518" s="99" t="s">
        <v>2531</v>
      </c>
      <c r="F518" s="238" t="s">
        <v>2133</v>
      </c>
      <c r="G518" s="94">
        <v>3</v>
      </c>
      <c r="H518" s="94">
        <v>3</v>
      </c>
      <c r="I518" s="94">
        <v>3</v>
      </c>
      <c r="J518" s="385">
        <v>50</v>
      </c>
      <c r="K518" s="114">
        <f t="shared" ref="K518:K519" si="14">J518/3</f>
        <v>16.666666666666668</v>
      </c>
      <c r="L518" s="338" t="s">
        <v>547</v>
      </c>
    </row>
    <row r="519" spans="1:12" ht="15" customHeight="1">
      <c r="A519" s="134" t="s">
        <v>2269</v>
      </c>
      <c r="B519" s="91" t="s">
        <v>2270</v>
      </c>
      <c r="C519" s="92" t="s">
        <v>51</v>
      </c>
      <c r="D519" s="133" t="s">
        <v>2271</v>
      </c>
      <c r="E519" s="426" t="s">
        <v>2272</v>
      </c>
      <c r="F519" s="238" t="s">
        <v>2133</v>
      </c>
      <c r="G519" s="99">
        <v>3</v>
      </c>
      <c r="H519" s="99">
        <v>2</v>
      </c>
      <c r="I519" s="99">
        <v>4</v>
      </c>
      <c r="J519" s="385">
        <v>50</v>
      </c>
      <c r="K519" s="114">
        <f t="shared" si="14"/>
        <v>16.666666666666668</v>
      </c>
      <c r="L519" s="338" t="s">
        <v>547</v>
      </c>
    </row>
    <row r="520" spans="1:12" ht="15" customHeight="1">
      <c r="A520" s="134" t="s">
        <v>2273</v>
      </c>
      <c r="B520" s="134" t="s">
        <v>2274</v>
      </c>
      <c r="C520" s="92" t="s">
        <v>51</v>
      </c>
      <c r="D520" s="133" t="s">
        <v>2275</v>
      </c>
      <c r="E520" s="426" t="s">
        <v>2276</v>
      </c>
      <c r="F520" s="238" t="s">
        <v>2133</v>
      </c>
      <c r="G520" s="99">
        <v>7</v>
      </c>
      <c r="H520" s="99">
        <v>7</v>
      </c>
      <c r="I520" s="99">
        <v>7</v>
      </c>
      <c r="J520" s="385">
        <v>50</v>
      </c>
      <c r="K520" s="114">
        <f>J520/7</f>
        <v>7.1428571428571432</v>
      </c>
      <c r="L520" s="338" t="s">
        <v>547</v>
      </c>
    </row>
    <row r="521" spans="1:12" ht="15" customHeight="1">
      <c r="A521" s="134" t="s">
        <v>2532</v>
      </c>
      <c r="B521" s="134" t="s">
        <v>2533</v>
      </c>
      <c r="C521" s="92" t="s">
        <v>51</v>
      </c>
      <c r="D521" s="133" t="s">
        <v>2534</v>
      </c>
      <c r="E521" s="426" t="s">
        <v>2535</v>
      </c>
      <c r="F521" s="238" t="s">
        <v>2133</v>
      </c>
      <c r="G521" s="99">
        <v>2</v>
      </c>
      <c r="H521" s="99">
        <v>2</v>
      </c>
      <c r="I521" s="99">
        <v>2</v>
      </c>
      <c r="J521" s="385">
        <v>50</v>
      </c>
      <c r="K521" s="114">
        <f>J521/G521</f>
        <v>25</v>
      </c>
      <c r="L521" s="338" t="s">
        <v>547</v>
      </c>
    </row>
    <row r="522" spans="1:12" ht="15" customHeight="1">
      <c r="A522" s="134" t="s">
        <v>2288</v>
      </c>
      <c r="B522" s="134" t="s">
        <v>2289</v>
      </c>
      <c r="C522" s="92" t="s">
        <v>51</v>
      </c>
      <c r="D522" s="131" t="s">
        <v>2290</v>
      </c>
      <c r="E522" s="99" t="s">
        <v>2291</v>
      </c>
      <c r="F522" s="238" t="s">
        <v>2133</v>
      </c>
      <c r="G522" s="99">
        <v>4</v>
      </c>
      <c r="H522" s="99">
        <v>4</v>
      </c>
      <c r="I522" s="99">
        <v>4</v>
      </c>
      <c r="J522" s="385">
        <v>50</v>
      </c>
      <c r="K522" s="114">
        <f>J522/4</f>
        <v>12.5</v>
      </c>
      <c r="L522" s="338" t="s">
        <v>547</v>
      </c>
    </row>
    <row r="523" spans="1:12" ht="15" customHeight="1">
      <c r="A523" s="134" t="s">
        <v>2536</v>
      </c>
      <c r="B523" s="134" t="s">
        <v>2537</v>
      </c>
      <c r="C523" s="92" t="s">
        <v>51</v>
      </c>
      <c r="D523" s="134" t="s">
        <v>2538</v>
      </c>
      <c r="E523" s="465" t="s">
        <v>2539</v>
      </c>
      <c r="F523" s="238" t="s">
        <v>635</v>
      </c>
      <c r="G523" s="99">
        <v>2</v>
      </c>
      <c r="H523" s="99">
        <v>2</v>
      </c>
      <c r="I523" s="99">
        <v>3</v>
      </c>
      <c r="J523" s="385">
        <v>50</v>
      </c>
      <c r="K523" s="114">
        <f>J523/G523</f>
        <v>25</v>
      </c>
      <c r="L523" s="338" t="s">
        <v>547</v>
      </c>
    </row>
    <row r="524" spans="1:12" ht="15" customHeight="1">
      <c r="A524" s="134" t="s">
        <v>2540</v>
      </c>
      <c r="B524" s="134" t="s">
        <v>2541</v>
      </c>
      <c r="C524" s="92" t="s">
        <v>51</v>
      </c>
      <c r="D524" s="134" t="s">
        <v>2542</v>
      </c>
      <c r="E524" s="99" t="s">
        <v>2543</v>
      </c>
      <c r="F524" s="238" t="s">
        <v>2133</v>
      </c>
      <c r="G524" s="99">
        <v>4</v>
      </c>
      <c r="H524" s="99">
        <v>3</v>
      </c>
      <c r="I524" s="99">
        <v>4</v>
      </c>
      <c r="J524" s="385">
        <v>50</v>
      </c>
      <c r="K524" s="114">
        <f>J524/4</f>
        <v>12.5</v>
      </c>
      <c r="L524" s="338" t="s">
        <v>547</v>
      </c>
    </row>
    <row r="525" spans="1:12" ht="15" customHeight="1">
      <c r="A525" s="256" t="s">
        <v>557</v>
      </c>
      <c r="B525" s="256" t="s">
        <v>399</v>
      </c>
      <c r="C525" s="422" t="s">
        <v>51</v>
      </c>
      <c r="D525" s="65" t="s">
        <v>2544</v>
      </c>
      <c r="E525" s="466" t="s">
        <v>2545</v>
      </c>
      <c r="F525" s="424" t="s">
        <v>1338</v>
      </c>
      <c r="G525" s="94"/>
      <c r="H525" s="94">
        <v>6</v>
      </c>
      <c r="I525" s="94">
        <v>6</v>
      </c>
      <c r="J525" s="467">
        <v>50</v>
      </c>
      <c r="K525" s="114">
        <v>8.33</v>
      </c>
      <c r="L525" s="338" t="s">
        <v>563</v>
      </c>
    </row>
    <row r="526" spans="1:12" ht="15" customHeight="1">
      <c r="A526" s="134" t="s">
        <v>564</v>
      </c>
      <c r="B526" s="468" t="s">
        <v>2546</v>
      </c>
      <c r="C526" s="422" t="s">
        <v>51</v>
      </c>
      <c r="D526" s="65" t="s">
        <v>2547</v>
      </c>
      <c r="E526" s="469" t="s">
        <v>237</v>
      </c>
      <c r="F526" s="424" t="s">
        <v>1338</v>
      </c>
      <c r="G526" s="94"/>
      <c r="H526" s="94">
        <v>7</v>
      </c>
      <c r="I526" s="94">
        <v>7</v>
      </c>
      <c r="J526" s="467">
        <v>50</v>
      </c>
      <c r="K526" s="114">
        <v>7.14</v>
      </c>
      <c r="L526" s="338" t="s">
        <v>563</v>
      </c>
    </row>
    <row r="527" spans="1:12" ht="15" customHeight="1">
      <c r="A527" s="134" t="s">
        <v>2548</v>
      </c>
      <c r="B527" s="134" t="s">
        <v>2549</v>
      </c>
      <c r="C527" s="92" t="s">
        <v>51</v>
      </c>
      <c r="D527" s="438" t="s">
        <v>2550</v>
      </c>
      <c r="E527" s="150" t="s">
        <v>2551</v>
      </c>
      <c r="F527" s="238" t="s">
        <v>1338</v>
      </c>
      <c r="G527" s="99"/>
      <c r="H527" s="99">
        <v>1</v>
      </c>
      <c r="I527" s="99">
        <v>1</v>
      </c>
      <c r="J527" s="385">
        <v>50</v>
      </c>
      <c r="K527" s="114">
        <v>50</v>
      </c>
      <c r="L527" s="338" t="s">
        <v>563</v>
      </c>
    </row>
    <row r="528" spans="1:12" ht="15" customHeight="1">
      <c r="A528" s="134" t="s">
        <v>2548</v>
      </c>
      <c r="B528" s="134" t="s">
        <v>2549</v>
      </c>
      <c r="C528" s="92" t="s">
        <v>51</v>
      </c>
      <c r="D528" s="438" t="s">
        <v>2552</v>
      </c>
      <c r="E528" s="150" t="s">
        <v>2553</v>
      </c>
      <c r="F528" s="238" t="s">
        <v>1868</v>
      </c>
      <c r="G528" s="99"/>
      <c r="H528" s="99">
        <v>1</v>
      </c>
      <c r="I528" s="99">
        <v>1</v>
      </c>
      <c r="J528" s="385">
        <v>50</v>
      </c>
      <c r="K528" s="114">
        <v>50</v>
      </c>
      <c r="L528" s="338" t="s">
        <v>563</v>
      </c>
    </row>
    <row r="529" spans="1:12" ht="15" customHeight="1">
      <c r="A529" s="134" t="s">
        <v>2548</v>
      </c>
      <c r="B529" s="134" t="s">
        <v>2554</v>
      </c>
      <c r="C529" s="92" t="s">
        <v>51</v>
      </c>
      <c r="D529" s="438" t="s">
        <v>2555</v>
      </c>
      <c r="E529" s="150" t="s">
        <v>2553</v>
      </c>
      <c r="F529" s="238" t="s">
        <v>1868</v>
      </c>
      <c r="G529" s="99"/>
      <c r="H529" s="99">
        <v>1</v>
      </c>
      <c r="I529" s="99">
        <v>1</v>
      </c>
      <c r="J529" s="385">
        <v>50</v>
      </c>
      <c r="K529" s="114">
        <v>50</v>
      </c>
      <c r="L529" s="338" t="s">
        <v>563</v>
      </c>
    </row>
    <row r="530" spans="1:12" ht="15" customHeight="1">
      <c r="A530" s="134" t="s">
        <v>2548</v>
      </c>
      <c r="B530" s="134" t="s">
        <v>2549</v>
      </c>
      <c r="C530" s="92" t="s">
        <v>51</v>
      </c>
      <c r="D530" s="470" t="s">
        <v>2556</v>
      </c>
      <c r="E530" s="150" t="s">
        <v>2557</v>
      </c>
      <c r="F530" s="238" t="s">
        <v>635</v>
      </c>
      <c r="G530" s="99"/>
      <c r="H530" s="99">
        <v>1</v>
      </c>
      <c r="I530" s="99">
        <v>1</v>
      </c>
      <c r="J530" s="385">
        <v>50</v>
      </c>
      <c r="K530" s="114">
        <v>50</v>
      </c>
      <c r="L530" s="338" t="s">
        <v>563</v>
      </c>
    </row>
    <row r="531" spans="1:12" ht="15" customHeight="1">
      <c r="A531" s="134" t="s">
        <v>2558</v>
      </c>
      <c r="B531" s="471" t="s">
        <v>2559</v>
      </c>
      <c r="C531" s="92" t="s">
        <v>51</v>
      </c>
      <c r="D531" s="134" t="s">
        <v>2560</v>
      </c>
      <c r="E531" s="150" t="s">
        <v>2561</v>
      </c>
      <c r="F531" s="238" t="s">
        <v>635</v>
      </c>
      <c r="G531" s="99"/>
      <c r="H531" s="99">
        <v>3</v>
      </c>
      <c r="I531" s="99">
        <v>3</v>
      </c>
      <c r="J531" s="385">
        <v>50</v>
      </c>
      <c r="K531" s="114">
        <v>16.66</v>
      </c>
      <c r="L531" s="338" t="s">
        <v>563</v>
      </c>
    </row>
    <row r="532" spans="1:12" ht="15" customHeight="1">
      <c r="A532" s="134" t="s">
        <v>2548</v>
      </c>
      <c r="B532" s="399" t="s">
        <v>2562</v>
      </c>
      <c r="C532" s="92" t="s">
        <v>51</v>
      </c>
      <c r="D532" s="65" t="s">
        <v>2563</v>
      </c>
      <c r="E532" s="150" t="s">
        <v>2564</v>
      </c>
      <c r="F532" s="238" t="s">
        <v>1338</v>
      </c>
      <c r="G532" s="99"/>
      <c r="H532" s="99">
        <v>1</v>
      </c>
      <c r="I532" s="99">
        <v>1</v>
      </c>
      <c r="J532" s="385">
        <v>50</v>
      </c>
      <c r="K532" s="114">
        <v>50</v>
      </c>
      <c r="L532" s="338" t="s">
        <v>563</v>
      </c>
    </row>
    <row r="533" spans="1:12" ht="15" customHeight="1">
      <c r="A533" s="134" t="s">
        <v>2548</v>
      </c>
      <c r="B533" s="399" t="s">
        <v>2562</v>
      </c>
      <c r="C533" s="92" t="s">
        <v>51</v>
      </c>
      <c r="D533" s="472" t="s">
        <v>2565</v>
      </c>
      <c r="E533" s="150" t="s">
        <v>2566</v>
      </c>
      <c r="F533" s="238" t="s">
        <v>1338</v>
      </c>
      <c r="G533" s="99"/>
      <c r="H533" s="99">
        <v>1</v>
      </c>
      <c r="I533" s="99">
        <v>1</v>
      </c>
      <c r="J533" s="385">
        <v>50</v>
      </c>
      <c r="K533" s="114">
        <v>50</v>
      </c>
      <c r="L533" s="338" t="s">
        <v>563</v>
      </c>
    </row>
    <row r="534" spans="1:12" ht="15" customHeight="1">
      <c r="A534" s="399" t="s">
        <v>2567</v>
      </c>
      <c r="B534" s="399" t="s">
        <v>2568</v>
      </c>
      <c r="C534" s="92" t="s">
        <v>51</v>
      </c>
      <c r="D534" s="399" t="s">
        <v>2569</v>
      </c>
      <c r="E534" s="150" t="s">
        <v>2570</v>
      </c>
      <c r="F534" s="238" t="s">
        <v>1338</v>
      </c>
      <c r="G534" s="99"/>
      <c r="H534" s="99">
        <v>2</v>
      </c>
      <c r="I534" s="99">
        <v>2</v>
      </c>
      <c r="J534" s="385">
        <v>50</v>
      </c>
      <c r="K534" s="114">
        <v>25</v>
      </c>
      <c r="L534" s="338" t="s">
        <v>563</v>
      </c>
    </row>
    <row r="535" spans="1:12" ht="15" customHeight="1">
      <c r="A535" s="399" t="s">
        <v>2558</v>
      </c>
      <c r="B535" s="399" t="s">
        <v>2571</v>
      </c>
      <c r="C535" s="92" t="s">
        <v>51</v>
      </c>
      <c r="D535" s="399" t="s">
        <v>2572</v>
      </c>
      <c r="E535" s="150" t="s">
        <v>2573</v>
      </c>
      <c r="F535" s="238" t="s">
        <v>635</v>
      </c>
      <c r="G535" s="473"/>
      <c r="H535" s="99">
        <v>3</v>
      </c>
      <c r="I535" s="99">
        <v>3</v>
      </c>
      <c r="J535" s="385">
        <v>50</v>
      </c>
      <c r="K535" s="114">
        <v>16.670000000000002</v>
      </c>
      <c r="L535" s="338" t="s">
        <v>563</v>
      </c>
    </row>
    <row r="536" spans="1:12" ht="15" customHeight="1">
      <c r="A536" s="134" t="s">
        <v>2548</v>
      </c>
      <c r="B536" s="399" t="s">
        <v>2574</v>
      </c>
      <c r="C536" s="92" t="s">
        <v>51</v>
      </c>
      <c r="D536" s="474" t="s">
        <v>2575</v>
      </c>
      <c r="E536" s="475" t="s">
        <v>2576</v>
      </c>
      <c r="F536" s="238" t="s">
        <v>635</v>
      </c>
      <c r="G536" s="476"/>
      <c r="H536" s="99">
        <v>1</v>
      </c>
      <c r="I536" s="99">
        <v>1</v>
      </c>
      <c r="J536" s="385">
        <v>50</v>
      </c>
      <c r="K536" s="114">
        <v>50</v>
      </c>
      <c r="L536" s="338" t="s">
        <v>563</v>
      </c>
    </row>
    <row r="537" spans="1:12" ht="15" customHeight="1">
      <c r="A537" s="399" t="s">
        <v>2577</v>
      </c>
      <c r="B537" s="399" t="s">
        <v>2578</v>
      </c>
      <c r="C537" s="228" t="s">
        <v>51</v>
      </c>
      <c r="D537" s="474" t="s">
        <v>2579</v>
      </c>
      <c r="E537" s="380" t="s">
        <v>2580</v>
      </c>
      <c r="F537" s="238" t="s">
        <v>635</v>
      </c>
      <c r="G537" s="99"/>
      <c r="H537" s="99">
        <v>2</v>
      </c>
      <c r="I537" s="99">
        <v>2</v>
      </c>
      <c r="J537" s="385">
        <v>50</v>
      </c>
      <c r="K537" s="114">
        <v>25</v>
      </c>
      <c r="L537" s="338" t="s">
        <v>563</v>
      </c>
    </row>
    <row r="538" spans="1:12" ht="15" customHeight="1">
      <c r="A538" s="399" t="s">
        <v>2581</v>
      </c>
      <c r="B538" s="399" t="s">
        <v>2582</v>
      </c>
      <c r="C538" s="228" t="s">
        <v>51</v>
      </c>
      <c r="D538" s="477" t="s">
        <v>2583</v>
      </c>
      <c r="E538" s="150" t="s">
        <v>2584</v>
      </c>
      <c r="F538" s="238" t="s">
        <v>635</v>
      </c>
      <c r="G538" s="99"/>
      <c r="H538" s="99">
        <v>2</v>
      </c>
      <c r="I538" s="99">
        <v>4</v>
      </c>
      <c r="J538" s="385">
        <v>50</v>
      </c>
      <c r="K538" s="114">
        <v>25</v>
      </c>
      <c r="L538" s="338" t="s">
        <v>563</v>
      </c>
    </row>
    <row r="539" spans="1:12" ht="15" customHeight="1">
      <c r="A539" s="478" t="s">
        <v>2585</v>
      </c>
      <c r="B539" s="478" t="s">
        <v>2586</v>
      </c>
      <c r="C539" s="479" t="s">
        <v>51</v>
      </c>
      <c r="D539" s="478" t="s">
        <v>2587</v>
      </c>
      <c r="E539" s="480" t="s">
        <v>2588</v>
      </c>
      <c r="F539" s="156" t="s">
        <v>1338</v>
      </c>
      <c r="G539" s="481">
        <v>9</v>
      </c>
      <c r="H539" s="482">
        <v>6</v>
      </c>
      <c r="I539" s="18">
        <v>9</v>
      </c>
      <c r="J539" s="462">
        <v>50</v>
      </c>
      <c r="K539" s="483">
        <f>J539/G539</f>
        <v>5.5555555555555554</v>
      </c>
      <c r="L539" s="338" t="s">
        <v>580</v>
      </c>
    </row>
    <row r="540" spans="1:12" ht="15" customHeight="1">
      <c r="A540" s="484" t="s">
        <v>2589</v>
      </c>
      <c r="B540" s="478" t="s">
        <v>2590</v>
      </c>
      <c r="C540" s="162" t="s">
        <v>51</v>
      </c>
      <c r="D540" s="484" t="s">
        <v>2591</v>
      </c>
      <c r="E540" s="365" t="s">
        <v>2592</v>
      </c>
      <c r="F540" s="162" t="s">
        <v>230</v>
      </c>
      <c r="G540" s="162">
        <v>8</v>
      </c>
      <c r="H540" s="451">
        <v>3</v>
      </c>
      <c r="I540" s="485">
        <v>8</v>
      </c>
      <c r="J540" s="485">
        <v>50</v>
      </c>
      <c r="K540" s="485">
        <f>ROUNDUP(J540/G540,2)</f>
        <v>6.25</v>
      </c>
      <c r="L540" s="338" t="s">
        <v>580</v>
      </c>
    </row>
    <row r="541" spans="1:12" ht="15" customHeight="1">
      <c r="A541" s="134" t="s">
        <v>2593</v>
      </c>
      <c r="B541" s="134" t="s">
        <v>1861</v>
      </c>
      <c r="C541" s="99" t="s">
        <v>51</v>
      </c>
      <c r="D541" s="134" t="s">
        <v>1862</v>
      </c>
      <c r="E541" s="99" t="s">
        <v>1863</v>
      </c>
      <c r="F541" s="238" t="s">
        <v>635</v>
      </c>
      <c r="G541" s="99">
        <v>2</v>
      </c>
      <c r="H541" s="99">
        <v>2</v>
      </c>
      <c r="I541" s="99">
        <v>2</v>
      </c>
      <c r="J541" s="385">
        <v>50</v>
      </c>
      <c r="K541" s="114">
        <v>25</v>
      </c>
      <c r="L541" s="338" t="s">
        <v>592</v>
      </c>
    </row>
    <row r="542" spans="1:12" ht="15" customHeight="1">
      <c r="A542" s="99" t="s">
        <v>650</v>
      </c>
      <c r="B542" s="91" t="s">
        <v>649</v>
      </c>
      <c r="C542" s="133" t="s">
        <v>51</v>
      </c>
      <c r="D542" s="486" t="s">
        <v>2594</v>
      </c>
      <c r="E542" s="487" t="s">
        <v>2595</v>
      </c>
      <c r="F542" s="99" t="s">
        <v>2133</v>
      </c>
      <c r="G542" s="119">
        <v>5</v>
      </c>
      <c r="H542" s="119">
        <v>1</v>
      </c>
      <c r="I542" s="119">
        <v>5</v>
      </c>
      <c r="J542" s="272">
        <v>50</v>
      </c>
      <c r="K542" s="185">
        <f t="shared" ref="K542:K544" si="15">50/5</f>
        <v>10</v>
      </c>
      <c r="L542" s="338" t="s">
        <v>608</v>
      </c>
    </row>
    <row r="543" spans="1:12" ht="15" customHeight="1">
      <c r="A543" s="99" t="s">
        <v>650</v>
      </c>
      <c r="B543" s="91" t="s">
        <v>649</v>
      </c>
      <c r="C543" s="133" t="s">
        <v>51</v>
      </c>
      <c r="D543" s="134" t="s">
        <v>2596</v>
      </c>
      <c r="E543" s="488" t="s">
        <v>2597</v>
      </c>
      <c r="F543" s="238" t="s">
        <v>2133</v>
      </c>
      <c r="G543" s="94">
        <v>5</v>
      </c>
      <c r="H543" s="94">
        <v>1</v>
      </c>
      <c r="I543" s="94">
        <v>5</v>
      </c>
      <c r="J543" s="385">
        <v>50</v>
      </c>
      <c r="K543" s="114">
        <f t="shared" si="15"/>
        <v>10</v>
      </c>
      <c r="L543" s="338" t="s">
        <v>608</v>
      </c>
    </row>
    <row r="544" spans="1:12" ht="15" customHeight="1">
      <c r="A544" s="99" t="s">
        <v>650</v>
      </c>
      <c r="B544" s="91" t="s">
        <v>649</v>
      </c>
      <c r="C544" s="133" t="s">
        <v>51</v>
      </c>
      <c r="D544" s="134" t="s">
        <v>2598</v>
      </c>
      <c r="E544" s="488" t="s">
        <v>2599</v>
      </c>
      <c r="F544" s="238" t="s">
        <v>2133</v>
      </c>
      <c r="G544" s="99">
        <v>5</v>
      </c>
      <c r="H544" s="99">
        <v>1</v>
      </c>
      <c r="I544" s="99">
        <v>5</v>
      </c>
      <c r="J544" s="385">
        <v>50</v>
      </c>
      <c r="K544" s="114">
        <f t="shared" si="15"/>
        <v>10</v>
      </c>
      <c r="L544" s="338" t="s">
        <v>608</v>
      </c>
    </row>
    <row r="545" spans="1:12" ht="15" customHeight="1">
      <c r="A545" s="134" t="s">
        <v>2600</v>
      </c>
      <c r="B545" s="134" t="s">
        <v>2601</v>
      </c>
      <c r="C545" s="99" t="s">
        <v>51</v>
      </c>
      <c r="D545" s="134" t="s">
        <v>2602</v>
      </c>
      <c r="E545" s="488" t="s">
        <v>2603</v>
      </c>
      <c r="F545" s="238" t="s">
        <v>2133</v>
      </c>
      <c r="G545" s="99">
        <v>3</v>
      </c>
      <c r="H545" s="99">
        <v>1</v>
      </c>
      <c r="I545" s="99">
        <v>11</v>
      </c>
      <c r="J545" s="385">
        <v>50</v>
      </c>
      <c r="K545" s="114">
        <f t="shared" ref="K545:K554" si="16">50/3</f>
        <v>16.666666666666668</v>
      </c>
      <c r="L545" s="338" t="s">
        <v>608</v>
      </c>
    </row>
    <row r="546" spans="1:12" ht="15" customHeight="1">
      <c r="A546" s="134" t="s">
        <v>2600</v>
      </c>
      <c r="B546" s="134" t="s">
        <v>2601</v>
      </c>
      <c r="C546" s="99" t="s">
        <v>51</v>
      </c>
      <c r="D546" s="134" t="s">
        <v>2604</v>
      </c>
      <c r="E546" s="382" t="s">
        <v>2605</v>
      </c>
      <c r="F546" s="238" t="s">
        <v>2133</v>
      </c>
      <c r="G546" s="99">
        <v>3</v>
      </c>
      <c r="H546" s="99">
        <v>1</v>
      </c>
      <c r="I546" s="99">
        <v>11</v>
      </c>
      <c r="J546" s="385">
        <v>50</v>
      </c>
      <c r="K546" s="114">
        <f t="shared" si="16"/>
        <v>16.666666666666668</v>
      </c>
      <c r="L546" s="338" t="s">
        <v>608</v>
      </c>
    </row>
    <row r="547" spans="1:12" ht="15" customHeight="1">
      <c r="A547" s="134" t="s">
        <v>2600</v>
      </c>
      <c r="B547" s="134" t="s">
        <v>2601</v>
      </c>
      <c r="C547" s="99" t="s">
        <v>51</v>
      </c>
      <c r="D547" s="134" t="s">
        <v>2606</v>
      </c>
      <c r="E547" s="488" t="s">
        <v>2607</v>
      </c>
      <c r="F547" s="238" t="s">
        <v>2133</v>
      </c>
      <c r="G547" s="99">
        <v>3</v>
      </c>
      <c r="H547" s="99">
        <v>1</v>
      </c>
      <c r="I547" s="99">
        <v>11</v>
      </c>
      <c r="J547" s="125">
        <v>50</v>
      </c>
      <c r="K547" s="114">
        <f t="shared" si="16"/>
        <v>16.666666666666668</v>
      </c>
      <c r="L547" s="338" t="s">
        <v>608</v>
      </c>
    </row>
    <row r="548" spans="1:12" ht="15" customHeight="1">
      <c r="A548" s="134" t="s">
        <v>2600</v>
      </c>
      <c r="B548" s="134" t="s">
        <v>2601</v>
      </c>
      <c r="C548" s="99" t="s">
        <v>51</v>
      </c>
      <c r="D548" s="134" t="s">
        <v>2608</v>
      </c>
      <c r="E548" s="488" t="s">
        <v>2609</v>
      </c>
      <c r="F548" s="238" t="s">
        <v>2133</v>
      </c>
      <c r="G548" s="99">
        <v>3</v>
      </c>
      <c r="H548" s="99">
        <v>1</v>
      </c>
      <c r="I548" s="99">
        <v>11</v>
      </c>
      <c r="J548" s="125">
        <v>50</v>
      </c>
      <c r="K548" s="114">
        <f t="shared" si="16"/>
        <v>16.666666666666668</v>
      </c>
      <c r="L548" s="338" t="s">
        <v>608</v>
      </c>
    </row>
    <row r="549" spans="1:12" ht="15" customHeight="1">
      <c r="A549" s="134" t="s">
        <v>2600</v>
      </c>
      <c r="B549" s="134" t="s">
        <v>2601</v>
      </c>
      <c r="C549" s="99" t="s">
        <v>51</v>
      </c>
      <c r="D549" s="134" t="s">
        <v>2610</v>
      </c>
      <c r="E549" s="488" t="s">
        <v>2611</v>
      </c>
      <c r="F549" s="238" t="s">
        <v>2133</v>
      </c>
      <c r="G549" s="99">
        <v>3</v>
      </c>
      <c r="H549" s="99">
        <v>1</v>
      </c>
      <c r="I549" s="99">
        <v>11</v>
      </c>
      <c r="J549" s="125">
        <v>50</v>
      </c>
      <c r="K549" s="114">
        <f t="shared" si="16"/>
        <v>16.666666666666668</v>
      </c>
      <c r="L549" s="338" t="s">
        <v>608</v>
      </c>
    </row>
    <row r="550" spans="1:12" ht="15" customHeight="1">
      <c r="A550" s="134" t="s">
        <v>2600</v>
      </c>
      <c r="B550" s="134" t="s">
        <v>2601</v>
      </c>
      <c r="C550" s="99" t="s">
        <v>51</v>
      </c>
      <c r="D550" s="134" t="s">
        <v>2612</v>
      </c>
      <c r="E550" s="382" t="s">
        <v>2613</v>
      </c>
      <c r="F550" s="238" t="s">
        <v>635</v>
      </c>
      <c r="G550" s="99">
        <v>3</v>
      </c>
      <c r="H550" s="99">
        <v>1</v>
      </c>
      <c r="I550" s="99">
        <v>11</v>
      </c>
      <c r="J550" s="125">
        <v>50</v>
      </c>
      <c r="K550" s="114">
        <f t="shared" si="16"/>
        <v>16.666666666666668</v>
      </c>
      <c r="L550" s="338" t="s">
        <v>608</v>
      </c>
    </row>
    <row r="551" spans="1:12" ht="15" customHeight="1">
      <c r="A551" s="134" t="s">
        <v>2600</v>
      </c>
      <c r="B551" s="134" t="s">
        <v>2601</v>
      </c>
      <c r="C551" s="99" t="s">
        <v>51</v>
      </c>
      <c r="D551" s="134" t="s">
        <v>2614</v>
      </c>
      <c r="E551" s="382" t="s">
        <v>2615</v>
      </c>
      <c r="F551" s="238" t="s">
        <v>635</v>
      </c>
      <c r="G551" s="99">
        <v>3</v>
      </c>
      <c r="H551" s="99">
        <v>1</v>
      </c>
      <c r="I551" s="99">
        <v>11</v>
      </c>
      <c r="J551" s="125">
        <v>50</v>
      </c>
      <c r="K551" s="114">
        <f t="shared" si="16"/>
        <v>16.666666666666668</v>
      </c>
      <c r="L551" s="338" t="s">
        <v>608</v>
      </c>
    </row>
    <row r="552" spans="1:12" ht="15" customHeight="1">
      <c r="A552" s="134" t="s">
        <v>2600</v>
      </c>
      <c r="B552" s="134" t="s">
        <v>2601</v>
      </c>
      <c r="C552" s="99" t="s">
        <v>51</v>
      </c>
      <c r="D552" s="134" t="s">
        <v>2616</v>
      </c>
      <c r="E552" s="382" t="s">
        <v>2617</v>
      </c>
      <c r="F552" s="238" t="s">
        <v>635</v>
      </c>
      <c r="G552" s="99">
        <v>3</v>
      </c>
      <c r="H552" s="99">
        <v>1</v>
      </c>
      <c r="I552" s="99">
        <v>11</v>
      </c>
      <c r="J552" s="125">
        <v>50</v>
      </c>
      <c r="K552" s="114">
        <f t="shared" si="16"/>
        <v>16.666666666666668</v>
      </c>
      <c r="L552" s="338" t="s">
        <v>608</v>
      </c>
    </row>
    <row r="553" spans="1:12" ht="15" customHeight="1">
      <c r="A553" s="134" t="s">
        <v>2600</v>
      </c>
      <c r="B553" s="134" t="s">
        <v>2601</v>
      </c>
      <c r="C553" s="99" t="s">
        <v>51</v>
      </c>
      <c r="D553" s="134" t="s">
        <v>2618</v>
      </c>
      <c r="E553" s="382" t="s">
        <v>2619</v>
      </c>
      <c r="F553" s="238" t="s">
        <v>635</v>
      </c>
      <c r="G553" s="99">
        <v>3</v>
      </c>
      <c r="H553" s="99">
        <v>1</v>
      </c>
      <c r="I553" s="99">
        <v>11</v>
      </c>
      <c r="J553" s="125">
        <v>50</v>
      </c>
      <c r="K553" s="114">
        <f t="shared" si="16"/>
        <v>16.666666666666668</v>
      </c>
      <c r="L553" s="338" t="s">
        <v>608</v>
      </c>
    </row>
    <row r="554" spans="1:12" ht="15" customHeight="1">
      <c r="A554" s="134" t="s">
        <v>2600</v>
      </c>
      <c r="B554" s="134" t="s">
        <v>2601</v>
      </c>
      <c r="C554" s="99" t="s">
        <v>51</v>
      </c>
      <c r="D554" s="134" t="s">
        <v>2620</v>
      </c>
      <c r="E554" s="382" t="s">
        <v>2621</v>
      </c>
      <c r="F554" s="238" t="s">
        <v>635</v>
      </c>
      <c r="G554" s="99">
        <v>3</v>
      </c>
      <c r="H554" s="99">
        <v>1</v>
      </c>
      <c r="I554" s="99">
        <v>11</v>
      </c>
      <c r="J554" s="125">
        <v>50</v>
      </c>
      <c r="K554" s="114">
        <f t="shared" si="16"/>
        <v>16.666666666666668</v>
      </c>
      <c r="L554" s="338" t="s">
        <v>608</v>
      </c>
    </row>
    <row r="555" spans="1:12" ht="15" customHeight="1">
      <c r="A555" s="134" t="s">
        <v>2622</v>
      </c>
      <c r="B555" s="134" t="s">
        <v>2623</v>
      </c>
      <c r="C555" s="99" t="s">
        <v>51</v>
      </c>
      <c r="D555" s="134" t="s">
        <v>2624</v>
      </c>
      <c r="E555" s="488" t="s">
        <v>2625</v>
      </c>
      <c r="F555" s="238" t="s">
        <v>2133</v>
      </c>
      <c r="G555" s="99">
        <v>1</v>
      </c>
      <c r="H555" s="99">
        <v>1</v>
      </c>
      <c r="I555" s="99">
        <v>1</v>
      </c>
      <c r="J555" s="125">
        <v>50</v>
      </c>
      <c r="K555" s="114">
        <v>50</v>
      </c>
      <c r="L555" s="338" t="s">
        <v>608</v>
      </c>
    </row>
    <row r="556" spans="1:12" ht="15" customHeight="1">
      <c r="A556" s="134" t="s">
        <v>2626</v>
      </c>
      <c r="B556" s="134" t="s">
        <v>2627</v>
      </c>
      <c r="C556" s="99" t="s">
        <v>51</v>
      </c>
      <c r="D556" s="134" t="s">
        <v>2628</v>
      </c>
      <c r="E556" s="488" t="s">
        <v>2629</v>
      </c>
      <c r="F556" s="238" t="s">
        <v>2133</v>
      </c>
      <c r="G556" s="99">
        <v>8</v>
      </c>
      <c r="H556" s="99">
        <v>2</v>
      </c>
      <c r="I556" s="99">
        <v>8</v>
      </c>
      <c r="J556" s="125">
        <v>50</v>
      </c>
      <c r="K556" s="114">
        <v>6.25</v>
      </c>
      <c r="L556" s="338" t="s">
        <v>608</v>
      </c>
    </row>
    <row r="557" spans="1:12" ht="15" customHeight="1">
      <c r="A557" s="134" t="s">
        <v>2630</v>
      </c>
      <c r="B557" s="134" t="s">
        <v>2631</v>
      </c>
      <c r="C557" s="99" t="s">
        <v>51</v>
      </c>
      <c r="D557" s="134" t="s">
        <v>2632</v>
      </c>
      <c r="E557" s="488" t="s">
        <v>2633</v>
      </c>
      <c r="F557" s="238" t="s">
        <v>2133</v>
      </c>
      <c r="G557" s="99">
        <v>9</v>
      </c>
      <c r="H557" s="99">
        <v>1</v>
      </c>
      <c r="I557" s="99">
        <v>9</v>
      </c>
      <c r="J557" s="125">
        <v>50</v>
      </c>
      <c r="K557" s="114">
        <f t="shared" ref="K557:K562" si="17">50/9</f>
        <v>5.5555555555555554</v>
      </c>
      <c r="L557" s="338" t="s">
        <v>608</v>
      </c>
    </row>
    <row r="558" spans="1:12" ht="15" customHeight="1">
      <c r="A558" s="134" t="s">
        <v>2630</v>
      </c>
      <c r="B558" s="134" t="s">
        <v>2631</v>
      </c>
      <c r="C558" s="99" t="s">
        <v>51</v>
      </c>
      <c r="D558" s="134" t="s">
        <v>2634</v>
      </c>
      <c r="E558" s="488" t="s">
        <v>2635</v>
      </c>
      <c r="F558" s="238" t="s">
        <v>2133</v>
      </c>
      <c r="G558" s="99">
        <v>9</v>
      </c>
      <c r="H558" s="99">
        <v>1</v>
      </c>
      <c r="I558" s="99">
        <v>9</v>
      </c>
      <c r="J558" s="125">
        <v>50</v>
      </c>
      <c r="K558" s="114">
        <f t="shared" si="17"/>
        <v>5.5555555555555554</v>
      </c>
      <c r="L558" s="338" t="s">
        <v>608</v>
      </c>
    </row>
    <row r="559" spans="1:12" ht="15" customHeight="1">
      <c r="A559" s="134" t="s">
        <v>2630</v>
      </c>
      <c r="B559" s="134" t="s">
        <v>2631</v>
      </c>
      <c r="C559" s="99" t="s">
        <v>51</v>
      </c>
      <c r="D559" s="134" t="s">
        <v>2636</v>
      </c>
      <c r="E559" s="488" t="s">
        <v>2637</v>
      </c>
      <c r="F559" s="238" t="s">
        <v>2133</v>
      </c>
      <c r="G559" s="99">
        <v>9</v>
      </c>
      <c r="H559" s="99">
        <v>1</v>
      </c>
      <c r="I559" s="99">
        <v>9</v>
      </c>
      <c r="J559" s="125">
        <v>50</v>
      </c>
      <c r="K559" s="114">
        <f t="shared" si="17"/>
        <v>5.5555555555555554</v>
      </c>
      <c r="L559" s="338" t="s">
        <v>608</v>
      </c>
    </row>
    <row r="560" spans="1:12" ht="15" customHeight="1">
      <c r="A560" s="134" t="s">
        <v>2630</v>
      </c>
      <c r="B560" s="134" t="s">
        <v>2631</v>
      </c>
      <c r="C560" s="99" t="s">
        <v>51</v>
      </c>
      <c r="D560" s="134" t="s">
        <v>2638</v>
      </c>
      <c r="E560" s="488" t="s">
        <v>2639</v>
      </c>
      <c r="F560" s="238" t="s">
        <v>2133</v>
      </c>
      <c r="G560" s="99">
        <v>9</v>
      </c>
      <c r="H560" s="99">
        <v>1</v>
      </c>
      <c r="I560" s="99">
        <v>9</v>
      </c>
      <c r="J560" s="125">
        <v>50</v>
      </c>
      <c r="K560" s="114">
        <f t="shared" si="17"/>
        <v>5.5555555555555554</v>
      </c>
      <c r="L560" s="338" t="s">
        <v>608</v>
      </c>
    </row>
    <row r="561" spans="1:12" ht="15" customHeight="1">
      <c r="A561" s="134" t="s">
        <v>2630</v>
      </c>
      <c r="B561" s="134" t="s">
        <v>2631</v>
      </c>
      <c r="C561" s="99" t="s">
        <v>51</v>
      </c>
      <c r="D561" s="134" t="s">
        <v>2640</v>
      </c>
      <c r="E561" s="488" t="s">
        <v>2641</v>
      </c>
      <c r="F561" s="238" t="s">
        <v>2133</v>
      </c>
      <c r="G561" s="99">
        <v>9</v>
      </c>
      <c r="H561" s="99">
        <v>1</v>
      </c>
      <c r="I561" s="99">
        <v>9</v>
      </c>
      <c r="J561" s="125">
        <v>50</v>
      </c>
      <c r="K561" s="114">
        <f t="shared" si="17"/>
        <v>5.5555555555555554</v>
      </c>
      <c r="L561" s="338" t="s">
        <v>608</v>
      </c>
    </row>
    <row r="562" spans="1:12" ht="15" customHeight="1">
      <c r="A562" s="134" t="s">
        <v>2630</v>
      </c>
      <c r="B562" s="134" t="s">
        <v>2631</v>
      </c>
      <c r="C562" s="99" t="s">
        <v>51</v>
      </c>
      <c r="D562" s="134" t="s">
        <v>2642</v>
      </c>
      <c r="E562" s="488" t="s">
        <v>2643</v>
      </c>
      <c r="F562" s="238" t="s">
        <v>2133</v>
      </c>
      <c r="G562" s="99">
        <v>9</v>
      </c>
      <c r="H562" s="99">
        <v>1</v>
      </c>
      <c r="I562" s="99">
        <v>9</v>
      </c>
      <c r="J562" s="125">
        <v>50</v>
      </c>
      <c r="K562" s="114">
        <f t="shared" si="17"/>
        <v>5.5555555555555554</v>
      </c>
      <c r="L562" s="338" t="s">
        <v>608</v>
      </c>
    </row>
    <row r="563" spans="1:12" ht="15" customHeight="1">
      <c r="A563" s="134" t="s">
        <v>2644</v>
      </c>
      <c r="B563" s="134" t="s">
        <v>2645</v>
      </c>
      <c r="C563" s="99" t="s">
        <v>51</v>
      </c>
      <c r="D563" s="134" t="s">
        <v>2646</v>
      </c>
      <c r="E563" s="488" t="s">
        <v>2647</v>
      </c>
      <c r="F563" s="238" t="s">
        <v>2133</v>
      </c>
      <c r="G563" s="99">
        <v>3</v>
      </c>
      <c r="H563" s="99">
        <v>2</v>
      </c>
      <c r="I563" s="99">
        <v>3</v>
      </c>
      <c r="J563" s="125">
        <v>50</v>
      </c>
      <c r="K563" s="114">
        <f t="shared" ref="K563:K568" si="18">50/3</f>
        <v>16.666666666666668</v>
      </c>
      <c r="L563" s="338" t="s">
        <v>608</v>
      </c>
    </row>
    <row r="564" spans="1:12" ht="15" customHeight="1">
      <c r="A564" s="134" t="s">
        <v>2644</v>
      </c>
      <c r="B564" s="134" t="s">
        <v>2645</v>
      </c>
      <c r="C564" s="99" t="s">
        <v>51</v>
      </c>
      <c r="D564" s="134" t="s">
        <v>2648</v>
      </c>
      <c r="E564" s="488" t="s">
        <v>2649</v>
      </c>
      <c r="F564" s="238" t="s">
        <v>2133</v>
      </c>
      <c r="G564" s="99">
        <v>3</v>
      </c>
      <c r="H564" s="99">
        <v>2</v>
      </c>
      <c r="I564" s="99">
        <v>3</v>
      </c>
      <c r="J564" s="125">
        <v>50</v>
      </c>
      <c r="K564" s="114">
        <f t="shared" si="18"/>
        <v>16.666666666666668</v>
      </c>
      <c r="L564" s="338" t="s">
        <v>608</v>
      </c>
    </row>
    <row r="565" spans="1:12" ht="15" customHeight="1">
      <c r="A565" s="134" t="s">
        <v>2644</v>
      </c>
      <c r="B565" s="134" t="s">
        <v>2645</v>
      </c>
      <c r="C565" s="99" t="s">
        <v>51</v>
      </c>
      <c r="D565" s="134" t="s">
        <v>2650</v>
      </c>
      <c r="E565" s="488" t="s">
        <v>2651</v>
      </c>
      <c r="F565" s="238" t="s">
        <v>2133</v>
      </c>
      <c r="G565" s="99">
        <v>3</v>
      </c>
      <c r="H565" s="99">
        <v>2</v>
      </c>
      <c r="I565" s="99">
        <v>3</v>
      </c>
      <c r="J565" s="125">
        <v>50</v>
      </c>
      <c r="K565" s="114">
        <f t="shared" si="18"/>
        <v>16.666666666666668</v>
      </c>
      <c r="L565" s="338" t="s">
        <v>608</v>
      </c>
    </row>
    <row r="566" spans="1:12" ht="15" customHeight="1">
      <c r="A566" s="134" t="s">
        <v>2644</v>
      </c>
      <c r="B566" s="134" t="s">
        <v>2645</v>
      </c>
      <c r="C566" s="99" t="s">
        <v>51</v>
      </c>
      <c r="D566" s="134" t="s">
        <v>2652</v>
      </c>
      <c r="E566" s="488" t="s">
        <v>2653</v>
      </c>
      <c r="F566" s="238" t="s">
        <v>2133</v>
      </c>
      <c r="G566" s="99">
        <v>3</v>
      </c>
      <c r="H566" s="99">
        <v>2</v>
      </c>
      <c r="I566" s="99">
        <v>3</v>
      </c>
      <c r="J566" s="125">
        <v>50</v>
      </c>
      <c r="K566" s="114">
        <f t="shared" si="18"/>
        <v>16.666666666666668</v>
      </c>
      <c r="L566" s="338" t="s">
        <v>608</v>
      </c>
    </row>
    <row r="567" spans="1:12" ht="15" customHeight="1">
      <c r="A567" s="134" t="s">
        <v>2644</v>
      </c>
      <c r="B567" s="134" t="s">
        <v>2645</v>
      </c>
      <c r="C567" s="99" t="s">
        <v>51</v>
      </c>
      <c r="D567" s="134" t="s">
        <v>2654</v>
      </c>
      <c r="E567" s="488" t="s">
        <v>2655</v>
      </c>
      <c r="F567" s="238" t="s">
        <v>2133</v>
      </c>
      <c r="G567" s="99">
        <v>3</v>
      </c>
      <c r="H567" s="99">
        <v>2</v>
      </c>
      <c r="I567" s="99">
        <v>3</v>
      </c>
      <c r="J567" s="125">
        <v>50</v>
      </c>
      <c r="K567" s="114">
        <f t="shared" si="18"/>
        <v>16.666666666666668</v>
      </c>
      <c r="L567" s="338" t="s">
        <v>608</v>
      </c>
    </row>
    <row r="568" spans="1:12" ht="15" customHeight="1">
      <c r="A568" s="134" t="s">
        <v>2656</v>
      </c>
      <c r="B568" s="134" t="s">
        <v>2657</v>
      </c>
      <c r="C568" s="99" t="s">
        <v>51</v>
      </c>
      <c r="D568" s="134" t="s">
        <v>2658</v>
      </c>
      <c r="E568" s="488" t="s">
        <v>2659</v>
      </c>
      <c r="F568" s="238" t="s">
        <v>2133</v>
      </c>
      <c r="G568" s="99">
        <v>3</v>
      </c>
      <c r="H568" s="99">
        <v>1</v>
      </c>
      <c r="I568" s="99">
        <v>9</v>
      </c>
      <c r="J568" s="125">
        <v>50</v>
      </c>
      <c r="K568" s="114">
        <f t="shared" si="18"/>
        <v>16.666666666666668</v>
      </c>
      <c r="L568" s="338" t="s">
        <v>608</v>
      </c>
    </row>
    <row r="569" spans="1:12" ht="15" customHeight="1">
      <c r="A569" s="99" t="s">
        <v>2660</v>
      </c>
      <c r="B569" s="134" t="s">
        <v>2661</v>
      </c>
      <c r="C569" s="99" t="s">
        <v>51</v>
      </c>
      <c r="D569" s="399" t="s">
        <v>2662</v>
      </c>
      <c r="E569" s="488" t="s">
        <v>2663</v>
      </c>
      <c r="F569" s="238" t="s">
        <v>2133</v>
      </c>
      <c r="G569" s="99">
        <v>7</v>
      </c>
      <c r="H569" s="99">
        <v>1</v>
      </c>
      <c r="I569" s="99">
        <v>7</v>
      </c>
      <c r="J569" s="125">
        <v>50</v>
      </c>
      <c r="K569" s="114">
        <f>50/7</f>
        <v>7.1428571428571432</v>
      </c>
      <c r="L569" s="338" t="s">
        <v>608</v>
      </c>
    </row>
    <row r="570" spans="1:12" ht="15" customHeight="1">
      <c r="A570" s="134" t="s">
        <v>2664</v>
      </c>
      <c r="B570" s="134" t="s">
        <v>2665</v>
      </c>
      <c r="C570" s="99" t="s">
        <v>51</v>
      </c>
      <c r="D570" s="134" t="s">
        <v>2666</v>
      </c>
      <c r="E570" s="488" t="s">
        <v>2667</v>
      </c>
      <c r="F570" s="238" t="s">
        <v>2133</v>
      </c>
      <c r="G570" s="99">
        <v>3</v>
      </c>
      <c r="H570" s="99">
        <v>1</v>
      </c>
      <c r="I570" s="99">
        <v>5</v>
      </c>
      <c r="J570" s="125">
        <v>50</v>
      </c>
      <c r="K570" s="114">
        <f t="shared" ref="K570:K573" si="19">50/3</f>
        <v>16.666666666666668</v>
      </c>
      <c r="L570" s="338" t="s">
        <v>608</v>
      </c>
    </row>
    <row r="571" spans="1:12" ht="15" customHeight="1">
      <c r="A571" s="134" t="s">
        <v>2664</v>
      </c>
      <c r="B571" s="134" t="s">
        <v>2665</v>
      </c>
      <c r="C571" s="99" t="s">
        <v>51</v>
      </c>
      <c r="D571" s="134" t="s">
        <v>2668</v>
      </c>
      <c r="E571" s="382" t="s">
        <v>2669</v>
      </c>
      <c r="F571" s="238" t="s">
        <v>2133</v>
      </c>
      <c r="G571" s="99">
        <v>3</v>
      </c>
      <c r="H571" s="99">
        <v>1</v>
      </c>
      <c r="I571" s="99">
        <v>5</v>
      </c>
      <c r="J571" s="125">
        <v>50</v>
      </c>
      <c r="K571" s="114">
        <f t="shared" si="19"/>
        <v>16.666666666666668</v>
      </c>
      <c r="L571" s="338" t="s">
        <v>608</v>
      </c>
    </row>
    <row r="572" spans="1:12" ht="15" customHeight="1">
      <c r="A572" s="134" t="s">
        <v>2664</v>
      </c>
      <c r="B572" s="134" t="s">
        <v>2665</v>
      </c>
      <c r="C572" s="99" t="s">
        <v>51</v>
      </c>
      <c r="D572" s="134" t="s">
        <v>2670</v>
      </c>
      <c r="E572" s="382" t="s">
        <v>2671</v>
      </c>
      <c r="F572" s="238" t="s">
        <v>2133</v>
      </c>
      <c r="G572" s="99">
        <v>3</v>
      </c>
      <c r="H572" s="99">
        <v>1</v>
      </c>
      <c r="I572" s="99">
        <v>5</v>
      </c>
      <c r="J572" s="125">
        <v>50</v>
      </c>
      <c r="K572" s="114">
        <f t="shared" si="19"/>
        <v>16.666666666666668</v>
      </c>
      <c r="L572" s="338" t="s">
        <v>608</v>
      </c>
    </row>
    <row r="573" spans="1:12" ht="15" customHeight="1">
      <c r="A573" s="134" t="s">
        <v>2664</v>
      </c>
      <c r="B573" s="134" t="s">
        <v>2665</v>
      </c>
      <c r="C573" s="99" t="s">
        <v>51</v>
      </c>
      <c r="D573" s="134" t="s">
        <v>2672</v>
      </c>
      <c r="E573" s="382" t="s">
        <v>2673</v>
      </c>
      <c r="F573" s="238" t="s">
        <v>2133</v>
      </c>
      <c r="G573" s="99">
        <v>3</v>
      </c>
      <c r="H573" s="99">
        <v>1</v>
      </c>
      <c r="I573" s="99">
        <v>5</v>
      </c>
      <c r="J573" s="125">
        <v>50</v>
      </c>
      <c r="K573" s="114">
        <f t="shared" si="19"/>
        <v>16.666666666666668</v>
      </c>
      <c r="L573" s="338" t="s">
        <v>608</v>
      </c>
    </row>
    <row r="574" spans="1:12" ht="15" customHeight="1">
      <c r="A574" s="469" t="s">
        <v>2674</v>
      </c>
      <c r="B574" s="134" t="s">
        <v>2675</v>
      </c>
      <c r="C574" s="99" t="s">
        <v>51</v>
      </c>
      <c r="D574" s="134" t="s">
        <v>2676</v>
      </c>
      <c r="E574" s="382" t="s">
        <v>2677</v>
      </c>
      <c r="F574" s="238" t="s">
        <v>2133</v>
      </c>
      <c r="G574" s="99">
        <v>2</v>
      </c>
      <c r="H574" s="99">
        <v>1</v>
      </c>
      <c r="I574" s="99">
        <v>3</v>
      </c>
      <c r="J574" s="125">
        <v>50</v>
      </c>
      <c r="K574" s="114">
        <f t="shared" ref="K574:K576" si="20">50/2</f>
        <v>25</v>
      </c>
      <c r="L574" s="338" t="s">
        <v>608</v>
      </c>
    </row>
    <row r="575" spans="1:12" ht="15" customHeight="1">
      <c r="A575" s="134" t="s">
        <v>2678</v>
      </c>
      <c r="B575" s="134" t="s">
        <v>2679</v>
      </c>
      <c r="C575" s="99" t="s">
        <v>51</v>
      </c>
      <c r="D575" s="134" t="s">
        <v>2680</v>
      </c>
      <c r="E575" s="382" t="s">
        <v>2681</v>
      </c>
      <c r="F575" s="238" t="s">
        <v>635</v>
      </c>
      <c r="G575" s="99">
        <v>2</v>
      </c>
      <c r="H575" s="99">
        <v>2</v>
      </c>
      <c r="I575" s="99">
        <v>3</v>
      </c>
      <c r="J575" s="125">
        <v>50</v>
      </c>
      <c r="K575" s="114">
        <f t="shared" si="20"/>
        <v>25</v>
      </c>
      <c r="L575" s="338" t="s">
        <v>608</v>
      </c>
    </row>
    <row r="576" spans="1:12" ht="15" customHeight="1">
      <c r="A576" s="134" t="s">
        <v>2678</v>
      </c>
      <c r="B576" s="134" t="s">
        <v>2679</v>
      </c>
      <c r="C576" s="99" t="s">
        <v>51</v>
      </c>
      <c r="D576" s="489" t="s">
        <v>2682</v>
      </c>
      <c r="E576" s="382" t="s">
        <v>2683</v>
      </c>
      <c r="F576" s="238" t="s">
        <v>635</v>
      </c>
      <c r="G576" s="99">
        <v>2</v>
      </c>
      <c r="H576" s="99">
        <v>2</v>
      </c>
      <c r="I576" s="99">
        <v>3</v>
      </c>
      <c r="J576" s="125">
        <v>50</v>
      </c>
      <c r="K576" s="114">
        <f t="shared" si="20"/>
        <v>25</v>
      </c>
      <c r="L576" s="338" t="s">
        <v>608</v>
      </c>
    </row>
    <row r="577" spans="1:12" ht="15" customHeight="1">
      <c r="A577" s="134" t="s">
        <v>2684</v>
      </c>
      <c r="B577" s="134" t="s">
        <v>2685</v>
      </c>
      <c r="C577" s="99" t="s">
        <v>51</v>
      </c>
      <c r="D577" s="134" t="s">
        <v>2686</v>
      </c>
      <c r="E577" s="382" t="s">
        <v>2687</v>
      </c>
      <c r="F577" s="238" t="s">
        <v>635</v>
      </c>
      <c r="G577" s="99">
        <v>6</v>
      </c>
      <c r="H577" s="99">
        <v>1</v>
      </c>
      <c r="I577" s="99">
        <v>7</v>
      </c>
      <c r="J577" s="125">
        <v>50</v>
      </c>
      <c r="K577" s="114">
        <f t="shared" ref="K577:K586" si="21">50/6</f>
        <v>8.3333333333333339</v>
      </c>
      <c r="L577" s="338" t="s">
        <v>608</v>
      </c>
    </row>
    <row r="578" spans="1:12" ht="15" customHeight="1">
      <c r="A578" s="134" t="s">
        <v>2684</v>
      </c>
      <c r="B578" s="134" t="s">
        <v>2685</v>
      </c>
      <c r="C578" s="99" t="s">
        <v>51</v>
      </c>
      <c r="D578" s="134" t="s">
        <v>2688</v>
      </c>
      <c r="E578" s="382" t="s">
        <v>2689</v>
      </c>
      <c r="F578" s="238" t="s">
        <v>635</v>
      </c>
      <c r="G578" s="99">
        <v>6</v>
      </c>
      <c r="H578" s="99">
        <v>1</v>
      </c>
      <c r="I578" s="99">
        <v>7</v>
      </c>
      <c r="J578" s="125">
        <v>50</v>
      </c>
      <c r="K578" s="114">
        <f t="shared" si="21"/>
        <v>8.3333333333333339</v>
      </c>
      <c r="L578" s="338" t="s">
        <v>608</v>
      </c>
    </row>
    <row r="579" spans="1:12" ht="15" customHeight="1">
      <c r="A579" s="134" t="s">
        <v>2684</v>
      </c>
      <c r="B579" s="134" t="s">
        <v>2685</v>
      </c>
      <c r="C579" s="99" t="s">
        <v>51</v>
      </c>
      <c r="D579" s="134" t="s">
        <v>2690</v>
      </c>
      <c r="E579" s="382" t="s">
        <v>2691</v>
      </c>
      <c r="F579" s="238" t="s">
        <v>635</v>
      </c>
      <c r="G579" s="99">
        <v>6</v>
      </c>
      <c r="H579" s="99">
        <v>1</v>
      </c>
      <c r="I579" s="99">
        <v>7</v>
      </c>
      <c r="J579" s="125">
        <v>50</v>
      </c>
      <c r="K579" s="114">
        <f t="shared" si="21"/>
        <v>8.3333333333333339</v>
      </c>
      <c r="L579" s="338" t="s">
        <v>608</v>
      </c>
    </row>
    <row r="580" spans="1:12" ht="15" customHeight="1">
      <c r="A580" s="134" t="s">
        <v>2684</v>
      </c>
      <c r="B580" s="134" t="s">
        <v>2685</v>
      </c>
      <c r="C580" s="99" t="s">
        <v>51</v>
      </c>
      <c r="D580" s="134" t="s">
        <v>2692</v>
      </c>
      <c r="E580" s="382" t="s">
        <v>2693</v>
      </c>
      <c r="F580" s="238" t="s">
        <v>635</v>
      </c>
      <c r="G580" s="99">
        <v>6</v>
      </c>
      <c r="H580" s="99">
        <v>1</v>
      </c>
      <c r="I580" s="99">
        <v>7</v>
      </c>
      <c r="J580" s="125">
        <v>50</v>
      </c>
      <c r="K580" s="114">
        <f t="shared" si="21"/>
        <v>8.3333333333333339</v>
      </c>
      <c r="L580" s="338" t="s">
        <v>608</v>
      </c>
    </row>
    <row r="581" spans="1:12" ht="15" customHeight="1">
      <c r="A581" s="134" t="s">
        <v>2684</v>
      </c>
      <c r="B581" s="134" t="s">
        <v>2685</v>
      </c>
      <c r="C581" s="99" t="s">
        <v>51</v>
      </c>
      <c r="D581" s="134" t="s">
        <v>2694</v>
      </c>
      <c r="E581" s="382" t="s">
        <v>2695</v>
      </c>
      <c r="F581" s="238" t="s">
        <v>635</v>
      </c>
      <c r="G581" s="99">
        <v>6</v>
      </c>
      <c r="H581" s="99">
        <v>1</v>
      </c>
      <c r="I581" s="99">
        <v>7</v>
      </c>
      <c r="J581" s="125">
        <v>50</v>
      </c>
      <c r="K581" s="114">
        <f t="shared" si="21"/>
        <v>8.3333333333333339</v>
      </c>
      <c r="L581" s="338" t="s">
        <v>608</v>
      </c>
    </row>
    <row r="582" spans="1:12" ht="15" customHeight="1">
      <c r="A582" s="134" t="s">
        <v>2684</v>
      </c>
      <c r="B582" s="134" t="s">
        <v>2685</v>
      </c>
      <c r="C582" s="99" t="s">
        <v>51</v>
      </c>
      <c r="D582" s="134" t="s">
        <v>2696</v>
      </c>
      <c r="E582" s="382" t="s">
        <v>2697</v>
      </c>
      <c r="F582" s="238" t="s">
        <v>635</v>
      </c>
      <c r="G582" s="99">
        <v>6</v>
      </c>
      <c r="H582" s="99">
        <v>1</v>
      </c>
      <c r="I582" s="99">
        <v>7</v>
      </c>
      <c r="J582" s="125">
        <v>50</v>
      </c>
      <c r="K582" s="114">
        <f t="shared" si="21"/>
        <v>8.3333333333333339</v>
      </c>
      <c r="L582" s="338" t="s">
        <v>608</v>
      </c>
    </row>
    <row r="583" spans="1:12" ht="15" customHeight="1">
      <c r="A583" s="134" t="s">
        <v>2684</v>
      </c>
      <c r="B583" s="134" t="s">
        <v>2685</v>
      </c>
      <c r="C583" s="99" t="s">
        <v>51</v>
      </c>
      <c r="D583" s="134" t="s">
        <v>2698</v>
      </c>
      <c r="E583" s="382" t="s">
        <v>2699</v>
      </c>
      <c r="F583" s="238" t="s">
        <v>635</v>
      </c>
      <c r="G583" s="99">
        <v>6</v>
      </c>
      <c r="H583" s="99">
        <v>1</v>
      </c>
      <c r="I583" s="99">
        <v>7</v>
      </c>
      <c r="J583" s="125">
        <v>50</v>
      </c>
      <c r="K583" s="114">
        <f t="shared" si="21"/>
        <v>8.3333333333333339</v>
      </c>
      <c r="L583" s="338" t="s">
        <v>608</v>
      </c>
    </row>
    <row r="584" spans="1:12" ht="15" customHeight="1">
      <c r="A584" s="134" t="s">
        <v>2684</v>
      </c>
      <c r="B584" s="134" t="s">
        <v>2685</v>
      </c>
      <c r="C584" s="99" t="s">
        <v>51</v>
      </c>
      <c r="D584" s="134" t="s">
        <v>2700</v>
      </c>
      <c r="E584" s="382" t="s">
        <v>2701</v>
      </c>
      <c r="F584" s="238" t="s">
        <v>635</v>
      </c>
      <c r="G584" s="99">
        <v>6</v>
      </c>
      <c r="H584" s="99">
        <v>1</v>
      </c>
      <c r="I584" s="99">
        <v>7</v>
      </c>
      <c r="J584" s="125">
        <v>50</v>
      </c>
      <c r="K584" s="114">
        <f t="shared" si="21"/>
        <v>8.3333333333333339</v>
      </c>
      <c r="L584" s="338" t="s">
        <v>608</v>
      </c>
    </row>
    <row r="585" spans="1:12" ht="15" customHeight="1">
      <c r="A585" s="256" t="s">
        <v>2684</v>
      </c>
      <c r="B585" s="256" t="s">
        <v>2685</v>
      </c>
      <c r="C585" s="177" t="s">
        <v>51</v>
      </c>
      <c r="D585" s="256" t="s">
        <v>2702</v>
      </c>
      <c r="E585" s="371" t="s">
        <v>2703</v>
      </c>
      <c r="F585" s="424" t="s">
        <v>635</v>
      </c>
      <c r="G585" s="177">
        <v>6</v>
      </c>
      <c r="H585" s="177">
        <v>1</v>
      </c>
      <c r="I585" s="177">
        <v>7</v>
      </c>
      <c r="J585" s="425">
        <v>50</v>
      </c>
      <c r="K585" s="179">
        <f t="shared" si="21"/>
        <v>8.3333333333333339</v>
      </c>
      <c r="L585" s="338" t="s">
        <v>608</v>
      </c>
    </row>
    <row r="586" spans="1:12" ht="15" customHeight="1">
      <c r="A586" s="134" t="s">
        <v>2684</v>
      </c>
      <c r="B586" s="134" t="s">
        <v>2685</v>
      </c>
      <c r="C586" s="99" t="s">
        <v>51</v>
      </c>
      <c r="D586" s="134" t="s">
        <v>2704</v>
      </c>
      <c r="E586" s="382" t="s">
        <v>2705</v>
      </c>
      <c r="F586" s="238" t="s">
        <v>635</v>
      </c>
      <c r="G586" s="99">
        <v>6</v>
      </c>
      <c r="H586" s="99">
        <v>1</v>
      </c>
      <c r="I586" s="99">
        <v>7</v>
      </c>
      <c r="J586" s="125">
        <v>50</v>
      </c>
      <c r="K586" s="114">
        <f t="shared" si="21"/>
        <v>8.3333333333333339</v>
      </c>
      <c r="L586" s="338" t="s">
        <v>608</v>
      </c>
    </row>
    <row r="587" spans="1:12" ht="15" customHeight="1">
      <c r="A587" s="134" t="s">
        <v>2706</v>
      </c>
      <c r="B587" s="134" t="s">
        <v>2707</v>
      </c>
      <c r="C587" s="99" t="s">
        <v>51</v>
      </c>
      <c r="D587" s="134" t="s">
        <v>2708</v>
      </c>
      <c r="E587" s="382" t="s">
        <v>2709</v>
      </c>
      <c r="F587" s="238" t="s">
        <v>635</v>
      </c>
      <c r="G587" s="99">
        <v>2</v>
      </c>
      <c r="H587" s="99">
        <v>1</v>
      </c>
      <c r="I587" s="99">
        <v>12</v>
      </c>
      <c r="J587" s="125">
        <v>50</v>
      </c>
      <c r="K587" s="114">
        <f t="shared" ref="K587:K591" si="22">50/2</f>
        <v>25</v>
      </c>
      <c r="L587" s="338" t="s">
        <v>608</v>
      </c>
    </row>
    <row r="588" spans="1:12" ht="15" customHeight="1">
      <c r="A588" s="134" t="s">
        <v>2706</v>
      </c>
      <c r="B588" s="134" t="s">
        <v>2707</v>
      </c>
      <c r="C588" s="99" t="s">
        <v>51</v>
      </c>
      <c r="D588" s="134" t="s">
        <v>2710</v>
      </c>
      <c r="E588" s="382" t="s">
        <v>2711</v>
      </c>
      <c r="F588" s="238" t="s">
        <v>635</v>
      </c>
      <c r="G588" s="99">
        <v>2</v>
      </c>
      <c r="H588" s="99">
        <v>1</v>
      </c>
      <c r="I588" s="99">
        <v>12</v>
      </c>
      <c r="J588" s="125">
        <v>50</v>
      </c>
      <c r="K588" s="114">
        <f t="shared" si="22"/>
        <v>25</v>
      </c>
      <c r="L588" s="338" t="s">
        <v>608</v>
      </c>
    </row>
    <row r="589" spans="1:12" ht="15" customHeight="1">
      <c r="A589" s="134" t="s">
        <v>2706</v>
      </c>
      <c r="B589" s="134" t="s">
        <v>2707</v>
      </c>
      <c r="C589" s="99" t="s">
        <v>51</v>
      </c>
      <c r="D589" s="134" t="s">
        <v>2712</v>
      </c>
      <c r="E589" s="382" t="s">
        <v>2713</v>
      </c>
      <c r="F589" s="238" t="s">
        <v>635</v>
      </c>
      <c r="G589" s="99">
        <v>2</v>
      </c>
      <c r="H589" s="99">
        <v>1</v>
      </c>
      <c r="I589" s="99">
        <v>12</v>
      </c>
      <c r="J589" s="125">
        <v>50</v>
      </c>
      <c r="K589" s="114">
        <f t="shared" si="22"/>
        <v>25</v>
      </c>
      <c r="L589" s="338" t="s">
        <v>608</v>
      </c>
    </row>
    <row r="590" spans="1:12" ht="15" customHeight="1">
      <c r="A590" s="134" t="s">
        <v>2706</v>
      </c>
      <c r="B590" s="134" t="s">
        <v>2707</v>
      </c>
      <c r="C590" s="99" t="s">
        <v>51</v>
      </c>
      <c r="D590" s="134" t="s">
        <v>2714</v>
      </c>
      <c r="E590" s="382" t="s">
        <v>2715</v>
      </c>
      <c r="F590" s="238" t="s">
        <v>635</v>
      </c>
      <c r="G590" s="99">
        <v>2</v>
      </c>
      <c r="H590" s="99">
        <v>1</v>
      </c>
      <c r="I590" s="99">
        <v>12</v>
      </c>
      <c r="J590" s="125">
        <v>50</v>
      </c>
      <c r="K590" s="114">
        <f t="shared" si="22"/>
        <v>25</v>
      </c>
      <c r="L590" s="338" t="s">
        <v>608</v>
      </c>
    </row>
    <row r="591" spans="1:12" ht="15" customHeight="1">
      <c r="A591" s="134" t="s">
        <v>2706</v>
      </c>
      <c r="B591" s="134" t="s">
        <v>2707</v>
      </c>
      <c r="C591" s="99" t="s">
        <v>51</v>
      </c>
      <c r="D591" s="134" t="s">
        <v>2716</v>
      </c>
      <c r="E591" s="382" t="s">
        <v>2717</v>
      </c>
      <c r="F591" s="238" t="s">
        <v>635</v>
      </c>
      <c r="G591" s="99">
        <v>2</v>
      </c>
      <c r="H591" s="99">
        <v>1</v>
      </c>
      <c r="I591" s="99">
        <v>12</v>
      </c>
      <c r="J591" s="125">
        <v>50</v>
      </c>
      <c r="K591" s="114">
        <f t="shared" si="22"/>
        <v>25</v>
      </c>
      <c r="L591" s="338" t="s">
        <v>608</v>
      </c>
    </row>
    <row r="592" spans="1:12" ht="15" customHeight="1">
      <c r="A592" s="134" t="s">
        <v>2718</v>
      </c>
      <c r="B592" s="134" t="s">
        <v>2719</v>
      </c>
      <c r="C592" s="99" t="s">
        <v>51</v>
      </c>
      <c r="D592" s="134" t="s">
        <v>2720</v>
      </c>
      <c r="E592" s="382" t="s">
        <v>2721</v>
      </c>
      <c r="F592" s="238" t="s">
        <v>635</v>
      </c>
      <c r="G592" s="99">
        <v>6</v>
      </c>
      <c r="H592" s="99">
        <v>1</v>
      </c>
      <c r="I592" s="99">
        <v>6</v>
      </c>
      <c r="J592" s="125">
        <v>50</v>
      </c>
      <c r="K592" s="114">
        <f t="shared" ref="K592:K593" si="23">50/6</f>
        <v>8.3333333333333339</v>
      </c>
      <c r="L592" s="338" t="s">
        <v>608</v>
      </c>
    </row>
    <row r="593" spans="1:12" ht="15" customHeight="1">
      <c r="A593" s="134" t="s">
        <v>2718</v>
      </c>
      <c r="B593" s="134" t="s">
        <v>2719</v>
      </c>
      <c r="C593" s="99" t="s">
        <v>51</v>
      </c>
      <c r="D593" s="134" t="s">
        <v>2722</v>
      </c>
      <c r="E593" s="382" t="s">
        <v>2723</v>
      </c>
      <c r="F593" s="238" t="s">
        <v>635</v>
      </c>
      <c r="G593" s="99">
        <v>6</v>
      </c>
      <c r="H593" s="99">
        <v>1</v>
      </c>
      <c r="I593" s="99">
        <v>6</v>
      </c>
      <c r="J593" s="125">
        <v>50</v>
      </c>
      <c r="K593" s="114">
        <f t="shared" si="23"/>
        <v>8.3333333333333339</v>
      </c>
      <c r="L593" s="338" t="s">
        <v>608</v>
      </c>
    </row>
    <row r="594" spans="1:12" ht="15" customHeight="1">
      <c r="A594" s="134" t="s">
        <v>2724</v>
      </c>
      <c r="B594" s="134" t="s">
        <v>2725</v>
      </c>
      <c r="C594" s="99" t="s">
        <v>51</v>
      </c>
      <c r="D594" s="134" t="s">
        <v>2726</v>
      </c>
      <c r="E594" s="382" t="s">
        <v>2727</v>
      </c>
      <c r="F594" s="238" t="s">
        <v>635</v>
      </c>
      <c r="G594" s="99">
        <v>4</v>
      </c>
      <c r="H594" s="99">
        <v>3</v>
      </c>
      <c r="I594" s="99">
        <v>4</v>
      </c>
      <c r="J594" s="125">
        <v>50</v>
      </c>
      <c r="K594" s="114">
        <f t="shared" ref="K594:K595" si="24">50/4</f>
        <v>12.5</v>
      </c>
      <c r="L594" s="338" t="s">
        <v>608</v>
      </c>
    </row>
    <row r="595" spans="1:12" ht="15" customHeight="1">
      <c r="A595" s="134" t="s">
        <v>2724</v>
      </c>
      <c r="B595" s="134" t="s">
        <v>2725</v>
      </c>
      <c r="C595" s="99" t="s">
        <v>51</v>
      </c>
      <c r="D595" s="134" t="s">
        <v>2728</v>
      </c>
      <c r="E595" s="382" t="s">
        <v>2729</v>
      </c>
      <c r="F595" s="238" t="s">
        <v>635</v>
      </c>
      <c r="G595" s="99">
        <v>4</v>
      </c>
      <c r="H595" s="99">
        <v>3</v>
      </c>
      <c r="I595" s="99">
        <v>4</v>
      </c>
      <c r="J595" s="125">
        <v>50</v>
      </c>
      <c r="K595" s="114">
        <f t="shared" si="24"/>
        <v>12.5</v>
      </c>
      <c r="L595" s="338" t="s">
        <v>608</v>
      </c>
    </row>
    <row r="596" spans="1:12" ht="15" customHeight="1">
      <c r="A596" s="134" t="s">
        <v>2730</v>
      </c>
      <c r="B596" s="134" t="s">
        <v>2731</v>
      </c>
      <c r="C596" s="99" t="s">
        <v>51</v>
      </c>
      <c r="D596" s="134" t="s">
        <v>2732</v>
      </c>
      <c r="E596" s="382" t="s">
        <v>2733</v>
      </c>
      <c r="F596" s="238" t="s">
        <v>635</v>
      </c>
      <c r="G596" s="99">
        <v>2</v>
      </c>
      <c r="H596" s="99">
        <v>2</v>
      </c>
      <c r="I596" s="99">
        <v>2</v>
      </c>
      <c r="J596" s="125">
        <v>50</v>
      </c>
      <c r="K596" s="114">
        <f t="shared" ref="K596:K598" si="25">50/2</f>
        <v>25</v>
      </c>
      <c r="L596" s="338" t="s">
        <v>608</v>
      </c>
    </row>
    <row r="597" spans="1:12" ht="15" customHeight="1">
      <c r="A597" s="134" t="s">
        <v>2734</v>
      </c>
      <c r="B597" s="134" t="s">
        <v>2735</v>
      </c>
      <c r="C597" s="99" t="s">
        <v>51</v>
      </c>
      <c r="D597" s="134" t="s">
        <v>2736</v>
      </c>
      <c r="E597" s="382" t="s">
        <v>2737</v>
      </c>
      <c r="F597" s="238" t="s">
        <v>635</v>
      </c>
      <c r="G597" s="99">
        <v>3</v>
      </c>
      <c r="H597" s="99">
        <v>1</v>
      </c>
      <c r="I597" s="99">
        <v>5</v>
      </c>
      <c r="J597" s="125">
        <v>50</v>
      </c>
      <c r="K597" s="114">
        <f t="shared" si="25"/>
        <v>25</v>
      </c>
      <c r="L597" s="338" t="s">
        <v>608</v>
      </c>
    </row>
    <row r="598" spans="1:12" ht="15" customHeight="1">
      <c r="A598" s="134" t="s">
        <v>2734</v>
      </c>
      <c r="B598" s="134" t="s">
        <v>2735</v>
      </c>
      <c r="C598" s="99" t="s">
        <v>51</v>
      </c>
      <c r="D598" s="134" t="s">
        <v>2672</v>
      </c>
      <c r="E598" s="382" t="s">
        <v>2673</v>
      </c>
      <c r="F598" s="238" t="s">
        <v>635</v>
      </c>
      <c r="G598" s="99">
        <v>3</v>
      </c>
      <c r="H598" s="99">
        <v>1</v>
      </c>
      <c r="I598" s="99">
        <v>5</v>
      </c>
      <c r="J598" s="125">
        <v>50</v>
      </c>
      <c r="K598" s="114">
        <f t="shared" si="25"/>
        <v>25</v>
      </c>
      <c r="L598" s="338" t="s">
        <v>608</v>
      </c>
    </row>
    <row r="599" spans="1:12" ht="15" customHeight="1">
      <c r="A599" s="134" t="s">
        <v>2738</v>
      </c>
      <c r="B599" s="134" t="s">
        <v>2739</v>
      </c>
      <c r="C599" s="99" t="s">
        <v>51</v>
      </c>
      <c r="D599" s="134" t="s">
        <v>2702</v>
      </c>
      <c r="E599" s="382" t="s">
        <v>2703</v>
      </c>
      <c r="F599" s="238" t="s">
        <v>635</v>
      </c>
      <c r="G599" s="99">
        <v>7</v>
      </c>
      <c r="H599" s="99">
        <v>2</v>
      </c>
      <c r="I599" s="99">
        <v>8</v>
      </c>
      <c r="J599" s="125">
        <v>50</v>
      </c>
      <c r="K599" s="114">
        <f>50/7</f>
        <v>7.1428571428571432</v>
      </c>
      <c r="L599" s="338" t="s">
        <v>608</v>
      </c>
    </row>
    <row r="600" spans="1:12" ht="15" customHeight="1">
      <c r="A600" s="134" t="s">
        <v>2740</v>
      </c>
      <c r="B600" s="134" t="s">
        <v>2741</v>
      </c>
      <c r="C600" s="99" t="s">
        <v>51</v>
      </c>
      <c r="D600" s="134" t="s">
        <v>2742</v>
      </c>
      <c r="E600" s="382" t="s">
        <v>2743</v>
      </c>
      <c r="F600" s="238" t="s">
        <v>635</v>
      </c>
      <c r="G600" s="99">
        <v>1</v>
      </c>
      <c r="H600" s="99">
        <v>1</v>
      </c>
      <c r="I600" s="99">
        <v>2</v>
      </c>
      <c r="J600" s="125">
        <v>50</v>
      </c>
      <c r="K600" s="114">
        <f t="shared" ref="K600:K602" si="26">50</f>
        <v>50</v>
      </c>
      <c r="L600" s="338" t="s">
        <v>608</v>
      </c>
    </row>
    <row r="601" spans="1:12" ht="15" customHeight="1">
      <c r="A601" s="134" t="s">
        <v>2740</v>
      </c>
      <c r="B601" s="134" t="s">
        <v>2741</v>
      </c>
      <c r="C601" s="99" t="s">
        <v>51</v>
      </c>
      <c r="D601" s="134" t="s">
        <v>2744</v>
      </c>
      <c r="E601" s="382" t="s">
        <v>2745</v>
      </c>
      <c r="F601" s="238" t="s">
        <v>635</v>
      </c>
      <c r="G601" s="99">
        <v>1</v>
      </c>
      <c r="H601" s="99">
        <v>1</v>
      </c>
      <c r="I601" s="99">
        <v>2</v>
      </c>
      <c r="J601" s="125">
        <v>50</v>
      </c>
      <c r="K601" s="114">
        <f t="shared" si="26"/>
        <v>50</v>
      </c>
      <c r="L601" s="338" t="s">
        <v>608</v>
      </c>
    </row>
    <row r="602" spans="1:12" ht="15" customHeight="1">
      <c r="A602" s="134" t="s">
        <v>2746</v>
      </c>
      <c r="B602" s="134" t="s">
        <v>2747</v>
      </c>
      <c r="C602" s="99" t="s">
        <v>51</v>
      </c>
      <c r="D602" s="134" t="s">
        <v>2748</v>
      </c>
      <c r="E602" s="382" t="s">
        <v>2749</v>
      </c>
      <c r="F602" s="238" t="s">
        <v>635</v>
      </c>
      <c r="G602" s="99">
        <v>1</v>
      </c>
      <c r="H602" s="99">
        <v>1</v>
      </c>
      <c r="I602" s="99">
        <v>2</v>
      </c>
      <c r="J602" s="125">
        <v>50</v>
      </c>
      <c r="K602" s="114">
        <f t="shared" si="26"/>
        <v>50</v>
      </c>
      <c r="L602" s="338" t="s">
        <v>608</v>
      </c>
    </row>
    <row r="603" spans="1:12" ht="15" customHeight="1">
      <c r="A603" s="134" t="s">
        <v>2750</v>
      </c>
      <c r="B603" s="134" t="s">
        <v>2751</v>
      </c>
      <c r="C603" s="99" t="s">
        <v>51</v>
      </c>
      <c r="D603" s="134" t="s">
        <v>2752</v>
      </c>
      <c r="E603" s="382" t="s">
        <v>2753</v>
      </c>
      <c r="F603" s="238" t="s">
        <v>635</v>
      </c>
      <c r="G603" s="99">
        <v>4</v>
      </c>
      <c r="H603" s="99">
        <v>2</v>
      </c>
      <c r="I603" s="99">
        <v>6</v>
      </c>
      <c r="J603" s="125">
        <v>50</v>
      </c>
      <c r="K603" s="114">
        <f>50/4</f>
        <v>12.5</v>
      </c>
      <c r="L603" s="338" t="s">
        <v>608</v>
      </c>
    </row>
    <row r="604" spans="1:12" ht="15" customHeight="1">
      <c r="A604" s="134" t="s">
        <v>2754</v>
      </c>
      <c r="B604" s="134" t="s">
        <v>2755</v>
      </c>
      <c r="C604" s="99" t="s">
        <v>51</v>
      </c>
      <c r="D604" s="134" t="s">
        <v>2756</v>
      </c>
      <c r="E604" s="382" t="s">
        <v>2757</v>
      </c>
      <c r="F604" s="238" t="s">
        <v>635</v>
      </c>
      <c r="G604" s="99">
        <v>1</v>
      </c>
      <c r="H604" s="99">
        <v>1</v>
      </c>
      <c r="I604" s="99">
        <v>3</v>
      </c>
      <c r="J604" s="125">
        <v>50</v>
      </c>
      <c r="K604" s="114">
        <f>50</f>
        <v>50</v>
      </c>
      <c r="L604" s="338" t="s">
        <v>608</v>
      </c>
    </row>
    <row r="605" spans="1:12" ht="15" customHeight="1">
      <c r="A605" s="134" t="s">
        <v>2758</v>
      </c>
      <c r="B605" s="134" t="s">
        <v>2759</v>
      </c>
      <c r="C605" s="99" t="s">
        <v>51</v>
      </c>
      <c r="D605" s="134" t="s">
        <v>2760</v>
      </c>
      <c r="E605" s="382" t="s">
        <v>2761</v>
      </c>
      <c r="F605" s="238" t="s">
        <v>635</v>
      </c>
      <c r="G605" s="99">
        <v>2</v>
      </c>
      <c r="H605" s="99">
        <v>2</v>
      </c>
      <c r="I605" s="99">
        <v>3</v>
      </c>
      <c r="J605" s="125">
        <v>50</v>
      </c>
      <c r="K605" s="114">
        <f t="shared" ref="K605:K607" si="27">50/2</f>
        <v>25</v>
      </c>
      <c r="L605" s="338" t="s">
        <v>608</v>
      </c>
    </row>
    <row r="606" spans="1:12" ht="15" customHeight="1">
      <c r="A606" s="134" t="s">
        <v>2762</v>
      </c>
      <c r="B606" s="134" t="s">
        <v>2763</v>
      </c>
      <c r="C606" s="99" t="s">
        <v>51</v>
      </c>
      <c r="D606" s="134" t="s">
        <v>2764</v>
      </c>
      <c r="E606" s="382" t="s">
        <v>2765</v>
      </c>
      <c r="F606" s="238" t="s">
        <v>635</v>
      </c>
      <c r="G606" s="99">
        <v>2</v>
      </c>
      <c r="H606" s="99">
        <v>1</v>
      </c>
      <c r="I606" s="99">
        <v>4</v>
      </c>
      <c r="J606" s="125">
        <v>50</v>
      </c>
      <c r="K606" s="114">
        <f t="shared" si="27"/>
        <v>25</v>
      </c>
      <c r="L606" s="338" t="s">
        <v>608</v>
      </c>
    </row>
    <row r="607" spans="1:12" ht="15" customHeight="1">
      <c r="A607" s="134" t="s">
        <v>2766</v>
      </c>
      <c r="B607" s="134" t="s">
        <v>2767</v>
      </c>
      <c r="C607" s="99" t="s">
        <v>51</v>
      </c>
      <c r="D607" s="134" t="s">
        <v>2768</v>
      </c>
      <c r="E607" s="382" t="s">
        <v>2769</v>
      </c>
      <c r="F607" s="238" t="s">
        <v>635</v>
      </c>
      <c r="G607" s="99">
        <v>2</v>
      </c>
      <c r="H607" s="99">
        <v>1</v>
      </c>
      <c r="I607" s="99">
        <v>5</v>
      </c>
      <c r="J607" s="125">
        <v>50</v>
      </c>
      <c r="K607" s="114">
        <f t="shared" si="27"/>
        <v>25</v>
      </c>
      <c r="L607" s="338" t="s">
        <v>608</v>
      </c>
    </row>
    <row r="608" spans="1:12" ht="15" customHeight="1">
      <c r="A608" s="134" t="s">
        <v>2770</v>
      </c>
      <c r="B608" s="134" t="s">
        <v>2771</v>
      </c>
      <c r="C608" s="99" t="s">
        <v>51</v>
      </c>
      <c r="D608" s="134" t="s">
        <v>2772</v>
      </c>
      <c r="E608" s="382" t="s">
        <v>2773</v>
      </c>
      <c r="F608" s="238" t="s">
        <v>635</v>
      </c>
      <c r="G608" s="99">
        <v>3</v>
      </c>
      <c r="H608" s="99">
        <v>2</v>
      </c>
      <c r="I608" s="99">
        <v>4</v>
      </c>
      <c r="J608" s="125">
        <v>50</v>
      </c>
      <c r="K608" s="114">
        <f>50/3</f>
        <v>16.666666666666668</v>
      </c>
      <c r="L608" s="338" t="s">
        <v>608</v>
      </c>
    </row>
    <row r="609" spans="1:24" ht="15" customHeight="1">
      <c r="A609" s="134" t="s">
        <v>2774</v>
      </c>
      <c r="B609" s="134" t="s">
        <v>2775</v>
      </c>
      <c r="C609" s="99" t="s">
        <v>51</v>
      </c>
      <c r="D609" s="134" t="s">
        <v>2776</v>
      </c>
      <c r="E609" s="382" t="s">
        <v>2777</v>
      </c>
      <c r="F609" s="238" t="s">
        <v>635</v>
      </c>
      <c r="G609" s="99">
        <v>4</v>
      </c>
      <c r="H609" s="99">
        <v>3</v>
      </c>
      <c r="I609" s="99">
        <v>4</v>
      </c>
      <c r="J609" s="125">
        <v>50</v>
      </c>
      <c r="K609" s="114">
        <f>50/4</f>
        <v>12.5</v>
      </c>
      <c r="L609" s="338" t="s">
        <v>608</v>
      </c>
    </row>
    <row r="610" spans="1:24" ht="15" customHeight="1">
      <c r="A610" s="91" t="s">
        <v>2778</v>
      </c>
      <c r="B610" s="134" t="s">
        <v>2779</v>
      </c>
      <c r="C610" s="479" t="s">
        <v>51</v>
      </c>
      <c r="D610" s="134" t="s">
        <v>2780</v>
      </c>
      <c r="E610" s="378" t="s">
        <v>2781</v>
      </c>
      <c r="F610" s="134" t="s">
        <v>2782</v>
      </c>
      <c r="G610" s="461">
        <v>3</v>
      </c>
      <c r="H610" s="461">
        <v>2</v>
      </c>
      <c r="I610" s="461">
        <v>4</v>
      </c>
      <c r="J610" s="462">
        <v>50</v>
      </c>
      <c r="K610" s="162">
        <f>J610/G610</f>
        <v>16.666666666666668</v>
      </c>
      <c r="L610" s="338" t="s">
        <v>2783</v>
      </c>
    </row>
    <row r="611" spans="1:24" ht="63.75" customHeight="1">
      <c r="A611" s="302" t="s">
        <v>722</v>
      </c>
      <c r="B611" s="290" t="s">
        <v>2784</v>
      </c>
      <c r="C611" s="108" t="s">
        <v>141</v>
      </c>
      <c r="D611" s="290" t="s">
        <v>2785</v>
      </c>
      <c r="E611" s="490" t="s">
        <v>2786</v>
      </c>
      <c r="F611" s="99" t="s">
        <v>230</v>
      </c>
      <c r="G611" s="379">
        <v>1</v>
      </c>
      <c r="H611" s="379">
        <v>1</v>
      </c>
      <c r="I611" s="379">
        <v>1</v>
      </c>
      <c r="J611" s="272">
        <v>50</v>
      </c>
      <c r="K611" s="134">
        <v>50</v>
      </c>
      <c r="L611" s="302" t="s">
        <v>2787</v>
      </c>
      <c r="M611" s="216"/>
      <c r="N611" s="216"/>
      <c r="O611" s="216"/>
      <c r="P611" s="216"/>
      <c r="Q611" s="216"/>
      <c r="R611" s="216"/>
      <c r="S611" s="216"/>
      <c r="T611" s="216"/>
      <c r="U611" s="216"/>
      <c r="V611" s="216"/>
      <c r="W611" s="216"/>
      <c r="X611" s="216"/>
    </row>
    <row r="612" spans="1:24" ht="63.75" customHeight="1">
      <c r="A612" s="302" t="s">
        <v>722</v>
      </c>
      <c r="B612" s="290" t="s">
        <v>2784</v>
      </c>
      <c r="C612" s="108" t="s">
        <v>141</v>
      </c>
      <c r="D612" s="290" t="s">
        <v>2788</v>
      </c>
      <c r="E612" s="382" t="s">
        <v>2789</v>
      </c>
      <c r="F612" s="99" t="s">
        <v>230</v>
      </c>
      <c r="G612" s="379">
        <v>1</v>
      </c>
      <c r="H612" s="379">
        <v>1</v>
      </c>
      <c r="I612" s="379">
        <v>1</v>
      </c>
      <c r="J612" s="272">
        <v>50</v>
      </c>
      <c r="K612" s="134">
        <v>50</v>
      </c>
      <c r="L612" s="302" t="s">
        <v>2787</v>
      </c>
      <c r="M612" s="216"/>
      <c r="N612" s="216"/>
      <c r="O612" s="216"/>
      <c r="P612" s="216"/>
      <c r="Q612" s="216"/>
      <c r="R612" s="216"/>
      <c r="S612" s="216"/>
      <c r="T612" s="216"/>
      <c r="U612" s="216"/>
      <c r="V612" s="216"/>
      <c r="W612" s="216"/>
      <c r="X612" s="216"/>
    </row>
    <row r="613" spans="1:24" ht="63.75" customHeight="1">
      <c r="A613" s="302" t="s">
        <v>722</v>
      </c>
      <c r="B613" s="290" t="s">
        <v>2784</v>
      </c>
      <c r="C613" s="108" t="s">
        <v>141</v>
      </c>
      <c r="D613" s="290" t="s">
        <v>2790</v>
      </c>
      <c r="E613" s="490" t="s">
        <v>2791</v>
      </c>
      <c r="F613" s="491" t="s">
        <v>230</v>
      </c>
      <c r="G613" s="379">
        <v>1</v>
      </c>
      <c r="H613" s="379">
        <v>1</v>
      </c>
      <c r="I613" s="379">
        <v>1</v>
      </c>
      <c r="J613" s="272">
        <v>50</v>
      </c>
      <c r="K613" s="134">
        <v>50</v>
      </c>
      <c r="L613" s="302" t="s">
        <v>2787</v>
      </c>
      <c r="M613" s="216"/>
      <c r="N613" s="216"/>
      <c r="O613" s="216"/>
      <c r="P613" s="216"/>
      <c r="Q613" s="216"/>
      <c r="R613" s="216"/>
      <c r="S613" s="216"/>
      <c r="T613" s="216"/>
      <c r="U613" s="216"/>
      <c r="V613" s="216"/>
      <c r="W613" s="216"/>
      <c r="X613" s="216"/>
    </row>
    <row r="614" spans="1:24" ht="63.75" customHeight="1">
      <c r="A614" s="302" t="s">
        <v>722</v>
      </c>
      <c r="B614" s="99" t="s">
        <v>2784</v>
      </c>
      <c r="C614" s="99" t="s">
        <v>141</v>
      </c>
      <c r="D614" s="290" t="s">
        <v>2792</v>
      </c>
      <c r="E614" s="492" t="s">
        <v>2793</v>
      </c>
      <c r="F614" s="493" t="s">
        <v>230</v>
      </c>
      <c r="G614" s="494">
        <v>1</v>
      </c>
      <c r="H614" s="495">
        <v>1</v>
      </c>
      <c r="I614" s="495">
        <v>1</v>
      </c>
      <c r="J614" s="272">
        <v>50</v>
      </c>
      <c r="K614" s="398">
        <v>50</v>
      </c>
      <c r="L614" s="302" t="s">
        <v>2787</v>
      </c>
      <c r="M614" s="216"/>
      <c r="N614" s="216"/>
      <c r="O614" s="216"/>
      <c r="P614" s="216"/>
      <c r="Q614" s="216"/>
      <c r="R614" s="216"/>
      <c r="S614" s="216"/>
      <c r="T614" s="216"/>
      <c r="U614" s="216"/>
      <c r="V614" s="216"/>
      <c r="W614" s="216"/>
      <c r="X614" s="216"/>
    </row>
    <row r="615" spans="1:24" ht="63.75" customHeight="1">
      <c r="A615" s="302" t="s">
        <v>722</v>
      </c>
      <c r="B615" s="99" t="s">
        <v>2784</v>
      </c>
      <c r="C615" s="99" t="s">
        <v>141</v>
      </c>
      <c r="D615" s="290" t="s">
        <v>2794</v>
      </c>
      <c r="E615" s="496" t="s">
        <v>2795</v>
      </c>
      <c r="F615" s="491" t="s">
        <v>230</v>
      </c>
      <c r="G615" s="497">
        <v>1</v>
      </c>
      <c r="H615" s="495">
        <v>1</v>
      </c>
      <c r="I615" s="495">
        <v>1</v>
      </c>
      <c r="J615" s="272">
        <v>50</v>
      </c>
      <c r="K615" s="398">
        <v>50</v>
      </c>
      <c r="L615" s="302" t="s">
        <v>2787</v>
      </c>
      <c r="M615" s="216"/>
      <c r="N615" s="216"/>
      <c r="O615" s="216"/>
      <c r="P615" s="216"/>
      <c r="Q615" s="216"/>
      <c r="R615" s="216"/>
      <c r="S615" s="216"/>
      <c r="T615" s="216"/>
      <c r="U615" s="216"/>
      <c r="V615" s="216"/>
      <c r="W615" s="216"/>
      <c r="X615" s="216"/>
    </row>
    <row r="616" spans="1:24" ht="63.75" customHeight="1">
      <c r="A616" s="302" t="s">
        <v>722</v>
      </c>
      <c r="B616" s="99" t="s">
        <v>2784</v>
      </c>
      <c r="C616" s="99" t="s">
        <v>141</v>
      </c>
      <c r="D616" s="290" t="s">
        <v>2796</v>
      </c>
      <c r="E616" s="490" t="s">
        <v>2797</v>
      </c>
      <c r="F616" s="491" t="s">
        <v>230</v>
      </c>
      <c r="G616" s="497">
        <v>1</v>
      </c>
      <c r="H616" s="498">
        <v>1</v>
      </c>
      <c r="I616" s="498">
        <v>1</v>
      </c>
      <c r="J616" s="272">
        <v>50</v>
      </c>
      <c r="K616" s="499">
        <v>50</v>
      </c>
      <c r="L616" s="302" t="s">
        <v>2787</v>
      </c>
      <c r="M616" s="216"/>
      <c r="N616" s="216"/>
      <c r="O616" s="216"/>
      <c r="P616" s="216"/>
      <c r="Q616" s="216"/>
      <c r="R616" s="216"/>
      <c r="S616" s="216"/>
      <c r="T616" s="216"/>
      <c r="U616" s="216"/>
      <c r="V616" s="216"/>
      <c r="W616" s="216"/>
      <c r="X616" s="216"/>
    </row>
    <row r="617" spans="1:24" ht="63.75" customHeight="1">
      <c r="A617" s="302" t="s">
        <v>722</v>
      </c>
      <c r="B617" s="99" t="s">
        <v>2784</v>
      </c>
      <c r="C617" s="99" t="s">
        <v>141</v>
      </c>
      <c r="D617" s="290" t="s">
        <v>2798</v>
      </c>
      <c r="E617" s="496" t="s">
        <v>2799</v>
      </c>
      <c r="F617" s="491" t="s">
        <v>230</v>
      </c>
      <c r="G617" s="499">
        <v>1</v>
      </c>
      <c r="H617" s="499">
        <v>1</v>
      </c>
      <c r="I617" s="499">
        <v>1</v>
      </c>
      <c r="J617" s="272">
        <v>50</v>
      </c>
      <c r="K617" s="499">
        <v>50</v>
      </c>
      <c r="L617" s="302" t="s">
        <v>2787</v>
      </c>
      <c r="M617" s="216"/>
      <c r="N617" s="216"/>
      <c r="O617" s="216"/>
      <c r="P617" s="216"/>
      <c r="Q617" s="216"/>
      <c r="R617" s="216"/>
      <c r="S617" s="216"/>
      <c r="T617" s="216"/>
      <c r="U617" s="216"/>
      <c r="V617" s="216"/>
      <c r="W617" s="216"/>
      <c r="X617" s="216"/>
    </row>
    <row r="618" spans="1:24" ht="63.75" customHeight="1">
      <c r="A618" s="302" t="s">
        <v>722</v>
      </c>
      <c r="B618" s="99" t="s">
        <v>2784</v>
      </c>
      <c r="C618" s="99" t="s">
        <v>141</v>
      </c>
      <c r="D618" s="290" t="s">
        <v>2800</v>
      </c>
      <c r="E618" s="496" t="s">
        <v>2801</v>
      </c>
      <c r="F618" s="491" t="s">
        <v>230</v>
      </c>
      <c r="G618" s="499">
        <v>1</v>
      </c>
      <c r="H618" s="499">
        <v>1</v>
      </c>
      <c r="I618" s="499">
        <v>1</v>
      </c>
      <c r="J618" s="272">
        <v>50</v>
      </c>
      <c r="K618" s="499">
        <v>50</v>
      </c>
      <c r="L618" s="302" t="s">
        <v>2787</v>
      </c>
      <c r="M618" s="216"/>
      <c r="N618" s="216"/>
      <c r="O618" s="216"/>
      <c r="P618" s="216"/>
      <c r="Q618" s="216"/>
      <c r="R618" s="216"/>
      <c r="S618" s="216"/>
      <c r="T618" s="216"/>
      <c r="U618" s="216"/>
      <c r="V618" s="216"/>
      <c r="W618" s="216"/>
      <c r="X618" s="216"/>
    </row>
    <row r="619" spans="1:24" ht="63.75" customHeight="1">
      <c r="A619" s="302" t="s">
        <v>722</v>
      </c>
      <c r="B619" s="290" t="s">
        <v>2802</v>
      </c>
      <c r="C619" s="500" t="s">
        <v>141</v>
      </c>
      <c r="D619" s="290" t="s">
        <v>2803</v>
      </c>
      <c r="E619" s="490" t="s">
        <v>2804</v>
      </c>
      <c r="F619" s="493" t="s">
        <v>230</v>
      </c>
      <c r="G619" s="398">
        <v>1</v>
      </c>
      <c r="H619" s="398">
        <v>1</v>
      </c>
      <c r="I619" s="398">
        <v>1</v>
      </c>
      <c r="J619" s="272">
        <v>50</v>
      </c>
      <c r="K619" s="398">
        <v>50</v>
      </c>
      <c r="L619" s="302" t="s">
        <v>2787</v>
      </c>
      <c r="M619" s="216"/>
      <c r="N619" s="216"/>
      <c r="O619" s="216"/>
      <c r="P619" s="216"/>
      <c r="Q619" s="216"/>
      <c r="R619" s="216"/>
      <c r="S619" s="216"/>
      <c r="T619" s="216"/>
      <c r="U619" s="216"/>
      <c r="V619" s="216"/>
      <c r="W619" s="216"/>
      <c r="X619" s="216"/>
    </row>
    <row r="620" spans="1:24" ht="63.75" customHeight="1">
      <c r="A620" s="302" t="s">
        <v>722</v>
      </c>
      <c r="B620" s="290" t="s">
        <v>2805</v>
      </c>
      <c r="C620" s="108" t="s">
        <v>141</v>
      </c>
      <c r="D620" s="290" t="s">
        <v>2806</v>
      </c>
      <c r="E620" s="501" t="s">
        <v>2807</v>
      </c>
      <c r="F620" s="502" t="s">
        <v>2133</v>
      </c>
      <c r="G620" s="503">
        <v>1</v>
      </c>
      <c r="H620" s="503">
        <v>1</v>
      </c>
      <c r="I620" s="503">
        <v>1</v>
      </c>
      <c r="J620" s="431">
        <v>50</v>
      </c>
      <c r="K620" s="284">
        <v>50</v>
      </c>
      <c r="L620" s="302" t="s">
        <v>2787</v>
      </c>
      <c r="M620" s="216"/>
      <c r="N620" s="216"/>
      <c r="O620" s="216"/>
      <c r="P620" s="216"/>
      <c r="Q620" s="216"/>
      <c r="R620" s="216"/>
      <c r="S620" s="216"/>
      <c r="T620" s="216"/>
      <c r="U620" s="216"/>
      <c r="V620" s="216"/>
      <c r="W620" s="216"/>
      <c r="X620" s="216"/>
    </row>
    <row r="621" spans="1:24" ht="63.75" customHeight="1">
      <c r="A621" s="302" t="s">
        <v>722</v>
      </c>
      <c r="B621" s="290" t="s">
        <v>2808</v>
      </c>
      <c r="C621" s="108" t="s">
        <v>141</v>
      </c>
      <c r="D621" s="290" t="s">
        <v>2809</v>
      </c>
      <c r="E621" s="490" t="s">
        <v>2810</v>
      </c>
      <c r="F621" s="493" t="s">
        <v>2811</v>
      </c>
      <c r="G621" s="379">
        <v>1</v>
      </c>
      <c r="H621" s="379">
        <v>1</v>
      </c>
      <c r="I621" s="379">
        <v>1</v>
      </c>
      <c r="J621" s="272">
        <v>50</v>
      </c>
      <c r="K621" s="134">
        <v>50</v>
      </c>
      <c r="L621" s="302" t="s">
        <v>2787</v>
      </c>
      <c r="M621" s="216"/>
      <c r="N621" s="216"/>
      <c r="O621" s="216"/>
      <c r="P621" s="216"/>
      <c r="Q621" s="216"/>
      <c r="R621" s="216"/>
      <c r="S621" s="216"/>
      <c r="T621" s="216"/>
      <c r="U621" s="216"/>
      <c r="V621" s="216"/>
      <c r="W621" s="216"/>
      <c r="X621" s="216"/>
    </row>
    <row r="622" spans="1:24" ht="63.75" customHeight="1">
      <c r="A622" s="504" t="s">
        <v>2812</v>
      </c>
      <c r="B622" s="290" t="s">
        <v>2813</v>
      </c>
      <c r="C622" s="108" t="s">
        <v>141</v>
      </c>
      <c r="D622" s="290" t="s">
        <v>2814</v>
      </c>
      <c r="E622" s="490" t="s">
        <v>2815</v>
      </c>
      <c r="F622" s="493" t="s">
        <v>230</v>
      </c>
      <c r="G622" s="379">
        <v>2</v>
      </c>
      <c r="H622" s="379">
        <v>2</v>
      </c>
      <c r="I622" s="379">
        <v>2</v>
      </c>
      <c r="J622" s="272">
        <v>50</v>
      </c>
      <c r="K622" s="134">
        <v>25</v>
      </c>
      <c r="L622" s="302" t="s">
        <v>2787</v>
      </c>
      <c r="M622" s="216"/>
      <c r="N622" s="216"/>
      <c r="O622" s="216"/>
      <c r="P622" s="216"/>
      <c r="Q622" s="216"/>
      <c r="R622" s="216"/>
      <c r="S622" s="216"/>
      <c r="T622" s="216"/>
      <c r="U622" s="216"/>
      <c r="V622" s="216"/>
      <c r="W622" s="216"/>
      <c r="X622" s="216"/>
    </row>
    <row r="623" spans="1:24" ht="63.75" customHeight="1">
      <c r="A623" s="504" t="s">
        <v>2812</v>
      </c>
      <c r="B623" s="316" t="s">
        <v>2813</v>
      </c>
      <c r="C623" s="108" t="s">
        <v>141</v>
      </c>
      <c r="D623" s="316" t="s">
        <v>2816</v>
      </c>
      <c r="E623" s="505" t="s">
        <v>2817</v>
      </c>
      <c r="F623" s="491" t="s">
        <v>230</v>
      </c>
      <c r="G623" s="396">
        <v>2</v>
      </c>
      <c r="H623" s="396">
        <v>2</v>
      </c>
      <c r="I623" s="396">
        <v>2</v>
      </c>
      <c r="J623" s="506">
        <v>50</v>
      </c>
      <c r="K623" s="256">
        <v>25</v>
      </c>
      <c r="L623" s="302" t="s">
        <v>2787</v>
      </c>
      <c r="M623" s="216"/>
      <c r="N623" s="216"/>
      <c r="O623" s="216"/>
      <c r="P623" s="216"/>
      <c r="Q623" s="216"/>
      <c r="R623" s="216"/>
      <c r="S623" s="216"/>
      <c r="T623" s="216"/>
      <c r="U623" s="216"/>
      <c r="V623" s="216"/>
      <c r="W623" s="216"/>
      <c r="X623" s="216"/>
    </row>
    <row r="624" spans="1:24" ht="63.75" customHeight="1">
      <c r="A624" s="302" t="s">
        <v>722</v>
      </c>
      <c r="B624" s="290" t="s">
        <v>2818</v>
      </c>
      <c r="C624" s="99" t="s">
        <v>141</v>
      </c>
      <c r="D624" s="290" t="s">
        <v>2819</v>
      </c>
      <c r="E624" s="490" t="s">
        <v>2820</v>
      </c>
      <c r="F624" s="493" t="s">
        <v>2133</v>
      </c>
      <c r="G624" s="379">
        <v>1</v>
      </c>
      <c r="H624" s="379">
        <v>1</v>
      </c>
      <c r="I624" s="379">
        <v>1</v>
      </c>
      <c r="J624" s="272">
        <v>50</v>
      </c>
      <c r="K624" s="134">
        <v>50</v>
      </c>
      <c r="L624" s="302" t="s">
        <v>2787</v>
      </c>
      <c r="M624" s="216"/>
      <c r="N624" s="216"/>
      <c r="O624" s="216"/>
      <c r="P624" s="216"/>
      <c r="Q624" s="216"/>
      <c r="R624" s="216"/>
      <c r="S624" s="216"/>
      <c r="T624" s="216"/>
      <c r="U624" s="216"/>
      <c r="V624" s="216"/>
      <c r="W624" s="216"/>
      <c r="X624" s="216"/>
    </row>
    <row r="625" spans="1:24" ht="63.75" customHeight="1">
      <c r="A625" s="352" t="s">
        <v>2821</v>
      </c>
      <c r="B625" s="353" t="s">
        <v>2822</v>
      </c>
      <c r="C625" s="353" t="s">
        <v>141</v>
      </c>
      <c r="D625" s="507" t="s">
        <v>2823</v>
      </c>
      <c r="E625" s="364" t="s">
        <v>2824</v>
      </c>
      <c r="F625" s="507" t="s">
        <v>635</v>
      </c>
      <c r="G625" s="508">
        <v>6</v>
      </c>
      <c r="H625" s="508">
        <v>1</v>
      </c>
      <c r="I625" s="508">
        <v>6</v>
      </c>
      <c r="J625" s="509">
        <v>50</v>
      </c>
      <c r="K625" s="352">
        <v>8.33</v>
      </c>
      <c r="L625" s="510" t="s">
        <v>2825</v>
      </c>
      <c r="M625" s="216"/>
      <c r="N625" s="216"/>
      <c r="O625" s="216"/>
      <c r="P625" s="216"/>
      <c r="Q625" s="216"/>
      <c r="R625" s="216"/>
      <c r="S625" s="216"/>
      <c r="T625" s="216"/>
      <c r="U625" s="216"/>
      <c r="V625" s="216"/>
      <c r="W625" s="216"/>
      <c r="X625" s="216"/>
    </row>
    <row r="626" spans="1:24" ht="63.75" customHeight="1">
      <c r="A626" s="352" t="s">
        <v>2826</v>
      </c>
      <c r="B626" s="353" t="s">
        <v>2827</v>
      </c>
      <c r="C626" s="353" t="s">
        <v>141</v>
      </c>
      <c r="D626" s="507" t="s">
        <v>2828</v>
      </c>
      <c r="E626" s="364" t="s">
        <v>2829</v>
      </c>
      <c r="F626" s="507" t="s">
        <v>635</v>
      </c>
      <c r="G626" s="508">
        <v>5</v>
      </c>
      <c r="H626" s="508">
        <v>1</v>
      </c>
      <c r="I626" s="508">
        <v>5</v>
      </c>
      <c r="J626" s="509">
        <v>50</v>
      </c>
      <c r="K626" s="352">
        <v>10</v>
      </c>
      <c r="L626" s="510" t="s">
        <v>2825</v>
      </c>
      <c r="M626" s="216"/>
      <c r="N626" s="216"/>
      <c r="O626" s="216"/>
      <c r="P626" s="216"/>
      <c r="Q626" s="216"/>
      <c r="R626" s="216"/>
      <c r="S626" s="216"/>
      <c r="T626" s="216"/>
      <c r="U626" s="216"/>
      <c r="V626" s="216"/>
      <c r="W626" s="216"/>
      <c r="X626" s="216"/>
    </row>
    <row r="627" spans="1:24" ht="15.75" customHeight="1">
      <c r="A627" s="134" t="s">
        <v>2826</v>
      </c>
      <c r="B627" s="134" t="s">
        <v>2827</v>
      </c>
      <c r="C627" s="133" t="s">
        <v>141</v>
      </c>
      <c r="D627" s="134" t="s">
        <v>2830</v>
      </c>
      <c r="E627" s="134" t="s">
        <v>2831</v>
      </c>
      <c r="F627" s="134" t="s">
        <v>635</v>
      </c>
      <c r="G627" s="379">
        <v>5</v>
      </c>
      <c r="H627" s="379">
        <v>1</v>
      </c>
      <c r="I627" s="379">
        <v>5</v>
      </c>
      <c r="J627" s="272">
        <v>50</v>
      </c>
      <c r="K627" s="134">
        <v>10</v>
      </c>
      <c r="L627" s="510" t="s">
        <v>2825</v>
      </c>
      <c r="M627" s="216"/>
      <c r="N627" s="216"/>
      <c r="O627" s="216"/>
      <c r="P627" s="216"/>
      <c r="Q627" s="216"/>
      <c r="R627" s="216"/>
      <c r="S627" s="216"/>
      <c r="T627" s="216"/>
      <c r="U627" s="216"/>
      <c r="V627" s="216"/>
      <c r="W627" s="216"/>
      <c r="X627" s="216"/>
    </row>
    <row r="628" spans="1:24" ht="15.75" customHeight="1">
      <c r="A628" s="91" t="s">
        <v>2832</v>
      </c>
      <c r="B628" s="256" t="s">
        <v>2833</v>
      </c>
      <c r="C628" s="92" t="s">
        <v>141</v>
      </c>
      <c r="D628" s="134" t="s">
        <v>2834</v>
      </c>
      <c r="E628" s="99" t="s">
        <v>2835</v>
      </c>
      <c r="F628" s="238" t="s">
        <v>635</v>
      </c>
      <c r="G628" s="94">
        <v>6</v>
      </c>
      <c r="H628" s="94">
        <v>1</v>
      </c>
      <c r="I628" s="94">
        <v>6</v>
      </c>
      <c r="J628" s="385">
        <v>50</v>
      </c>
      <c r="K628" s="114">
        <v>8.34</v>
      </c>
      <c r="L628" s="510" t="s">
        <v>2825</v>
      </c>
      <c r="M628" s="216"/>
      <c r="N628" s="216"/>
      <c r="O628" s="216"/>
      <c r="P628" s="216"/>
      <c r="Q628" s="216"/>
      <c r="R628" s="216"/>
      <c r="S628" s="216"/>
      <c r="T628" s="216"/>
      <c r="U628" s="216"/>
      <c r="V628" s="216"/>
      <c r="W628" s="216"/>
      <c r="X628" s="216"/>
    </row>
    <row r="629" spans="1:24" ht="15.75" customHeight="1">
      <c r="A629" s="134" t="s">
        <v>2836</v>
      </c>
      <c r="B629" s="91" t="s">
        <v>2837</v>
      </c>
      <c r="C629" s="92" t="s">
        <v>141</v>
      </c>
      <c r="D629" s="134" t="s">
        <v>2838</v>
      </c>
      <c r="E629" s="99" t="s">
        <v>2839</v>
      </c>
      <c r="F629" s="238" t="s">
        <v>635</v>
      </c>
      <c r="G629" s="99">
        <v>1</v>
      </c>
      <c r="H629" s="99">
        <v>1</v>
      </c>
      <c r="I629" s="99">
        <v>2</v>
      </c>
      <c r="J629" s="385">
        <v>50</v>
      </c>
      <c r="K629" s="114">
        <v>50</v>
      </c>
      <c r="L629" s="511" t="s">
        <v>2825</v>
      </c>
      <c r="M629" s="216"/>
      <c r="N629" s="216"/>
      <c r="O629" s="216"/>
      <c r="P629" s="216"/>
      <c r="Q629" s="216"/>
      <c r="R629" s="216"/>
      <c r="S629" s="216"/>
      <c r="T629" s="216"/>
      <c r="U629" s="216"/>
      <c r="V629" s="216"/>
      <c r="W629" s="216"/>
      <c r="X629" s="216"/>
    </row>
    <row r="630" spans="1:24" ht="15.75" customHeight="1">
      <c r="A630" s="302" t="s">
        <v>2840</v>
      </c>
      <c r="B630" s="301" t="s">
        <v>2841</v>
      </c>
      <c r="C630" s="290" t="s">
        <v>141</v>
      </c>
      <c r="D630" s="301" t="s">
        <v>2842</v>
      </c>
      <c r="E630" s="301" t="s">
        <v>2843</v>
      </c>
      <c r="F630" s="290" t="s">
        <v>1338</v>
      </c>
      <c r="G630" s="290">
        <v>2</v>
      </c>
      <c r="H630" s="290">
        <v>2</v>
      </c>
      <c r="I630" s="512">
        <v>3</v>
      </c>
      <c r="J630" s="512">
        <v>50</v>
      </c>
      <c r="K630" s="513">
        <v>25</v>
      </c>
      <c r="L630" s="510" t="s">
        <v>739</v>
      </c>
      <c r="M630" s="216"/>
      <c r="N630" s="216"/>
      <c r="O630" s="216"/>
      <c r="P630" s="216"/>
      <c r="Q630" s="216"/>
      <c r="R630" s="216"/>
      <c r="S630" s="216"/>
      <c r="T630" s="216"/>
      <c r="U630" s="216"/>
      <c r="V630" s="216"/>
      <c r="W630" s="216"/>
      <c r="X630" s="216"/>
    </row>
    <row r="631" spans="1:24" ht="15.75" customHeight="1">
      <c r="A631" s="514" t="s">
        <v>2844</v>
      </c>
      <c r="B631" s="515" t="s">
        <v>2845</v>
      </c>
      <c r="C631" s="290" t="s">
        <v>141</v>
      </c>
      <c r="D631" s="301" t="s">
        <v>2846</v>
      </c>
      <c r="E631" s="301" t="s">
        <v>2847</v>
      </c>
      <c r="F631" s="290" t="s">
        <v>1338</v>
      </c>
      <c r="G631" s="304">
        <v>3</v>
      </c>
      <c r="H631" s="290">
        <v>3</v>
      </c>
      <c r="I631" s="290">
        <v>3</v>
      </c>
      <c r="J631" s="512">
        <v>50</v>
      </c>
      <c r="K631" s="513">
        <v>16.670000000000002</v>
      </c>
      <c r="L631" s="510" t="s">
        <v>739</v>
      </c>
      <c r="M631" s="216"/>
      <c r="N631" s="216"/>
      <c r="O631" s="216"/>
      <c r="P631" s="216"/>
      <c r="Q631" s="216"/>
      <c r="R631" s="216"/>
      <c r="S631" s="216"/>
      <c r="T631" s="216"/>
      <c r="U631" s="216"/>
      <c r="V631" s="216"/>
      <c r="W631" s="216"/>
      <c r="X631" s="216"/>
    </row>
    <row r="632" spans="1:24" ht="15.75" customHeight="1">
      <c r="A632" s="301" t="s">
        <v>2848</v>
      </c>
      <c r="B632" s="301" t="s">
        <v>2849</v>
      </c>
      <c r="C632" s="290" t="s">
        <v>141</v>
      </c>
      <c r="D632" s="301" t="s">
        <v>2850</v>
      </c>
      <c r="E632" s="301" t="s">
        <v>2851</v>
      </c>
      <c r="F632" s="290" t="s">
        <v>1338</v>
      </c>
      <c r="G632" s="304">
        <v>3</v>
      </c>
      <c r="H632" s="290">
        <v>3</v>
      </c>
      <c r="I632" s="290">
        <v>3</v>
      </c>
      <c r="J632" s="512">
        <v>50</v>
      </c>
      <c r="K632" s="513">
        <v>16.670000000000002</v>
      </c>
      <c r="L632" s="510" t="s">
        <v>739</v>
      </c>
      <c r="M632" s="216"/>
      <c r="N632" s="216"/>
      <c r="O632" s="216"/>
      <c r="P632" s="216"/>
      <c r="Q632" s="216"/>
      <c r="R632" s="216"/>
      <c r="S632" s="216"/>
      <c r="T632" s="216"/>
      <c r="U632" s="216"/>
      <c r="V632" s="216"/>
      <c r="W632" s="216"/>
      <c r="X632" s="216"/>
    </row>
    <row r="633" spans="1:24" ht="15.75" customHeight="1">
      <c r="A633" s="302" t="s">
        <v>2852</v>
      </c>
      <c r="B633" s="301" t="s">
        <v>2853</v>
      </c>
      <c r="C633" s="290" t="s">
        <v>141</v>
      </c>
      <c r="D633" s="302" t="s">
        <v>2854</v>
      </c>
      <c r="E633" s="301" t="s">
        <v>2855</v>
      </c>
      <c r="F633" s="290" t="s">
        <v>1338</v>
      </c>
      <c r="G633" s="290">
        <v>2</v>
      </c>
      <c r="H633" s="290">
        <v>2</v>
      </c>
      <c r="I633" s="512">
        <v>3</v>
      </c>
      <c r="J633" s="512">
        <v>50</v>
      </c>
      <c r="K633" s="513">
        <v>25</v>
      </c>
      <c r="L633" s="510" t="s">
        <v>739</v>
      </c>
      <c r="M633" s="216"/>
      <c r="N633" s="216"/>
      <c r="O633" s="216"/>
      <c r="P633" s="216"/>
      <c r="Q633" s="216"/>
      <c r="R633" s="216"/>
      <c r="S633" s="216"/>
      <c r="T633" s="216"/>
      <c r="U633" s="216"/>
      <c r="V633" s="216"/>
      <c r="W633" s="216"/>
      <c r="X633" s="216"/>
    </row>
    <row r="634" spans="1:24" ht="15.75" customHeight="1">
      <c r="A634" s="302" t="s">
        <v>2852</v>
      </c>
      <c r="B634" s="301" t="s">
        <v>2853</v>
      </c>
      <c r="C634" s="290" t="s">
        <v>141</v>
      </c>
      <c r="D634" s="301" t="s">
        <v>2856</v>
      </c>
      <c r="E634" s="301" t="s">
        <v>2857</v>
      </c>
      <c r="F634" s="290" t="s">
        <v>635</v>
      </c>
      <c r="G634" s="290">
        <v>2</v>
      </c>
      <c r="H634" s="290">
        <v>2</v>
      </c>
      <c r="I634" s="512">
        <v>3</v>
      </c>
      <c r="J634" s="512">
        <v>50</v>
      </c>
      <c r="K634" s="513">
        <v>25</v>
      </c>
      <c r="L634" s="510" t="s">
        <v>739</v>
      </c>
      <c r="M634" s="216"/>
      <c r="N634" s="216"/>
      <c r="O634" s="216"/>
      <c r="P634" s="216"/>
      <c r="Q634" s="216"/>
      <c r="R634" s="216"/>
      <c r="S634" s="216"/>
      <c r="T634" s="216"/>
      <c r="U634" s="216"/>
      <c r="V634" s="216"/>
      <c r="W634" s="216"/>
      <c r="X634" s="216"/>
    </row>
    <row r="635" spans="1:24" ht="15.75" customHeight="1">
      <c r="A635" s="302" t="s">
        <v>2852</v>
      </c>
      <c r="B635" s="301" t="s">
        <v>2853</v>
      </c>
      <c r="C635" s="290" t="s">
        <v>141</v>
      </c>
      <c r="D635" s="301" t="s">
        <v>2858</v>
      </c>
      <c r="E635" s="301" t="s">
        <v>2859</v>
      </c>
      <c r="F635" s="290" t="s">
        <v>635</v>
      </c>
      <c r="G635" s="290">
        <v>2</v>
      </c>
      <c r="H635" s="290">
        <v>2</v>
      </c>
      <c r="I635" s="512">
        <v>3</v>
      </c>
      <c r="J635" s="512">
        <v>50</v>
      </c>
      <c r="K635" s="513">
        <v>25</v>
      </c>
      <c r="L635" s="510" t="s">
        <v>739</v>
      </c>
      <c r="M635" s="216"/>
      <c r="N635" s="216"/>
      <c r="O635" s="216"/>
      <c r="P635" s="216"/>
      <c r="Q635" s="216"/>
      <c r="R635" s="216"/>
      <c r="S635" s="216"/>
      <c r="T635" s="216"/>
      <c r="U635" s="216"/>
      <c r="V635" s="216"/>
      <c r="W635" s="216"/>
      <c r="X635" s="216"/>
    </row>
    <row r="636" spans="1:24" ht="15.75" customHeight="1">
      <c r="A636" s="302" t="s">
        <v>2852</v>
      </c>
      <c r="B636" s="301" t="s">
        <v>2853</v>
      </c>
      <c r="C636" s="290" t="s">
        <v>141</v>
      </c>
      <c r="D636" s="301" t="s">
        <v>2860</v>
      </c>
      <c r="E636" s="301" t="s">
        <v>2861</v>
      </c>
      <c r="F636" s="290" t="s">
        <v>635</v>
      </c>
      <c r="G636" s="290">
        <v>2</v>
      </c>
      <c r="H636" s="290">
        <v>2</v>
      </c>
      <c r="I636" s="512">
        <v>3</v>
      </c>
      <c r="J636" s="512">
        <v>50</v>
      </c>
      <c r="K636" s="513">
        <v>25</v>
      </c>
      <c r="L636" s="510" t="s">
        <v>739</v>
      </c>
      <c r="M636" s="216"/>
      <c r="N636" s="216"/>
      <c r="O636" s="216"/>
      <c r="P636" s="216"/>
      <c r="Q636" s="216"/>
      <c r="R636" s="216"/>
      <c r="S636" s="216"/>
      <c r="T636" s="216"/>
      <c r="U636" s="216"/>
      <c r="V636" s="216"/>
      <c r="W636" s="216"/>
      <c r="X636" s="216"/>
    </row>
    <row r="637" spans="1:24" ht="15.75" customHeight="1">
      <c r="A637" s="301" t="s">
        <v>2862</v>
      </c>
      <c r="B637" s="301" t="s">
        <v>2863</v>
      </c>
      <c r="C637" s="290" t="s">
        <v>141</v>
      </c>
      <c r="D637" s="301" t="s">
        <v>2864</v>
      </c>
      <c r="E637" s="301" t="s">
        <v>2865</v>
      </c>
      <c r="F637" s="512" t="s">
        <v>635</v>
      </c>
      <c r="G637" s="290">
        <v>2</v>
      </c>
      <c r="H637" s="290">
        <v>2</v>
      </c>
      <c r="I637" s="512">
        <v>3</v>
      </c>
      <c r="J637" s="512">
        <v>50</v>
      </c>
      <c r="K637" s="513">
        <v>25</v>
      </c>
      <c r="L637" s="510" t="s">
        <v>739</v>
      </c>
      <c r="M637" s="216"/>
      <c r="N637" s="216"/>
      <c r="O637" s="216"/>
      <c r="P637" s="216"/>
      <c r="Q637" s="216"/>
      <c r="R637" s="216"/>
      <c r="S637" s="216"/>
      <c r="T637" s="216"/>
      <c r="U637" s="216"/>
      <c r="V637" s="216"/>
      <c r="W637" s="216"/>
      <c r="X637" s="216"/>
    </row>
    <row r="638" spans="1:24" ht="15.75" customHeight="1">
      <c r="A638" s="301" t="s">
        <v>2866</v>
      </c>
      <c r="B638" s="301" t="s">
        <v>2867</v>
      </c>
      <c r="C638" s="290" t="s">
        <v>141</v>
      </c>
      <c r="D638" s="301" t="s">
        <v>2868</v>
      </c>
      <c r="E638" s="301" t="s">
        <v>2869</v>
      </c>
      <c r="F638" s="290" t="s">
        <v>1338</v>
      </c>
      <c r="G638" s="290">
        <v>2</v>
      </c>
      <c r="H638" s="290">
        <v>2</v>
      </c>
      <c r="I638" s="512">
        <v>2</v>
      </c>
      <c r="J638" s="512">
        <v>50</v>
      </c>
      <c r="K638" s="513">
        <v>25</v>
      </c>
      <c r="L638" s="510" t="s">
        <v>739</v>
      </c>
      <c r="M638" s="216"/>
      <c r="N638" s="216"/>
      <c r="O638" s="216"/>
      <c r="P638" s="216"/>
      <c r="Q638" s="216"/>
      <c r="R638" s="216"/>
      <c r="S638" s="216"/>
      <c r="T638" s="216"/>
      <c r="U638" s="216"/>
      <c r="V638" s="216"/>
      <c r="W638" s="216"/>
      <c r="X638" s="216"/>
    </row>
    <row r="639" spans="1:24" ht="15.75" customHeight="1">
      <c r="A639" s="515" t="s">
        <v>2870</v>
      </c>
      <c r="B639" s="514" t="s">
        <v>2871</v>
      </c>
      <c r="C639" s="290" t="s">
        <v>141</v>
      </c>
      <c r="D639" s="515" t="s">
        <v>2872</v>
      </c>
      <c r="E639" s="515" t="s">
        <v>2873</v>
      </c>
      <c r="F639" s="516" t="s">
        <v>635</v>
      </c>
      <c r="G639" s="516">
        <v>3</v>
      </c>
      <c r="H639" s="516">
        <v>3</v>
      </c>
      <c r="I639" s="516">
        <v>3</v>
      </c>
      <c r="J639" s="516">
        <v>50</v>
      </c>
      <c r="K639" s="517">
        <v>16.670000000000002</v>
      </c>
      <c r="L639" s="510" t="s">
        <v>739</v>
      </c>
      <c r="M639" s="216"/>
      <c r="N639" s="216"/>
      <c r="O639" s="216"/>
      <c r="P639" s="216"/>
      <c r="Q639" s="216"/>
      <c r="R639" s="216"/>
      <c r="S639" s="216"/>
      <c r="T639" s="216"/>
      <c r="U639" s="216"/>
      <c r="V639" s="216"/>
      <c r="W639" s="216"/>
      <c r="X639" s="216"/>
    </row>
    <row r="640" spans="1:24" ht="15.75" customHeight="1">
      <c r="A640" s="515" t="s">
        <v>2874</v>
      </c>
      <c r="B640" s="514" t="s">
        <v>2875</v>
      </c>
      <c r="C640" s="301" t="s">
        <v>141</v>
      </c>
      <c r="D640" s="515" t="s">
        <v>2876</v>
      </c>
      <c r="E640" s="301" t="s">
        <v>2877</v>
      </c>
      <c r="F640" s="516" t="s">
        <v>1338</v>
      </c>
      <c r="G640" s="516">
        <v>2</v>
      </c>
      <c r="H640" s="516">
        <v>2</v>
      </c>
      <c r="I640" s="516">
        <v>2</v>
      </c>
      <c r="J640" s="516">
        <v>50</v>
      </c>
      <c r="K640" s="518">
        <v>25</v>
      </c>
      <c r="L640" s="510" t="s">
        <v>739</v>
      </c>
      <c r="M640" s="216"/>
      <c r="N640" s="216"/>
      <c r="O640" s="216"/>
      <c r="P640" s="216"/>
      <c r="Q640" s="216"/>
      <c r="R640" s="216"/>
      <c r="S640" s="216"/>
      <c r="T640" s="216"/>
      <c r="U640" s="216"/>
      <c r="V640" s="216"/>
      <c r="W640" s="216"/>
      <c r="X640" s="216"/>
    </row>
    <row r="641" spans="1:24" ht="15.75" customHeight="1">
      <c r="A641" s="515" t="s">
        <v>2874</v>
      </c>
      <c r="B641" s="515" t="s">
        <v>2878</v>
      </c>
      <c r="C641" s="301" t="s">
        <v>141</v>
      </c>
      <c r="D641" s="515" t="s">
        <v>2879</v>
      </c>
      <c r="E641" s="301" t="s">
        <v>2880</v>
      </c>
      <c r="F641" s="516" t="s">
        <v>1338</v>
      </c>
      <c r="G641" s="516">
        <v>2</v>
      </c>
      <c r="H641" s="516">
        <v>2</v>
      </c>
      <c r="I641" s="516">
        <v>2</v>
      </c>
      <c r="J641" s="516">
        <v>50</v>
      </c>
      <c r="K641" s="518">
        <v>25</v>
      </c>
      <c r="L641" s="510" t="s">
        <v>739</v>
      </c>
      <c r="M641" s="216"/>
      <c r="N641" s="216"/>
      <c r="O641" s="216"/>
      <c r="P641" s="216"/>
      <c r="Q641" s="216"/>
      <c r="R641" s="216"/>
      <c r="S641" s="216"/>
      <c r="T641" s="216"/>
      <c r="U641" s="216"/>
      <c r="V641" s="216"/>
      <c r="W641" s="216"/>
      <c r="X641" s="216"/>
    </row>
    <row r="642" spans="1:24" ht="15.75" customHeight="1">
      <c r="A642" s="515" t="s">
        <v>2874</v>
      </c>
      <c r="B642" s="515" t="s">
        <v>2878</v>
      </c>
      <c r="C642" s="301" t="s">
        <v>141</v>
      </c>
      <c r="D642" s="515" t="s">
        <v>2881</v>
      </c>
      <c r="E642" s="301" t="s">
        <v>2882</v>
      </c>
      <c r="F642" s="516" t="s">
        <v>1338</v>
      </c>
      <c r="G642" s="516">
        <v>2</v>
      </c>
      <c r="H642" s="516">
        <v>2</v>
      </c>
      <c r="I642" s="516">
        <v>2</v>
      </c>
      <c r="J642" s="516">
        <v>50</v>
      </c>
      <c r="K642" s="518">
        <v>25</v>
      </c>
      <c r="L642" s="510" t="s">
        <v>739</v>
      </c>
      <c r="M642" s="216"/>
      <c r="N642" s="216"/>
      <c r="O642" s="216"/>
      <c r="P642" s="216"/>
      <c r="Q642" s="216"/>
      <c r="R642" s="216"/>
      <c r="S642" s="216"/>
      <c r="T642" s="216"/>
      <c r="U642" s="216"/>
      <c r="V642" s="216"/>
      <c r="W642" s="216"/>
      <c r="X642" s="216"/>
    </row>
    <row r="643" spans="1:24" ht="15.75" customHeight="1">
      <c r="A643" s="301" t="s">
        <v>2883</v>
      </c>
      <c r="B643" s="515" t="s">
        <v>2884</v>
      </c>
      <c r="C643" s="301" t="s">
        <v>141</v>
      </c>
      <c r="D643" s="515" t="s">
        <v>2885</v>
      </c>
      <c r="E643" s="301" t="s">
        <v>2886</v>
      </c>
      <c r="F643" s="516" t="s">
        <v>1338</v>
      </c>
      <c r="G643" s="519">
        <v>12</v>
      </c>
      <c r="H643" s="519">
        <v>8</v>
      </c>
      <c r="I643" s="519">
        <v>14</v>
      </c>
      <c r="J643" s="519">
        <v>50</v>
      </c>
      <c r="K643" s="517">
        <v>4.17</v>
      </c>
      <c r="L643" s="511" t="s">
        <v>739</v>
      </c>
      <c r="M643" s="216"/>
      <c r="N643" s="216"/>
      <c r="O643" s="216"/>
      <c r="P643" s="216"/>
      <c r="Q643" s="216"/>
      <c r="R643" s="216"/>
      <c r="S643" s="216"/>
      <c r="T643" s="216"/>
      <c r="U643" s="216"/>
      <c r="V643" s="216"/>
      <c r="W643" s="216"/>
      <c r="X643" s="216"/>
    </row>
    <row r="644" spans="1:24" ht="15.75" customHeight="1">
      <c r="A644" s="301" t="s">
        <v>2883</v>
      </c>
      <c r="B644" s="515" t="s">
        <v>2884</v>
      </c>
      <c r="C644" s="301" t="s">
        <v>141</v>
      </c>
      <c r="D644" s="515" t="s">
        <v>2887</v>
      </c>
      <c r="E644" s="515" t="s">
        <v>2888</v>
      </c>
      <c r="F644" s="516" t="s">
        <v>1338</v>
      </c>
      <c r="G644" s="519">
        <v>12</v>
      </c>
      <c r="H644" s="519">
        <v>8</v>
      </c>
      <c r="I644" s="519">
        <v>14</v>
      </c>
      <c r="J644" s="519">
        <v>50</v>
      </c>
      <c r="K644" s="517">
        <v>4.17</v>
      </c>
      <c r="L644" s="511" t="s">
        <v>739</v>
      </c>
      <c r="M644" s="216"/>
      <c r="N644" s="216"/>
      <c r="O644" s="216"/>
      <c r="P644" s="216"/>
      <c r="Q644" s="216"/>
      <c r="R644" s="216"/>
      <c r="S644" s="216"/>
      <c r="T644" s="216"/>
      <c r="U644" s="216"/>
      <c r="V644" s="216"/>
      <c r="W644" s="216"/>
      <c r="X644" s="216"/>
    </row>
    <row r="645" spans="1:24" ht="15.75" customHeight="1">
      <c r="A645" s="301" t="s">
        <v>2883</v>
      </c>
      <c r="B645" s="515" t="s">
        <v>2884</v>
      </c>
      <c r="C645" s="301" t="s">
        <v>141</v>
      </c>
      <c r="D645" s="515" t="s">
        <v>2889</v>
      </c>
      <c r="E645" s="301" t="s">
        <v>2890</v>
      </c>
      <c r="F645" s="516" t="s">
        <v>1338</v>
      </c>
      <c r="G645" s="519">
        <v>12</v>
      </c>
      <c r="H645" s="519">
        <v>8</v>
      </c>
      <c r="I645" s="519">
        <v>14</v>
      </c>
      <c r="J645" s="519">
        <v>50</v>
      </c>
      <c r="K645" s="517">
        <v>4.16</v>
      </c>
      <c r="L645" s="511" t="s">
        <v>739</v>
      </c>
      <c r="M645" s="216"/>
      <c r="N645" s="216"/>
      <c r="O645" s="216"/>
      <c r="P645" s="216"/>
      <c r="Q645" s="216"/>
      <c r="R645" s="216"/>
      <c r="S645" s="216"/>
      <c r="T645" s="216"/>
      <c r="U645" s="216"/>
      <c r="V645" s="216"/>
      <c r="W645" s="216"/>
      <c r="X645" s="216"/>
    </row>
    <row r="646" spans="1:24" ht="15.75" customHeight="1">
      <c r="A646" s="301" t="s">
        <v>2883</v>
      </c>
      <c r="B646" s="515" t="s">
        <v>2884</v>
      </c>
      <c r="C646" s="301" t="s">
        <v>141</v>
      </c>
      <c r="D646" s="515" t="s">
        <v>2891</v>
      </c>
      <c r="E646" s="301" t="s">
        <v>2892</v>
      </c>
      <c r="F646" s="516" t="s">
        <v>1338</v>
      </c>
      <c r="G646" s="519">
        <v>12</v>
      </c>
      <c r="H646" s="519">
        <v>8</v>
      </c>
      <c r="I646" s="519">
        <v>14</v>
      </c>
      <c r="J646" s="519">
        <v>50</v>
      </c>
      <c r="K646" s="517">
        <v>4.16</v>
      </c>
      <c r="L646" s="511" t="s">
        <v>739</v>
      </c>
      <c r="M646" s="216"/>
      <c r="N646" s="216"/>
      <c r="O646" s="216"/>
      <c r="P646" s="216"/>
      <c r="Q646" s="216"/>
      <c r="R646" s="216"/>
      <c r="S646" s="216"/>
      <c r="T646" s="216"/>
      <c r="U646" s="216"/>
      <c r="V646" s="216"/>
      <c r="W646" s="216"/>
      <c r="X646" s="216"/>
    </row>
    <row r="647" spans="1:24" ht="15.75" customHeight="1">
      <c r="A647" s="301" t="s">
        <v>2883</v>
      </c>
      <c r="B647" s="515" t="s">
        <v>2884</v>
      </c>
      <c r="C647" s="301" t="s">
        <v>141</v>
      </c>
      <c r="D647" s="515" t="s">
        <v>2893</v>
      </c>
      <c r="E647" s="301" t="s">
        <v>2894</v>
      </c>
      <c r="F647" s="519" t="s">
        <v>1338</v>
      </c>
      <c r="G647" s="519">
        <v>12</v>
      </c>
      <c r="H647" s="519">
        <v>8</v>
      </c>
      <c r="I647" s="519">
        <v>14</v>
      </c>
      <c r="J647" s="519">
        <v>50</v>
      </c>
      <c r="K647" s="517">
        <v>4.16</v>
      </c>
      <c r="L647" s="511" t="s">
        <v>739</v>
      </c>
      <c r="M647" s="216"/>
      <c r="N647" s="216"/>
      <c r="O647" s="216"/>
      <c r="P647" s="216"/>
      <c r="Q647" s="216"/>
      <c r="R647" s="216"/>
      <c r="S647" s="216"/>
      <c r="T647" s="216"/>
      <c r="U647" s="216"/>
      <c r="V647" s="216"/>
      <c r="W647" s="216"/>
      <c r="X647" s="216"/>
    </row>
    <row r="648" spans="1:24" ht="15.75" customHeight="1">
      <c r="A648" s="515" t="s">
        <v>2895</v>
      </c>
      <c r="B648" s="515" t="s">
        <v>2896</v>
      </c>
      <c r="C648" s="515"/>
      <c r="D648" s="515" t="s">
        <v>2897</v>
      </c>
      <c r="E648" s="515" t="s">
        <v>2898</v>
      </c>
      <c r="F648" s="519" t="s">
        <v>1338</v>
      </c>
      <c r="G648" s="519">
        <v>2</v>
      </c>
      <c r="H648" s="519">
        <v>2</v>
      </c>
      <c r="I648" s="519">
        <v>2</v>
      </c>
      <c r="J648" s="519">
        <v>50</v>
      </c>
      <c r="K648" s="517">
        <v>25</v>
      </c>
      <c r="L648" s="510" t="s">
        <v>739</v>
      </c>
      <c r="M648" s="216"/>
      <c r="N648" s="216"/>
      <c r="O648" s="216"/>
      <c r="P648" s="216"/>
      <c r="Q648" s="216"/>
      <c r="R648" s="216"/>
      <c r="S648" s="216"/>
      <c r="T648" s="216"/>
      <c r="U648" s="216"/>
      <c r="V648" s="216"/>
      <c r="W648" s="216"/>
      <c r="X648" s="216"/>
    </row>
    <row r="649" spans="1:24" ht="15.75" customHeight="1">
      <c r="A649" s="515" t="s">
        <v>2899</v>
      </c>
      <c r="B649" s="515" t="s">
        <v>2900</v>
      </c>
      <c r="C649" s="515" t="s">
        <v>141</v>
      </c>
      <c r="D649" s="515" t="s">
        <v>2901</v>
      </c>
      <c r="E649" s="515" t="s">
        <v>2902</v>
      </c>
      <c r="F649" s="519" t="s">
        <v>1338</v>
      </c>
      <c r="G649" s="519">
        <v>2</v>
      </c>
      <c r="H649" s="519">
        <v>2</v>
      </c>
      <c r="I649" s="519">
        <v>2</v>
      </c>
      <c r="J649" s="519">
        <v>50</v>
      </c>
      <c r="K649" s="517">
        <v>25</v>
      </c>
      <c r="L649" s="510" t="s">
        <v>739</v>
      </c>
      <c r="M649" s="216"/>
      <c r="N649" s="216"/>
      <c r="O649" s="216"/>
      <c r="P649" s="216"/>
      <c r="Q649" s="216"/>
      <c r="R649" s="216"/>
      <c r="S649" s="216"/>
      <c r="T649" s="216"/>
      <c r="U649" s="216"/>
      <c r="V649" s="216"/>
      <c r="W649" s="216"/>
      <c r="X649" s="216"/>
    </row>
    <row r="650" spans="1:24" ht="15.75" customHeight="1">
      <c r="A650" s="515" t="s">
        <v>2899</v>
      </c>
      <c r="B650" s="515" t="s">
        <v>2900</v>
      </c>
      <c r="C650" s="515" t="s">
        <v>141</v>
      </c>
      <c r="D650" s="515" t="s">
        <v>2903</v>
      </c>
      <c r="E650" s="301" t="s">
        <v>2904</v>
      </c>
      <c r="F650" s="519" t="s">
        <v>1338</v>
      </c>
      <c r="G650" s="519">
        <v>2</v>
      </c>
      <c r="H650" s="519">
        <v>2</v>
      </c>
      <c r="I650" s="519">
        <v>2</v>
      </c>
      <c r="J650" s="519">
        <v>50</v>
      </c>
      <c r="K650" s="517">
        <v>25</v>
      </c>
      <c r="L650" s="510" t="s">
        <v>739</v>
      </c>
      <c r="M650" s="216"/>
      <c r="N650" s="216"/>
      <c r="O650" s="216"/>
      <c r="P650" s="216"/>
      <c r="Q650" s="216"/>
      <c r="R650" s="216"/>
      <c r="S650" s="216"/>
      <c r="T650" s="216"/>
      <c r="U650" s="216"/>
      <c r="V650" s="216"/>
      <c r="W650" s="216"/>
      <c r="X650" s="216"/>
    </row>
    <row r="651" spans="1:24" ht="15.75" customHeight="1">
      <c r="A651" s="515" t="s">
        <v>2905</v>
      </c>
      <c r="B651" s="515" t="s">
        <v>2906</v>
      </c>
      <c r="C651" s="515" t="s">
        <v>141</v>
      </c>
      <c r="D651" s="515" t="s">
        <v>2907</v>
      </c>
      <c r="E651" s="301" t="s">
        <v>2908</v>
      </c>
      <c r="F651" s="519" t="s">
        <v>1338</v>
      </c>
      <c r="G651" s="519">
        <v>2</v>
      </c>
      <c r="H651" s="519">
        <v>1</v>
      </c>
      <c r="I651" s="519">
        <v>2</v>
      </c>
      <c r="J651" s="519">
        <v>50</v>
      </c>
      <c r="K651" s="517">
        <v>25</v>
      </c>
      <c r="L651" s="510" t="s">
        <v>739</v>
      </c>
      <c r="M651" s="216"/>
      <c r="N651" s="216"/>
      <c r="O651" s="216"/>
      <c r="P651" s="216"/>
      <c r="Q651" s="216"/>
      <c r="R651" s="216"/>
      <c r="S651" s="216"/>
      <c r="T651" s="216"/>
      <c r="U651" s="216"/>
      <c r="V651" s="216"/>
      <c r="W651" s="216"/>
      <c r="X651" s="216"/>
    </row>
    <row r="652" spans="1:24" ht="15.75" customHeight="1">
      <c r="A652" s="515" t="s">
        <v>2909</v>
      </c>
      <c r="B652" s="515" t="s">
        <v>2910</v>
      </c>
      <c r="C652" s="290" t="s">
        <v>141</v>
      </c>
      <c r="D652" s="515" t="s">
        <v>2911</v>
      </c>
      <c r="E652" s="301" t="s">
        <v>2912</v>
      </c>
      <c r="F652" s="519" t="s">
        <v>1338</v>
      </c>
      <c r="G652" s="519">
        <v>2</v>
      </c>
      <c r="H652" s="519">
        <v>2</v>
      </c>
      <c r="I652" s="519">
        <v>2</v>
      </c>
      <c r="J652" s="519">
        <v>50</v>
      </c>
      <c r="K652" s="517">
        <v>25</v>
      </c>
      <c r="L652" s="510" t="s">
        <v>739</v>
      </c>
      <c r="M652" s="216"/>
      <c r="N652" s="216"/>
      <c r="O652" s="216"/>
      <c r="P652" s="216"/>
      <c r="Q652" s="216"/>
      <c r="R652" s="216"/>
      <c r="S652" s="216"/>
      <c r="T652" s="216"/>
      <c r="U652" s="216"/>
      <c r="V652" s="216"/>
      <c r="W652" s="216"/>
      <c r="X652" s="216"/>
    </row>
    <row r="653" spans="1:24" ht="15.75" customHeight="1">
      <c r="A653" s="301" t="s">
        <v>2909</v>
      </c>
      <c r="B653" s="515" t="s">
        <v>2913</v>
      </c>
      <c r="C653" s="290" t="s">
        <v>141</v>
      </c>
      <c r="D653" s="515" t="s">
        <v>2914</v>
      </c>
      <c r="E653" s="301" t="s">
        <v>2915</v>
      </c>
      <c r="F653" s="519" t="s">
        <v>635</v>
      </c>
      <c r="G653" s="519">
        <v>2</v>
      </c>
      <c r="H653" s="519">
        <v>2</v>
      </c>
      <c r="I653" s="519">
        <v>2</v>
      </c>
      <c r="J653" s="519">
        <v>50</v>
      </c>
      <c r="K653" s="517">
        <v>25</v>
      </c>
      <c r="L653" s="510" t="s">
        <v>739</v>
      </c>
      <c r="M653" s="216"/>
      <c r="N653" s="216"/>
      <c r="O653" s="216"/>
      <c r="P653" s="216"/>
      <c r="Q653" s="216"/>
      <c r="R653" s="216"/>
      <c r="S653" s="216"/>
      <c r="T653" s="216"/>
      <c r="U653" s="216"/>
      <c r="V653" s="216"/>
      <c r="W653" s="216"/>
      <c r="X653" s="216"/>
    </row>
    <row r="654" spans="1:24" ht="15.75" customHeight="1">
      <c r="A654" s="301" t="s">
        <v>2909</v>
      </c>
      <c r="B654" s="515" t="s">
        <v>2913</v>
      </c>
      <c r="C654" s="290" t="s">
        <v>141</v>
      </c>
      <c r="D654" s="301" t="s">
        <v>2916</v>
      </c>
      <c r="E654" s="301" t="s">
        <v>2917</v>
      </c>
      <c r="F654" s="519" t="s">
        <v>635</v>
      </c>
      <c r="G654" s="519">
        <v>2</v>
      </c>
      <c r="H654" s="519">
        <v>2</v>
      </c>
      <c r="I654" s="519">
        <v>2</v>
      </c>
      <c r="J654" s="519">
        <v>50</v>
      </c>
      <c r="K654" s="517">
        <v>25</v>
      </c>
      <c r="L654" s="510" t="s">
        <v>739</v>
      </c>
      <c r="M654" s="216"/>
      <c r="N654" s="216"/>
      <c r="O654" s="216"/>
      <c r="P654" s="216"/>
      <c r="Q654" s="216"/>
      <c r="R654" s="216"/>
      <c r="S654" s="216"/>
      <c r="T654" s="216"/>
      <c r="U654" s="216"/>
      <c r="V654" s="216"/>
      <c r="W654" s="216"/>
      <c r="X654" s="216"/>
    </row>
    <row r="655" spans="1:24" ht="15.75" customHeight="1">
      <c r="A655" s="301" t="s">
        <v>2918</v>
      </c>
      <c r="B655" s="515" t="s">
        <v>2919</v>
      </c>
      <c r="C655" s="290" t="s">
        <v>141</v>
      </c>
      <c r="D655" s="301" t="s">
        <v>2920</v>
      </c>
      <c r="E655" s="301" t="s">
        <v>2921</v>
      </c>
      <c r="F655" s="519" t="s">
        <v>1338</v>
      </c>
      <c r="G655" s="519">
        <v>2</v>
      </c>
      <c r="H655" s="519">
        <v>2</v>
      </c>
      <c r="I655" s="519">
        <v>2</v>
      </c>
      <c r="J655" s="519">
        <v>50</v>
      </c>
      <c r="K655" s="517">
        <v>25</v>
      </c>
      <c r="L655" s="510" t="s">
        <v>739</v>
      </c>
      <c r="M655" s="216"/>
      <c r="N655" s="216"/>
      <c r="O655" s="216"/>
      <c r="P655" s="216"/>
      <c r="Q655" s="216"/>
      <c r="R655" s="216"/>
      <c r="S655" s="216"/>
      <c r="T655" s="216"/>
      <c r="U655" s="216"/>
      <c r="V655" s="216"/>
      <c r="W655" s="216"/>
      <c r="X655" s="216"/>
    </row>
    <row r="656" spans="1:24" ht="15.75" customHeight="1">
      <c r="A656" s="301" t="s">
        <v>2918</v>
      </c>
      <c r="B656" s="515" t="s">
        <v>2919</v>
      </c>
      <c r="C656" s="290" t="s">
        <v>141</v>
      </c>
      <c r="D656" s="301" t="s">
        <v>2922</v>
      </c>
      <c r="E656" s="301" t="s">
        <v>2923</v>
      </c>
      <c r="F656" s="519" t="s">
        <v>1338</v>
      </c>
      <c r="G656" s="519">
        <v>2</v>
      </c>
      <c r="H656" s="519">
        <v>2</v>
      </c>
      <c r="I656" s="519">
        <v>2</v>
      </c>
      <c r="J656" s="519">
        <v>50</v>
      </c>
      <c r="K656" s="517">
        <v>25</v>
      </c>
      <c r="L656" s="510" t="s">
        <v>739</v>
      </c>
      <c r="M656" s="216"/>
      <c r="N656" s="216"/>
      <c r="O656" s="216"/>
      <c r="P656" s="216"/>
      <c r="Q656" s="216"/>
      <c r="R656" s="216"/>
      <c r="S656" s="216"/>
      <c r="T656" s="216"/>
      <c r="U656" s="216"/>
      <c r="V656" s="216"/>
      <c r="W656" s="216"/>
      <c r="X656" s="216"/>
    </row>
    <row r="657" spans="1:24" ht="15.75" customHeight="1">
      <c r="A657" s="301" t="s">
        <v>2918</v>
      </c>
      <c r="B657" s="515" t="s">
        <v>2919</v>
      </c>
      <c r="C657" s="290" t="s">
        <v>141</v>
      </c>
      <c r="D657" s="301" t="s">
        <v>2924</v>
      </c>
      <c r="E657" s="301" t="s">
        <v>2925</v>
      </c>
      <c r="F657" s="519" t="s">
        <v>1338</v>
      </c>
      <c r="G657" s="519">
        <v>2</v>
      </c>
      <c r="H657" s="519">
        <v>2</v>
      </c>
      <c r="I657" s="519">
        <v>2</v>
      </c>
      <c r="J657" s="519">
        <v>50</v>
      </c>
      <c r="K657" s="517">
        <v>25</v>
      </c>
      <c r="L657" s="510" t="s">
        <v>739</v>
      </c>
      <c r="M657" s="216"/>
      <c r="N657" s="216"/>
      <c r="O657" s="216"/>
      <c r="P657" s="216"/>
      <c r="Q657" s="216"/>
      <c r="R657" s="216"/>
      <c r="S657" s="216"/>
      <c r="T657" s="216"/>
      <c r="U657" s="216"/>
      <c r="V657" s="216"/>
      <c r="W657" s="216"/>
      <c r="X657" s="216"/>
    </row>
    <row r="658" spans="1:24" ht="15.75" customHeight="1">
      <c r="A658" s="301" t="s">
        <v>2918</v>
      </c>
      <c r="B658" s="515" t="s">
        <v>2919</v>
      </c>
      <c r="C658" s="290" t="s">
        <v>141</v>
      </c>
      <c r="D658" s="301" t="s">
        <v>2926</v>
      </c>
      <c r="E658" s="301" t="s">
        <v>2927</v>
      </c>
      <c r="F658" s="519" t="s">
        <v>1338</v>
      </c>
      <c r="G658" s="519">
        <v>2</v>
      </c>
      <c r="H658" s="519">
        <v>2</v>
      </c>
      <c r="I658" s="519">
        <v>2</v>
      </c>
      <c r="J658" s="519">
        <v>50</v>
      </c>
      <c r="K658" s="517">
        <v>25</v>
      </c>
      <c r="L658" s="510" t="s">
        <v>739</v>
      </c>
      <c r="M658" s="216"/>
      <c r="N658" s="216"/>
      <c r="O658" s="216"/>
      <c r="P658" s="216"/>
      <c r="Q658" s="216"/>
      <c r="R658" s="216"/>
      <c r="S658" s="216"/>
      <c r="T658" s="216"/>
      <c r="U658" s="216"/>
      <c r="V658" s="216"/>
      <c r="W658" s="216"/>
      <c r="X658" s="216"/>
    </row>
    <row r="659" spans="1:24" ht="15.75" customHeight="1">
      <c r="A659" s="301" t="s">
        <v>2918</v>
      </c>
      <c r="B659" s="515" t="s">
        <v>2919</v>
      </c>
      <c r="C659" s="290" t="s">
        <v>141</v>
      </c>
      <c r="D659" s="301" t="s">
        <v>2928</v>
      </c>
      <c r="E659" s="301" t="s">
        <v>2929</v>
      </c>
      <c r="F659" s="519" t="s">
        <v>1338</v>
      </c>
      <c r="G659" s="519">
        <v>2</v>
      </c>
      <c r="H659" s="519">
        <v>2</v>
      </c>
      <c r="I659" s="519">
        <v>2</v>
      </c>
      <c r="J659" s="519">
        <v>50</v>
      </c>
      <c r="K659" s="517">
        <v>25</v>
      </c>
      <c r="L659" s="510" t="s">
        <v>739</v>
      </c>
      <c r="M659" s="216"/>
      <c r="N659" s="216"/>
      <c r="O659" s="216"/>
      <c r="P659" s="216"/>
      <c r="Q659" s="216"/>
      <c r="R659" s="216"/>
      <c r="S659" s="216"/>
      <c r="T659" s="216"/>
      <c r="U659" s="216"/>
      <c r="V659" s="216"/>
      <c r="W659" s="216"/>
      <c r="X659" s="216"/>
    </row>
    <row r="660" spans="1:24" ht="15.75" customHeight="1">
      <c r="A660" s="301" t="s">
        <v>2918</v>
      </c>
      <c r="B660" s="515" t="s">
        <v>2919</v>
      </c>
      <c r="C660" s="290" t="s">
        <v>141</v>
      </c>
      <c r="D660" s="515" t="s">
        <v>2930</v>
      </c>
      <c r="E660" s="301" t="s">
        <v>2931</v>
      </c>
      <c r="F660" s="519" t="s">
        <v>1338</v>
      </c>
      <c r="G660" s="519">
        <v>2</v>
      </c>
      <c r="H660" s="519">
        <v>2</v>
      </c>
      <c r="I660" s="519">
        <v>2</v>
      </c>
      <c r="J660" s="519">
        <v>50</v>
      </c>
      <c r="K660" s="517">
        <v>25</v>
      </c>
      <c r="L660" s="510" t="s">
        <v>739</v>
      </c>
      <c r="M660" s="216"/>
      <c r="N660" s="216"/>
      <c r="O660" s="216"/>
      <c r="P660" s="216"/>
      <c r="Q660" s="216"/>
      <c r="R660" s="216"/>
      <c r="S660" s="216"/>
      <c r="T660" s="216"/>
      <c r="U660" s="216"/>
      <c r="V660" s="216"/>
      <c r="W660" s="216"/>
      <c r="X660" s="216"/>
    </row>
    <row r="661" spans="1:24" ht="15.75" customHeight="1">
      <c r="A661" s="301" t="s">
        <v>2918</v>
      </c>
      <c r="B661" s="515" t="s">
        <v>2919</v>
      </c>
      <c r="C661" s="290" t="s">
        <v>141</v>
      </c>
      <c r="D661" s="515" t="s">
        <v>2932</v>
      </c>
      <c r="E661" s="301" t="s">
        <v>2933</v>
      </c>
      <c r="F661" s="519" t="s">
        <v>1338</v>
      </c>
      <c r="G661" s="519">
        <v>2</v>
      </c>
      <c r="H661" s="519">
        <v>2</v>
      </c>
      <c r="I661" s="519">
        <v>2</v>
      </c>
      <c r="J661" s="519">
        <v>50</v>
      </c>
      <c r="K661" s="517">
        <v>25</v>
      </c>
      <c r="L661" s="510" t="s">
        <v>739</v>
      </c>
      <c r="M661" s="216"/>
      <c r="N661" s="216"/>
      <c r="O661" s="216"/>
      <c r="P661" s="216"/>
      <c r="Q661" s="216"/>
      <c r="R661" s="216"/>
      <c r="S661" s="216"/>
      <c r="T661" s="216"/>
      <c r="U661" s="216"/>
      <c r="V661" s="216"/>
      <c r="W661" s="216"/>
      <c r="X661" s="216"/>
    </row>
    <row r="662" spans="1:24" ht="15.75" customHeight="1">
      <c r="A662" s="301" t="s">
        <v>2918</v>
      </c>
      <c r="B662" s="515" t="s">
        <v>2919</v>
      </c>
      <c r="C662" s="290" t="s">
        <v>141</v>
      </c>
      <c r="D662" s="515" t="s">
        <v>2934</v>
      </c>
      <c r="E662" s="301" t="s">
        <v>2935</v>
      </c>
      <c r="F662" s="519" t="s">
        <v>1338</v>
      </c>
      <c r="G662" s="519">
        <v>2</v>
      </c>
      <c r="H662" s="519">
        <v>2</v>
      </c>
      <c r="I662" s="519">
        <v>2</v>
      </c>
      <c r="J662" s="519">
        <v>50</v>
      </c>
      <c r="K662" s="517">
        <v>25</v>
      </c>
      <c r="L662" s="510" t="s">
        <v>739</v>
      </c>
      <c r="M662" s="216"/>
      <c r="N662" s="216"/>
      <c r="O662" s="216"/>
      <c r="P662" s="216"/>
      <c r="Q662" s="216"/>
      <c r="R662" s="216"/>
      <c r="S662" s="216"/>
      <c r="T662" s="216"/>
      <c r="U662" s="216"/>
      <c r="V662" s="216"/>
      <c r="W662" s="216"/>
      <c r="X662" s="216"/>
    </row>
    <row r="663" spans="1:24" ht="15.75" customHeight="1">
      <c r="A663" s="301" t="s">
        <v>2918</v>
      </c>
      <c r="B663" s="515" t="s">
        <v>2919</v>
      </c>
      <c r="C663" s="290" t="s">
        <v>141</v>
      </c>
      <c r="D663" s="515" t="s">
        <v>2936</v>
      </c>
      <c r="E663" s="301" t="s">
        <v>2937</v>
      </c>
      <c r="F663" s="519" t="s">
        <v>635</v>
      </c>
      <c r="G663" s="519">
        <v>2</v>
      </c>
      <c r="H663" s="519">
        <v>2</v>
      </c>
      <c r="I663" s="519">
        <v>2</v>
      </c>
      <c r="J663" s="519">
        <v>50</v>
      </c>
      <c r="K663" s="517">
        <v>25</v>
      </c>
      <c r="L663" s="510" t="s">
        <v>739</v>
      </c>
      <c r="M663" s="216"/>
      <c r="N663" s="216"/>
      <c r="O663" s="216"/>
      <c r="P663" s="216"/>
      <c r="Q663" s="216"/>
      <c r="R663" s="216"/>
      <c r="S663" s="216"/>
      <c r="T663" s="216"/>
      <c r="U663" s="216"/>
      <c r="V663" s="216"/>
      <c r="W663" s="216"/>
      <c r="X663" s="216"/>
    </row>
    <row r="664" spans="1:24" ht="15.75" customHeight="1">
      <c r="A664" s="301" t="s">
        <v>2918</v>
      </c>
      <c r="B664" s="515" t="s">
        <v>2919</v>
      </c>
      <c r="C664" s="290" t="s">
        <v>141</v>
      </c>
      <c r="D664" s="515" t="s">
        <v>2938</v>
      </c>
      <c r="E664" s="301" t="s">
        <v>2939</v>
      </c>
      <c r="F664" s="519" t="s">
        <v>635</v>
      </c>
      <c r="G664" s="519">
        <v>2</v>
      </c>
      <c r="H664" s="519">
        <v>2</v>
      </c>
      <c r="I664" s="519">
        <v>2</v>
      </c>
      <c r="J664" s="519">
        <v>50</v>
      </c>
      <c r="K664" s="517">
        <v>25</v>
      </c>
      <c r="L664" s="510" t="s">
        <v>739</v>
      </c>
      <c r="M664" s="216"/>
      <c r="N664" s="216"/>
      <c r="O664" s="216"/>
      <c r="P664" s="216"/>
      <c r="Q664" s="216"/>
      <c r="R664" s="216"/>
      <c r="S664" s="216"/>
      <c r="T664" s="216"/>
      <c r="U664" s="216"/>
      <c r="V664" s="216"/>
      <c r="W664" s="216"/>
      <c r="X664" s="216"/>
    </row>
    <row r="665" spans="1:24" ht="15.75" customHeight="1">
      <c r="A665" s="301" t="s">
        <v>2918</v>
      </c>
      <c r="B665" s="515" t="s">
        <v>2919</v>
      </c>
      <c r="C665" s="290" t="s">
        <v>141</v>
      </c>
      <c r="D665" s="301" t="s">
        <v>2940</v>
      </c>
      <c r="E665" s="301" t="s">
        <v>2941</v>
      </c>
      <c r="F665" s="519" t="s">
        <v>1338</v>
      </c>
      <c r="G665" s="519">
        <v>2</v>
      </c>
      <c r="H665" s="519">
        <v>2</v>
      </c>
      <c r="I665" s="519">
        <v>2</v>
      </c>
      <c r="J665" s="519">
        <v>50</v>
      </c>
      <c r="K665" s="517">
        <v>25</v>
      </c>
      <c r="L665" s="510" t="s">
        <v>739</v>
      </c>
      <c r="M665" s="216"/>
      <c r="N665" s="216"/>
      <c r="O665" s="216"/>
      <c r="P665" s="216"/>
      <c r="Q665" s="216"/>
      <c r="R665" s="216"/>
      <c r="S665" s="216"/>
      <c r="T665" s="216"/>
      <c r="U665" s="216"/>
      <c r="V665" s="216"/>
      <c r="W665" s="216"/>
      <c r="X665" s="216"/>
    </row>
    <row r="666" spans="1:24" ht="15.75" customHeight="1">
      <c r="A666" s="301" t="s">
        <v>2918</v>
      </c>
      <c r="B666" s="515" t="s">
        <v>2919</v>
      </c>
      <c r="C666" s="290" t="s">
        <v>141</v>
      </c>
      <c r="D666" s="515" t="s">
        <v>2942</v>
      </c>
      <c r="E666" s="301" t="s">
        <v>2943</v>
      </c>
      <c r="F666" s="519" t="s">
        <v>635</v>
      </c>
      <c r="G666" s="519">
        <v>2</v>
      </c>
      <c r="H666" s="519">
        <v>2</v>
      </c>
      <c r="I666" s="519">
        <v>2</v>
      </c>
      <c r="J666" s="519">
        <v>50</v>
      </c>
      <c r="K666" s="517">
        <v>25</v>
      </c>
      <c r="L666" s="510" t="s">
        <v>739</v>
      </c>
      <c r="M666" s="216"/>
      <c r="N666" s="216"/>
      <c r="O666" s="216"/>
      <c r="P666" s="216"/>
      <c r="Q666" s="216"/>
      <c r="R666" s="216"/>
      <c r="S666" s="216"/>
      <c r="T666" s="216"/>
      <c r="U666" s="216"/>
      <c r="V666" s="216"/>
      <c r="W666" s="216"/>
      <c r="X666" s="216"/>
    </row>
    <row r="667" spans="1:24" ht="15.75" customHeight="1">
      <c r="A667" s="301" t="s">
        <v>2918</v>
      </c>
      <c r="B667" s="515" t="s">
        <v>2919</v>
      </c>
      <c r="C667" s="290" t="s">
        <v>141</v>
      </c>
      <c r="D667" s="301" t="s">
        <v>2944</v>
      </c>
      <c r="E667" s="301" t="s">
        <v>2945</v>
      </c>
      <c r="F667" s="512" t="s">
        <v>1338</v>
      </c>
      <c r="G667" s="519">
        <v>2</v>
      </c>
      <c r="H667" s="519">
        <v>2</v>
      </c>
      <c r="I667" s="519">
        <v>2</v>
      </c>
      <c r="J667" s="519">
        <v>50</v>
      </c>
      <c r="K667" s="517">
        <v>25</v>
      </c>
      <c r="L667" s="510" t="s">
        <v>739</v>
      </c>
      <c r="M667" s="216"/>
      <c r="N667" s="216"/>
      <c r="O667" s="216"/>
      <c r="P667" s="216"/>
      <c r="Q667" s="216"/>
      <c r="R667" s="216"/>
      <c r="S667" s="216"/>
      <c r="T667" s="216"/>
      <c r="U667" s="216"/>
      <c r="V667" s="216"/>
      <c r="W667" s="216"/>
      <c r="X667" s="216"/>
    </row>
    <row r="668" spans="1:24" ht="15.75" customHeight="1">
      <c r="A668" s="301" t="s">
        <v>2918</v>
      </c>
      <c r="B668" s="515" t="s">
        <v>2919</v>
      </c>
      <c r="C668" s="290" t="s">
        <v>141</v>
      </c>
      <c r="D668" s="515" t="s">
        <v>2946</v>
      </c>
      <c r="E668" s="301" t="s">
        <v>2947</v>
      </c>
      <c r="F668" s="519" t="s">
        <v>635</v>
      </c>
      <c r="G668" s="519">
        <v>2</v>
      </c>
      <c r="H668" s="519">
        <v>2</v>
      </c>
      <c r="I668" s="519">
        <v>2</v>
      </c>
      <c r="J668" s="519">
        <v>50</v>
      </c>
      <c r="K668" s="517">
        <v>25</v>
      </c>
      <c r="L668" s="510" t="s">
        <v>739</v>
      </c>
      <c r="M668" s="216"/>
      <c r="N668" s="216"/>
      <c r="O668" s="216"/>
      <c r="P668" s="216"/>
      <c r="Q668" s="216"/>
      <c r="R668" s="216"/>
      <c r="S668" s="216"/>
      <c r="T668" s="216"/>
      <c r="U668" s="216"/>
      <c r="V668" s="216"/>
      <c r="W668" s="216"/>
      <c r="X668" s="216"/>
    </row>
    <row r="669" spans="1:24" ht="15.75" customHeight="1">
      <c r="A669" s="301" t="s">
        <v>2948</v>
      </c>
      <c r="B669" s="515" t="s">
        <v>2949</v>
      </c>
      <c r="C669" s="290" t="s">
        <v>141</v>
      </c>
      <c r="D669" s="515" t="s">
        <v>2950</v>
      </c>
      <c r="E669" s="301" t="s">
        <v>2951</v>
      </c>
      <c r="F669" s="519" t="s">
        <v>1338</v>
      </c>
      <c r="G669" s="519">
        <v>3</v>
      </c>
      <c r="H669" s="519">
        <v>3</v>
      </c>
      <c r="I669" s="519">
        <v>3</v>
      </c>
      <c r="J669" s="519">
        <v>50</v>
      </c>
      <c r="K669" s="513">
        <v>16.670000000000002</v>
      </c>
      <c r="L669" s="510" t="s">
        <v>739</v>
      </c>
      <c r="M669" s="216"/>
      <c r="N669" s="216"/>
      <c r="O669" s="216"/>
      <c r="P669" s="216"/>
      <c r="Q669" s="216"/>
      <c r="R669" s="216"/>
      <c r="S669" s="216"/>
      <c r="T669" s="216"/>
      <c r="U669" s="216"/>
      <c r="V669" s="216"/>
      <c r="W669" s="216"/>
      <c r="X669" s="216"/>
    </row>
    <row r="670" spans="1:24" ht="15.75" customHeight="1">
      <c r="A670" s="301" t="s">
        <v>2948</v>
      </c>
      <c r="B670" s="515" t="s">
        <v>2949</v>
      </c>
      <c r="C670" s="290" t="s">
        <v>141</v>
      </c>
      <c r="D670" s="515" t="s">
        <v>2952</v>
      </c>
      <c r="E670" s="301" t="s">
        <v>2953</v>
      </c>
      <c r="F670" s="519" t="s">
        <v>1338</v>
      </c>
      <c r="G670" s="519">
        <v>3</v>
      </c>
      <c r="H670" s="519">
        <v>3</v>
      </c>
      <c r="I670" s="519">
        <v>3</v>
      </c>
      <c r="J670" s="519">
        <v>50</v>
      </c>
      <c r="K670" s="513">
        <v>16.670000000000002</v>
      </c>
      <c r="L670" s="510" t="s">
        <v>739</v>
      </c>
      <c r="M670" s="216"/>
      <c r="N670" s="216"/>
      <c r="O670" s="216"/>
      <c r="P670" s="216"/>
      <c r="Q670" s="216"/>
      <c r="R670" s="216"/>
      <c r="S670" s="216"/>
      <c r="T670" s="216"/>
      <c r="U670" s="216"/>
      <c r="V670" s="216"/>
      <c r="W670" s="216"/>
      <c r="X670" s="216"/>
    </row>
    <row r="671" spans="1:24" ht="15.75" customHeight="1">
      <c r="A671" s="514" t="s">
        <v>2954</v>
      </c>
      <c r="B671" s="515" t="s">
        <v>2955</v>
      </c>
      <c r="C671" s="290" t="s">
        <v>141</v>
      </c>
      <c r="D671" s="515" t="s">
        <v>2956</v>
      </c>
      <c r="E671" s="515" t="s">
        <v>2957</v>
      </c>
      <c r="F671" s="290" t="s">
        <v>635</v>
      </c>
      <c r="G671" s="520">
        <v>1</v>
      </c>
      <c r="H671" s="519">
        <v>1</v>
      </c>
      <c r="I671" s="290">
        <v>2</v>
      </c>
      <c r="J671" s="290">
        <v>50</v>
      </c>
      <c r="K671" s="513">
        <v>50</v>
      </c>
      <c r="L671" s="511" t="s">
        <v>739</v>
      </c>
      <c r="M671" s="216"/>
      <c r="N671" s="216"/>
      <c r="O671" s="216"/>
      <c r="P671" s="216"/>
      <c r="Q671" s="216"/>
      <c r="R671" s="216"/>
      <c r="S671" s="216"/>
      <c r="T671" s="216"/>
      <c r="U671" s="216"/>
      <c r="V671" s="216"/>
      <c r="W671" s="216"/>
      <c r="X671" s="216"/>
    </row>
    <row r="672" spans="1:24" ht="15.75" customHeight="1">
      <c r="A672" s="134" t="s">
        <v>2958</v>
      </c>
      <c r="B672" s="133" t="s">
        <v>2959</v>
      </c>
      <c r="C672" s="99" t="s">
        <v>141</v>
      </c>
      <c r="D672" s="133" t="s">
        <v>2960</v>
      </c>
      <c r="E672" s="240" t="s">
        <v>2961</v>
      </c>
      <c r="F672" s="99" t="s">
        <v>2133</v>
      </c>
      <c r="G672" s="99">
        <v>3</v>
      </c>
      <c r="H672" s="500">
        <v>3</v>
      </c>
      <c r="I672" s="521">
        <v>3</v>
      </c>
      <c r="J672" s="521">
        <v>50</v>
      </c>
      <c r="K672" s="522">
        <v>16.670000000000002</v>
      </c>
      <c r="L672" s="216" t="s">
        <v>2962</v>
      </c>
      <c r="M672" s="216"/>
      <c r="N672" s="216"/>
      <c r="O672" s="216"/>
      <c r="P672" s="216"/>
      <c r="Q672" s="216"/>
      <c r="R672" s="216"/>
      <c r="S672" s="216"/>
      <c r="T672" s="216"/>
      <c r="U672" s="216"/>
      <c r="V672" s="216"/>
      <c r="W672" s="216"/>
      <c r="X672" s="216"/>
    </row>
    <row r="673" spans="1:24" ht="15.75" customHeight="1">
      <c r="A673" s="134" t="s">
        <v>2958</v>
      </c>
      <c r="B673" s="133" t="s">
        <v>2959</v>
      </c>
      <c r="C673" s="99" t="s">
        <v>141</v>
      </c>
      <c r="D673" s="131" t="s">
        <v>2963</v>
      </c>
      <c r="E673" s="240" t="s">
        <v>2964</v>
      </c>
      <c r="F673" s="99" t="s">
        <v>2133</v>
      </c>
      <c r="G673" s="99">
        <v>3</v>
      </c>
      <c r="H673" s="500">
        <v>3</v>
      </c>
      <c r="I673" s="521">
        <v>3</v>
      </c>
      <c r="J673" s="521">
        <v>50</v>
      </c>
      <c r="K673" s="522">
        <v>16.670000000000002</v>
      </c>
      <c r="L673" s="216" t="s">
        <v>2962</v>
      </c>
      <c r="M673" s="216"/>
      <c r="N673" s="216"/>
      <c r="O673" s="216"/>
      <c r="P673" s="216"/>
      <c r="Q673" s="216"/>
      <c r="R673" s="216"/>
      <c r="S673" s="216"/>
      <c r="T673" s="216"/>
      <c r="U673" s="216"/>
      <c r="V673" s="216"/>
      <c r="W673" s="216"/>
      <c r="X673" s="216"/>
    </row>
    <row r="674" spans="1:24" ht="15.75" customHeight="1">
      <c r="A674" s="134" t="s">
        <v>2958</v>
      </c>
      <c r="B674" s="133" t="s">
        <v>2959</v>
      </c>
      <c r="C674" s="99" t="s">
        <v>141</v>
      </c>
      <c r="D674" s="133" t="s">
        <v>2965</v>
      </c>
      <c r="E674" s="240" t="s">
        <v>2966</v>
      </c>
      <c r="F674" s="99" t="s">
        <v>2133</v>
      </c>
      <c r="G674" s="99">
        <v>3</v>
      </c>
      <c r="H674" s="500">
        <v>3</v>
      </c>
      <c r="I674" s="521">
        <v>3</v>
      </c>
      <c r="J674" s="521">
        <v>50</v>
      </c>
      <c r="K674" s="522">
        <v>16.670000000000002</v>
      </c>
      <c r="L674" s="216" t="s">
        <v>2962</v>
      </c>
      <c r="M674" s="216"/>
      <c r="N674" s="216"/>
      <c r="O674" s="216"/>
      <c r="P674" s="216"/>
      <c r="Q674" s="216"/>
      <c r="R674" s="216"/>
      <c r="S674" s="216"/>
      <c r="T674" s="216"/>
      <c r="U674" s="216"/>
      <c r="V674" s="216"/>
      <c r="W674" s="216"/>
      <c r="X674" s="216"/>
    </row>
    <row r="675" spans="1:24" ht="15.75" customHeight="1">
      <c r="A675" s="134" t="s">
        <v>2958</v>
      </c>
      <c r="B675" s="133" t="s">
        <v>2959</v>
      </c>
      <c r="C675" s="99" t="s">
        <v>141</v>
      </c>
      <c r="D675" s="133" t="s">
        <v>2967</v>
      </c>
      <c r="E675" s="240" t="s">
        <v>2968</v>
      </c>
      <c r="F675" s="99" t="s">
        <v>2133</v>
      </c>
      <c r="G675" s="99">
        <v>3</v>
      </c>
      <c r="H675" s="500">
        <v>3</v>
      </c>
      <c r="I675" s="521">
        <v>3</v>
      </c>
      <c r="J675" s="521">
        <v>50</v>
      </c>
      <c r="K675" s="522">
        <v>16.670000000000002</v>
      </c>
      <c r="L675" s="216" t="s">
        <v>2962</v>
      </c>
      <c r="M675" s="216"/>
      <c r="N675" s="216"/>
      <c r="O675" s="216"/>
      <c r="P675" s="216"/>
      <c r="Q675" s="216"/>
      <c r="R675" s="216"/>
      <c r="S675" s="216"/>
      <c r="T675" s="216"/>
      <c r="U675" s="216"/>
      <c r="V675" s="216"/>
      <c r="W675" s="216"/>
      <c r="X675" s="216"/>
    </row>
    <row r="676" spans="1:24" ht="15.75" customHeight="1">
      <c r="A676" s="134" t="s">
        <v>2958</v>
      </c>
      <c r="B676" s="133" t="s">
        <v>2959</v>
      </c>
      <c r="C676" s="99" t="s">
        <v>141</v>
      </c>
      <c r="D676" s="133" t="s">
        <v>2969</v>
      </c>
      <c r="E676" s="240" t="s">
        <v>2970</v>
      </c>
      <c r="F676" s="99" t="s">
        <v>2133</v>
      </c>
      <c r="G676" s="99">
        <v>3</v>
      </c>
      <c r="H676" s="500">
        <v>3</v>
      </c>
      <c r="I676" s="521">
        <v>3</v>
      </c>
      <c r="J676" s="521">
        <v>50</v>
      </c>
      <c r="K676" s="522">
        <v>16.670000000000002</v>
      </c>
      <c r="L676" s="216" t="s">
        <v>2962</v>
      </c>
      <c r="M676" s="216"/>
      <c r="N676" s="216"/>
      <c r="O676" s="216"/>
      <c r="P676" s="216"/>
      <c r="Q676" s="216"/>
      <c r="R676" s="216"/>
      <c r="S676" s="216"/>
      <c r="T676" s="216"/>
      <c r="U676" s="216"/>
      <c r="V676" s="216"/>
      <c r="W676" s="216"/>
      <c r="X676" s="216"/>
    </row>
    <row r="677" spans="1:24" ht="15.75" customHeight="1">
      <c r="A677" s="134" t="s">
        <v>2958</v>
      </c>
      <c r="B677" s="133" t="s">
        <v>2959</v>
      </c>
      <c r="C677" s="99" t="s">
        <v>141</v>
      </c>
      <c r="D677" s="133" t="s">
        <v>2971</v>
      </c>
      <c r="E677" s="133" t="s">
        <v>2972</v>
      </c>
      <c r="F677" s="99" t="s">
        <v>2133</v>
      </c>
      <c r="G677" s="99">
        <v>3</v>
      </c>
      <c r="H677" s="500">
        <v>3</v>
      </c>
      <c r="I677" s="521">
        <v>3</v>
      </c>
      <c r="J677" s="521">
        <v>50</v>
      </c>
      <c r="K677" s="522">
        <v>16.670000000000002</v>
      </c>
      <c r="L677" s="216" t="s">
        <v>2962</v>
      </c>
      <c r="M677" s="216"/>
      <c r="N677" s="216"/>
      <c r="O677" s="216"/>
      <c r="P677" s="216"/>
      <c r="Q677" s="216"/>
      <c r="R677" s="216"/>
      <c r="S677" s="216"/>
      <c r="T677" s="216"/>
      <c r="U677" s="216"/>
      <c r="V677" s="216"/>
      <c r="W677" s="216"/>
      <c r="X677" s="216"/>
    </row>
    <row r="678" spans="1:24" ht="15.75" customHeight="1">
      <c r="A678" s="134" t="s">
        <v>2973</v>
      </c>
      <c r="B678" s="133" t="s">
        <v>2974</v>
      </c>
      <c r="C678" s="99" t="s">
        <v>141</v>
      </c>
      <c r="D678" s="133" t="s">
        <v>2975</v>
      </c>
      <c r="E678" s="240" t="s">
        <v>2976</v>
      </c>
      <c r="F678" s="99" t="s">
        <v>2133</v>
      </c>
      <c r="G678" s="99">
        <v>4</v>
      </c>
      <c r="H678" s="500">
        <v>4</v>
      </c>
      <c r="I678" s="521">
        <v>4</v>
      </c>
      <c r="J678" s="521">
        <v>50</v>
      </c>
      <c r="K678" s="522">
        <f t="shared" ref="K678:K680" si="28">J678/H678</f>
        <v>12.5</v>
      </c>
      <c r="L678" s="216" t="s">
        <v>2962</v>
      </c>
      <c r="M678" s="216"/>
      <c r="N678" s="216"/>
      <c r="O678" s="216"/>
      <c r="P678" s="216"/>
      <c r="Q678" s="216"/>
      <c r="R678" s="216"/>
      <c r="S678" s="216"/>
      <c r="T678" s="216"/>
      <c r="U678" s="216"/>
      <c r="V678" s="216"/>
      <c r="W678" s="216"/>
      <c r="X678" s="216"/>
    </row>
    <row r="679" spans="1:24" ht="15.75" customHeight="1">
      <c r="A679" s="134" t="s">
        <v>2977</v>
      </c>
      <c r="B679" s="133" t="s">
        <v>2978</v>
      </c>
      <c r="C679" s="99" t="s">
        <v>141</v>
      </c>
      <c r="D679" s="133" t="s">
        <v>2979</v>
      </c>
      <c r="E679" s="133" t="s">
        <v>2980</v>
      </c>
      <c r="F679" s="99" t="s">
        <v>230</v>
      </c>
      <c r="G679" s="99">
        <v>4</v>
      </c>
      <c r="H679" s="500">
        <v>4</v>
      </c>
      <c r="I679" s="521">
        <v>4</v>
      </c>
      <c r="J679" s="521">
        <v>50</v>
      </c>
      <c r="K679" s="522">
        <f t="shared" si="28"/>
        <v>12.5</v>
      </c>
      <c r="L679" s="216" t="s">
        <v>2962</v>
      </c>
      <c r="M679" s="216"/>
      <c r="N679" s="216"/>
      <c r="O679" s="216"/>
      <c r="P679" s="216"/>
      <c r="Q679" s="216"/>
      <c r="R679" s="216"/>
      <c r="S679" s="216"/>
      <c r="T679" s="216"/>
      <c r="U679" s="216"/>
      <c r="V679" s="216"/>
      <c r="W679" s="216"/>
      <c r="X679" s="216"/>
    </row>
    <row r="680" spans="1:24" ht="15.75" customHeight="1">
      <c r="A680" s="134" t="s">
        <v>2981</v>
      </c>
      <c r="B680" s="133" t="s">
        <v>2978</v>
      </c>
      <c r="C680" s="99" t="s">
        <v>141</v>
      </c>
      <c r="D680" s="133" t="s">
        <v>2982</v>
      </c>
      <c r="E680" s="133" t="s">
        <v>2983</v>
      </c>
      <c r="F680" s="99" t="s">
        <v>230</v>
      </c>
      <c r="G680" s="99">
        <v>4</v>
      </c>
      <c r="H680" s="500">
        <v>4</v>
      </c>
      <c r="I680" s="521">
        <v>4</v>
      </c>
      <c r="J680" s="521">
        <v>50</v>
      </c>
      <c r="K680" s="522">
        <f t="shared" si="28"/>
        <v>12.5</v>
      </c>
      <c r="L680" s="216" t="s">
        <v>2962</v>
      </c>
      <c r="M680" s="216"/>
      <c r="N680" s="216"/>
      <c r="O680" s="216"/>
      <c r="P680" s="216"/>
      <c r="Q680" s="216"/>
      <c r="R680" s="216"/>
      <c r="S680" s="216"/>
      <c r="T680" s="216"/>
      <c r="U680" s="216"/>
      <c r="V680" s="216"/>
      <c r="W680" s="216"/>
      <c r="X680" s="216"/>
    </row>
    <row r="681" spans="1:24" ht="15.75" customHeight="1">
      <c r="A681" s="134" t="s">
        <v>2958</v>
      </c>
      <c r="B681" s="133" t="s">
        <v>2984</v>
      </c>
      <c r="C681" s="99" t="s">
        <v>141</v>
      </c>
      <c r="D681" s="133" t="s">
        <v>2985</v>
      </c>
      <c r="E681" s="133" t="s">
        <v>2986</v>
      </c>
      <c r="F681" s="99" t="s">
        <v>2133</v>
      </c>
      <c r="G681" s="99">
        <v>3</v>
      </c>
      <c r="H681" s="500">
        <v>3</v>
      </c>
      <c r="I681" s="521">
        <v>3</v>
      </c>
      <c r="J681" s="521">
        <v>50</v>
      </c>
      <c r="K681" s="522">
        <v>16.670000000000002</v>
      </c>
      <c r="L681" s="216" t="s">
        <v>2962</v>
      </c>
      <c r="M681" s="216"/>
      <c r="N681" s="216"/>
      <c r="O681" s="216"/>
      <c r="P681" s="216"/>
      <c r="Q681" s="216"/>
      <c r="R681" s="216"/>
      <c r="S681" s="216"/>
      <c r="T681" s="216"/>
      <c r="U681" s="216"/>
      <c r="V681" s="216"/>
      <c r="W681" s="216"/>
      <c r="X681" s="216"/>
    </row>
    <row r="682" spans="1:24" ht="15.75" customHeight="1">
      <c r="A682" s="28" t="s">
        <v>2987</v>
      </c>
      <c r="B682" s="523" t="s">
        <v>2988</v>
      </c>
      <c r="C682" s="28" t="s">
        <v>141</v>
      </c>
      <c r="D682" s="523" t="s">
        <v>2989</v>
      </c>
      <c r="E682" s="524" t="s">
        <v>2990</v>
      </c>
      <c r="F682" s="28" t="s">
        <v>230</v>
      </c>
      <c r="G682" s="28">
        <v>3</v>
      </c>
      <c r="H682" s="28">
        <v>3</v>
      </c>
      <c r="I682" s="525" t="s">
        <v>2991</v>
      </c>
      <c r="J682" s="526">
        <v>50</v>
      </c>
      <c r="K682" s="28">
        <f t="shared" ref="K682:K687" si="29">J682/G682</f>
        <v>16.666666666666668</v>
      </c>
      <c r="L682" s="216" t="s">
        <v>758</v>
      </c>
      <c r="M682" s="216"/>
      <c r="N682" s="216"/>
      <c r="O682" s="216"/>
      <c r="P682" s="216"/>
      <c r="Q682" s="216"/>
      <c r="R682" s="216"/>
      <c r="S682" s="216"/>
      <c r="T682" s="216"/>
      <c r="U682" s="216"/>
      <c r="V682" s="216"/>
      <c r="W682" s="216"/>
      <c r="X682" s="216"/>
    </row>
    <row r="683" spans="1:24" ht="15.75" customHeight="1">
      <c r="A683" s="28" t="s">
        <v>2987</v>
      </c>
      <c r="B683" s="523" t="s">
        <v>2988</v>
      </c>
      <c r="C683" s="28" t="s">
        <v>141</v>
      </c>
      <c r="D683" s="523" t="s">
        <v>2992</v>
      </c>
      <c r="E683" s="524" t="s">
        <v>2993</v>
      </c>
      <c r="F683" s="28" t="s">
        <v>1338</v>
      </c>
      <c r="G683" s="28">
        <v>3</v>
      </c>
      <c r="H683" s="28">
        <v>3</v>
      </c>
      <c r="I683" s="525" t="s">
        <v>2991</v>
      </c>
      <c r="J683" s="526">
        <v>50</v>
      </c>
      <c r="K683" s="28">
        <f t="shared" si="29"/>
        <v>16.666666666666668</v>
      </c>
      <c r="L683" s="216" t="s">
        <v>758</v>
      </c>
      <c r="M683" s="216"/>
      <c r="N683" s="216"/>
      <c r="O683" s="216"/>
      <c r="P683" s="216"/>
      <c r="Q683" s="216"/>
      <c r="R683" s="216"/>
      <c r="S683" s="216"/>
      <c r="T683" s="216"/>
      <c r="U683" s="216"/>
      <c r="V683" s="216"/>
      <c r="W683" s="216"/>
      <c r="X683" s="216"/>
    </row>
    <row r="684" spans="1:24" ht="15.75" customHeight="1">
      <c r="A684" s="28" t="s">
        <v>2987</v>
      </c>
      <c r="B684" s="523" t="s">
        <v>2988</v>
      </c>
      <c r="C684" s="28" t="s">
        <v>141</v>
      </c>
      <c r="D684" s="523" t="s">
        <v>2994</v>
      </c>
      <c r="E684" s="524" t="s">
        <v>2995</v>
      </c>
      <c r="F684" s="28" t="s">
        <v>1338</v>
      </c>
      <c r="G684" s="28">
        <v>3</v>
      </c>
      <c r="H684" s="28">
        <v>3</v>
      </c>
      <c r="I684" s="525" t="s">
        <v>2991</v>
      </c>
      <c r="J684" s="526">
        <v>50</v>
      </c>
      <c r="K684" s="28">
        <f t="shared" si="29"/>
        <v>16.666666666666668</v>
      </c>
      <c r="L684" s="216" t="s">
        <v>758</v>
      </c>
      <c r="M684" s="216"/>
      <c r="N684" s="216"/>
      <c r="O684" s="216"/>
      <c r="P684" s="216"/>
      <c r="Q684" s="216"/>
      <c r="R684" s="216"/>
      <c r="S684" s="216"/>
      <c r="T684" s="216"/>
      <c r="U684" s="216"/>
      <c r="V684" s="216"/>
      <c r="W684" s="216"/>
      <c r="X684" s="216"/>
    </row>
    <row r="685" spans="1:24" ht="15.75" customHeight="1">
      <c r="A685" s="28" t="s">
        <v>2987</v>
      </c>
      <c r="B685" s="523" t="s">
        <v>2988</v>
      </c>
      <c r="C685" s="28" t="s">
        <v>141</v>
      </c>
      <c r="D685" s="523" t="s">
        <v>2996</v>
      </c>
      <c r="E685" s="524" t="s">
        <v>2997</v>
      </c>
      <c r="F685" s="28" t="s">
        <v>1338</v>
      </c>
      <c r="G685" s="28">
        <v>3</v>
      </c>
      <c r="H685" s="28">
        <v>3</v>
      </c>
      <c r="I685" s="525" t="s">
        <v>2991</v>
      </c>
      <c r="J685" s="526">
        <v>50</v>
      </c>
      <c r="K685" s="28">
        <f t="shared" si="29"/>
        <v>16.666666666666668</v>
      </c>
      <c r="L685" s="216" t="s">
        <v>758</v>
      </c>
      <c r="M685" s="216"/>
      <c r="N685" s="216"/>
      <c r="O685" s="216"/>
      <c r="P685" s="216"/>
      <c r="Q685" s="216"/>
      <c r="R685" s="216"/>
      <c r="S685" s="216"/>
      <c r="T685" s="216"/>
      <c r="U685" s="216"/>
      <c r="V685" s="216"/>
      <c r="W685" s="216"/>
      <c r="X685" s="216"/>
    </row>
    <row r="686" spans="1:24" ht="15.75" customHeight="1">
      <c r="A686" s="28" t="s">
        <v>2987</v>
      </c>
      <c r="B686" s="523" t="s">
        <v>2988</v>
      </c>
      <c r="C686" s="28" t="s">
        <v>141</v>
      </c>
      <c r="D686" s="523" t="s">
        <v>2998</v>
      </c>
      <c r="E686" s="524" t="s">
        <v>2999</v>
      </c>
      <c r="F686" s="28" t="s">
        <v>1338</v>
      </c>
      <c r="G686" s="28">
        <v>3</v>
      </c>
      <c r="H686" s="28">
        <v>3</v>
      </c>
      <c r="I686" s="525" t="s">
        <v>2991</v>
      </c>
      <c r="J686" s="526">
        <v>50</v>
      </c>
      <c r="K686" s="28">
        <f t="shared" si="29"/>
        <v>16.666666666666668</v>
      </c>
      <c r="L686" s="216" t="s">
        <v>758</v>
      </c>
      <c r="M686" s="216"/>
      <c r="N686" s="216"/>
      <c r="O686" s="216"/>
      <c r="P686" s="216"/>
      <c r="Q686" s="216"/>
      <c r="R686" s="216"/>
      <c r="S686" s="216"/>
      <c r="T686" s="216"/>
      <c r="U686" s="216"/>
      <c r="V686" s="216"/>
      <c r="W686" s="216"/>
      <c r="X686" s="216"/>
    </row>
    <row r="687" spans="1:24" ht="15.75" customHeight="1">
      <c r="A687" s="28" t="s">
        <v>2987</v>
      </c>
      <c r="B687" s="523" t="s">
        <v>2988</v>
      </c>
      <c r="C687" s="28" t="s">
        <v>141</v>
      </c>
      <c r="D687" s="523" t="s">
        <v>3000</v>
      </c>
      <c r="E687" s="524" t="s">
        <v>3001</v>
      </c>
      <c r="F687" s="28" t="s">
        <v>1338</v>
      </c>
      <c r="G687" s="28">
        <v>3</v>
      </c>
      <c r="H687" s="28">
        <v>3</v>
      </c>
      <c r="I687" s="525" t="s">
        <v>2991</v>
      </c>
      <c r="J687" s="526">
        <v>50</v>
      </c>
      <c r="K687" s="28">
        <f t="shared" si="29"/>
        <v>16.666666666666668</v>
      </c>
      <c r="L687" s="216" t="s">
        <v>758</v>
      </c>
      <c r="M687" s="216"/>
      <c r="N687" s="216"/>
      <c r="O687" s="216"/>
      <c r="P687" s="216"/>
      <c r="Q687" s="216"/>
      <c r="R687" s="216"/>
      <c r="S687" s="216"/>
      <c r="T687" s="216"/>
      <c r="U687" s="216"/>
      <c r="V687" s="216"/>
      <c r="W687" s="216"/>
      <c r="X687" s="216"/>
    </row>
    <row r="688" spans="1:24" ht="15.75" customHeight="1">
      <c r="A688" s="134" t="s">
        <v>1795</v>
      </c>
      <c r="B688" s="91" t="s">
        <v>1796</v>
      </c>
      <c r="C688" s="133" t="s">
        <v>141</v>
      </c>
      <c r="D688" s="134" t="s">
        <v>1797</v>
      </c>
      <c r="E688" s="527" t="s">
        <v>1798</v>
      </c>
      <c r="F688" s="134" t="s">
        <v>2133</v>
      </c>
      <c r="G688" s="379">
        <v>5</v>
      </c>
      <c r="H688" s="379">
        <v>5</v>
      </c>
      <c r="I688" s="379">
        <v>5</v>
      </c>
      <c r="J688" s="272">
        <v>50</v>
      </c>
      <c r="K688" s="528">
        <v>10</v>
      </c>
      <c r="L688" s="216" t="s">
        <v>3002</v>
      </c>
      <c r="M688" s="216"/>
      <c r="N688" s="216"/>
      <c r="O688" s="216"/>
      <c r="P688" s="216"/>
      <c r="Q688" s="216"/>
      <c r="R688" s="216"/>
      <c r="S688" s="216"/>
      <c r="T688" s="216"/>
      <c r="U688" s="216"/>
      <c r="V688" s="216"/>
      <c r="W688" s="216"/>
      <c r="X688" s="216"/>
    </row>
    <row r="689" spans="1:24" ht="15.75" customHeight="1">
      <c r="A689" s="134" t="s">
        <v>1795</v>
      </c>
      <c r="B689" s="91" t="s">
        <v>1796</v>
      </c>
      <c r="C689" s="133" t="s">
        <v>141</v>
      </c>
      <c r="D689" s="134" t="s">
        <v>1799</v>
      </c>
      <c r="E689" s="527" t="s">
        <v>1800</v>
      </c>
      <c r="F689" s="529" t="s">
        <v>1338</v>
      </c>
      <c r="G689" s="94">
        <v>5</v>
      </c>
      <c r="H689" s="94">
        <v>5</v>
      </c>
      <c r="I689" s="94">
        <v>5</v>
      </c>
      <c r="J689" s="385">
        <v>50</v>
      </c>
      <c r="K689" s="114">
        <v>10</v>
      </c>
      <c r="L689" s="216" t="s">
        <v>3002</v>
      </c>
      <c r="M689" s="216"/>
      <c r="N689" s="216"/>
      <c r="O689" s="216"/>
      <c r="P689" s="216"/>
      <c r="Q689" s="216"/>
      <c r="R689" s="216"/>
      <c r="S689" s="216"/>
      <c r="T689" s="216"/>
      <c r="U689" s="216"/>
      <c r="V689" s="216"/>
      <c r="W689" s="216"/>
      <c r="X689" s="216"/>
    </row>
    <row r="690" spans="1:24" ht="15.75" customHeight="1">
      <c r="A690" s="134" t="s">
        <v>1795</v>
      </c>
      <c r="B690" s="91" t="s">
        <v>1796</v>
      </c>
      <c r="C690" s="133" t="s">
        <v>141</v>
      </c>
      <c r="D690" s="134" t="s">
        <v>1801</v>
      </c>
      <c r="E690" s="530" t="s">
        <v>1802</v>
      </c>
      <c r="F690" s="531" t="s">
        <v>1338</v>
      </c>
      <c r="G690" s="99">
        <v>5</v>
      </c>
      <c r="H690" s="99">
        <v>5</v>
      </c>
      <c r="I690" s="99">
        <v>5</v>
      </c>
      <c r="J690" s="385">
        <v>50</v>
      </c>
      <c r="K690" s="114">
        <v>10</v>
      </c>
      <c r="L690" s="216" t="s">
        <v>3002</v>
      </c>
      <c r="M690" s="216"/>
      <c r="N690" s="216"/>
      <c r="O690" s="216"/>
      <c r="P690" s="216"/>
      <c r="Q690" s="216"/>
      <c r="R690" s="216"/>
      <c r="S690" s="216"/>
      <c r="T690" s="216"/>
      <c r="U690" s="216"/>
      <c r="V690" s="216"/>
      <c r="W690" s="216"/>
      <c r="X690" s="216"/>
    </row>
    <row r="691" spans="1:24" ht="15.75" customHeight="1">
      <c r="A691" s="134" t="s">
        <v>1795</v>
      </c>
      <c r="B691" s="91" t="s">
        <v>1796</v>
      </c>
      <c r="C691" s="133" t="s">
        <v>141</v>
      </c>
      <c r="D691" s="134" t="s">
        <v>1803</v>
      </c>
      <c r="E691" s="527" t="s">
        <v>1804</v>
      </c>
      <c r="F691" s="529" t="s">
        <v>1338</v>
      </c>
      <c r="G691" s="99"/>
      <c r="H691" s="99"/>
      <c r="I691" s="99"/>
      <c r="J691" s="385"/>
      <c r="K691" s="114"/>
      <c r="L691" s="216" t="s">
        <v>3002</v>
      </c>
      <c r="M691" s="216"/>
      <c r="N691" s="216"/>
      <c r="O691" s="216"/>
      <c r="P691" s="216"/>
      <c r="Q691" s="216"/>
      <c r="R691" s="216"/>
      <c r="S691" s="216"/>
      <c r="T691" s="216"/>
      <c r="U691" s="216"/>
      <c r="V691" s="216"/>
      <c r="W691" s="216"/>
      <c r="X691" s="216"/>
    </row>
    <row r="692" spans="1:24" ht="15.75" customHeight="1">
      <c r="A692" s="134" t="s">
        <v>3003</v>
      </c>
      <c r="B692" s="91" t="s">
        <v>3004</v>
      </c>
      <c r="C692" s="133" t="s">
        <v>141</v>
      </c>
      <c r="D692" s="134" t="s">
        <v>3005</v>
      </c>
      <c r="E692" s="134" t="s">
        <v>3006</v>
      </c>
      <c r="F692" s="134" t="s">
        <v>635</v>
      </c>
      <c r="G692" s="532">
        <v>3</v>
      </c>
      <c r="H692" s="532">
        <v>3</v>
      </c>
      <c r="I692" s="532">
        <v>4</v>
      </c>
      <c r="J692" s="272">
        <v>50</v>
      </c>
      <c r="K692" s="134">
        <f t="shared" ref="K692:K705" si="30">TRUNC(J692/H692,2)</f>
        <v>16.66</v>
      </c>
      <c r="L692" s="216" t="s">
        <v>3007</v>
      </c>
      <c r="M692" s="216"/>
      <c r="N692" s="216"/>
      <c r="O692" s="216"/>
      <c r="P692" s="216"/>
      <c r="Q692" s="216"/>
      <c r="R692" s="216"/>
      <c r="S692" s="216"/>
      <c r="T692" s="216"/>
      <c r="U692" s="216"/>
      <c r="V692" s="216"/>
      <c r="W692" s="216"/>
      <c r="X692" s="216"/>
    </row>
    <row r="693" spans="1:24" ht="15.75" customHeight="1">
      <c r="A693" s="134" t="s">
        <v>3003</v>
      </c>
      <c r="B693" s="256" t="s">
        <v>3008</v>
      </c>
      <c r="C693" s="92" t="s">
        <v>141</v>
      </c>
      <c r="D693" s="134" t="s">
        <v>3009</v>
      </c>
      <c r="E693" s="99" t="s">
        <v>3010</v>
      </c>
      <c r="F693" s="238" t="s">
        <v>635</v>
      </c>
      <c r="G693" s="94">
        <v>3</v>
      </c>
      <c r="H693" s="94">
        <v>3</v>
      </c>
      <c r="I693" s="94">
        <v>4</v>
      </c>
      <c r="J693" s="385">
        <v>50</v>
      </c>
      <c r="K693" s="134">
        <f t="shared" si="30"/>
        <v>16.66</v>
      </c>
      <c r="L693" s="216" t="s">
        <v>3007</v>
      </c>
      <c r="M693" s="216"/>
      <c r="N693" s="216"/>
      <c r="O693" s="216"/>
      <c r="P693" s="216"/>
      <c r="Q693" s="216"/>
      <c r="R693" s="216"/>
      <c r="S693" s="216"/>
      <c r="T693" s="216"/>
      <c r="U693" s="216"/>
      <c r="V693" s="216"/>
      <c r="W693" s="216"/>
      <c r="X693" s="216"/>
    </row>
    <row r="694" spans="1:24" ht="15.75" customHeight="1">
      <c r="A694" s="134" t="s">
        <v>3003</v>
      </c>
      <c r="B694" s="91" t="s">
        <v>3008</v>
      </c>
      <c r="C694" s="92" t="s">
        <v>3011</v>
      </c>
      <c r="D694" s="134" t="s">
        <v>3012</v>
      </c>
      <c r="E694" s="99" t="s">
        <v>3013</v>
      </c>
      <c r="F694" s="238" t="s">
        <v>635</v>
      </c>
      <c r="G694" s="99">
        <v>3</v>
      </c>
      <c r="H694" s="99">
        <v>3</v>
      </c>
      <c r="I694" s="99">
        <v>4</v>
      </c>
      <c r="J694" s="385">
        <v>50</v>
      </c>
      <c r="K694" s="134">
        <f t="shared" si="30"/>
        <v>16.66</v>
      </c>
      <c r="L694" s="216" t="s">
        <v>3007</v>
      </c>
      <c r="M694" s="216"/>
      <c r="N694" s="216"/>
      <c r="O694" s="216"/>
      <c r="P694" s="216"/>
      <c r="Q694" s="216"/>
      <c r="R694" s="216"/>
      <c r="S694" s="216"/>
      <c r="T694" s="216"/>
      <c r="U694" s="216"/>
      <c r="V694" s="216"/>
      <c r="W694" s="216"/>
      <c r="X694" s="216"/>
    </row>
    <row r="695" spans="1:24" ht="15.75" customHeight="1">
      <c r="A695" s="134" t="s">
        <v>3014</v>
      </c>
      <c r="B695" s="134" t="s">
        <v>3015</v>
      </c>
      <c r="C695" s="99" t="s">
        <v>141</v>
      </c>
      <c r="D695" s="134" t="s">
        <v>3016</v>
      </c>
      <c r="E695" s="99" t="s">
        <v>3017</v>
      </c>
      <c r="F695" s="238" t="s">
        <v>635</v>
      </c>
      <c r="G695" s="99">
        <v>3</v>
      </c>
      <c r="H695" s="99">
        <v>3</v>
      </c>
      <c r="I695" s="99">
        <v>3</v>
      </c>
      <c r="J695" s="385">
        <v>50</v>
      </c>
      <c r="K695" s="134">
        <f t="shared" si="30"/>
        <v>16.66</v>
      </c>
      <c r="L695" s="216" t="s">
        <v>3007</v>
      </c>
      <c r="M695" s="216"/>
      <c r="N695" s="216"/>
      <c r="O695" s="216"/>
      <c r="P695" s="216"/>
      <c r="Q695" s="216"/>
      <c r="R695" s="216"/>
      <c r="S695" s="216"/>
      <c r="T695" s="216"/>
      <c r="U695" s="216"/>
      <c r="V695" s="216"/>
      <c r="W695" s="216"/>
      <c r="X695" s="216"/>
    </row>
    <row r="696" spans="1:24" ht="15.75" customHeight="1">
      <c r="A696" s="134" t="s">
        <v>2958</v>
      </c>
      <c r="B696" s="134" t="s">
        <v>2959</v>
      </c>
      <c r="C696" s="99" t="s">
        <v>141</v>
      </c>
      <c r="D696" s="134" t="s">
        <v>2960</v>
      </c>
      <c r="E696" s="99" t="s">
        <v>2961</v>
      </c>
      <c r="F696" s="238" t="s">
        <v>2133</v>
      </c>
      <c r="G696" s="99">
        <v>3</v>
      </c>
      <c r="H696" s="99">
        <v>3</v>
      </c>
      <c r="I696" s="99">
        <v>3</v>
      </c>
      <c r="J696" s="533">
        <v>50</v>
      </c>
      <c r="K696" s="134">
        <f t="shared" si="30"/>
        <v>16.66</v>
      </c>
      <c r="L696" s="216" t="s">
        <v>3007</v>
      </c>
      <c r="M696" s="216"/>
      <c r="N696" s="216"/>
      <c r="O696" s="216"/>
      <c r="P696" s="216"/>
      <c r="Q696" s="216"/>
      <c r="R696" s="216"/>
      <c r="S696" s="216"/>
      <c r="T696" s="216"/>
      <c r="U696" s="216"/>
      <c r="V696" s="216"/>
      <c r="W696" s="216"/>
      <c r="X696" s="216"/>
    </row>
    <row r="697" spans="1:24" ht="15.75" customHeight="1">
      <c r="A697" s="134" t="s">
        <v>2958</v>
      </c>
      <c r="B697" s="134" t="s">
        <v>2959</v>
      </c>
      <c r="C697" s="99" t="s">
        <v>141</v>
      </c>
      <c r="D697" s="134" t="s">
        <v>2963</v>
      </c>
      <c r="E697" s="99" t="s">
        <v>2964</v>
      </c>
      <c r="F697" s="238" t="s">
        <v>2133</v>
      </c>
      <c r="G697" s="99">
        <v>3</v>
      </c>
      <c r="H697" s="99">
        <v>3</v>
      </c>
      <c r="I697" s="99">
        <v>3</v>
      </c>
      <c r="J697" s="385">
        <v>50</v>
      </c>
      <c r="K697" s="134">
        <f t="shared" si="30"/>
        <v>16.66</v>
      </c>
      <c r="L697" s="216" t="s">
        <v>3007</v>
      </c>
      <c r="M697" s="216"/>
      <c r="N697" s="216"/>
      <c r="O697" s="216"/>
      <c r="P697" s="216"/>
      <c r="Q697" s="216"/>
      <c r="R697" s="216"/>
      <c r="S697" s="216"/>
      <c r="T697" s="216"/>
      <c r="U697" s="216"/>
      <c r="V697" s="216"/>
      <c r="W697" s="216"/>
      <c r="X697" s="216"/>
    </row>
    <row r="698" spans="1:24" ht="15.75" customHeight="1">
      <c r="A698" s="134" t="s">
        <v>2958</v>
      </c>
      <c r="B698" s="134" t="s">
        <v>2959</v>
      </c>
      <c r="C698" s="99" t="s">
        <v>141</v>
      </c>
      <c r="D698" s="134" t="s">
        <v>2965</v>
      </c>
      <c r="E698" s="99" t="s">
        <v>2966</v>
      </c>
      <c r="F698" s="424" t="s">
        <v>2133</v>
      </c>
      <c r="G698" s="177">
        <v>3</v>
      </c>
      <c r="H698" s="177">
        <v>3</v>
      </c>
      <c r="I698" s="177">
        <v>3</v>
      </c>
      <c r="J698" s="467">
        <v>50</v>
      </c>
      <c r="K698" s="134">
        <f t="shared" si="30"/>
        <v>16.66</v>
      </c>
      <c r="L698" s="216" t="s">
        <v>3007</v>
      </c>
      <c r="M698" s="216"/>
      <c r="N698" s="216"/>
      <c r="O698" s="216"/>
      <c r="P698" s="216"/>
      <c r="Q698" s="216"/>
      <c r="R698" s="216"/>
      <c r="S698" s="216"/>
      <c r="T698" s="216"/>
      <c r="U698" s="216"/>
      <c r="V698" s="216"/>
      <c r="W698" s="216"/>
      <c r="X698" s="216"/>
    </row>
    <row r="699" spans="1:24" ht="15.75" customHeight="1">
      <c r="A699" s="256" t="s">
        <v>2958</v>
      </c>
      <c r="B699" s="256" t="s">
        <v>2959</v>
      </c>
      <c r="C699" s="177" t="s">
        <v>141</v>
      </c>
      <c r="D699" s="256" t="s">
        <v>2967</v>
      </c>
      <c r="E699" s="534" t="s">
        <v>2968</v>
      </c>
      <c r="F699" s="238" t="s">
        <v>2133</v>
      </c>
      <c r="G699" s="99">
        <v>3</v>
      </c>
      <c r="H699" s="99">
        <v>3</v>
      </c>
      <c r="I699" s="99">
        <v>3</v>
      </c>
      <c r="J699" s="125">
        <v>50</v>
      </c>
      <c r="K699" s="134">
        <f t="shared" si="30"/>
        <v>16.66</v>
      </c>
      <c r="L699" s="216" t="s">
        <v>3007</v>
      </c>
      <c r="M699" s="216"/>
      <c r="N699" s="216"/>
      <c r="O699" s="216"/>
      <c r="P699" s="216"/>
      <c r="Q699" s="216"/>
      <c r="R699" s="216"/>
      <c r="S699" s="216"/>
      <c r="T699" s="216"/>
      <c r="U699" s="216"/>
      <c r="V699" s="216"/>
      <c r="W699" s="216"/>
      <c r="X699" s="216"/>
    </row>
    <row r="700" spans="1:24" ht="15.75" customHeight="1">
      <c r="A700" s="399" t="s">
        <v>2958</v>
      </c>
      <c r="B700" s="399" t="s">
        <v>2959</v>
      </c>
      <c r="C700" s="139" t="s">
        <v>141</v>
      </c>
      <c r="D700" s="399" t="s">
        <v>2969</v>
      </c>
      <c r="E700" s="139" t="s">
        <v>2970</v>
      </c>
      <c r="F700" s="238" t="s">
        <v>2133</v>
      </c>
      <c r="G700" s="99">
        <v>3</v>
      </c>
      <c r="H700" s="99">
        <v>3</v>
      </c>
      <c r="I700" s="99">
        <v>3</v>
      </c>
      <c r="J700" s="125">
        <v>50</v>
      </c>
      <c r="K700" s="134">
        <f t="shared" si="30"/>
        <v>16.66</v>
      </c>
      <c r="L700" s="216" t="s">
        <v>3007</v>
      </c>
      <c r="M700" s="216"/>
      <c r="N700" s="216"/>
      <c r="O700" s="216"/>
      <c r="P700" s="216"/>
      <c r="Q700" s="216"/>
      <c r="R700" s="216"/>
      <c r="S700" s="216"/>
      <c r="T700" s="216"/>
      <c r="U700" s="216"/>
      <c r="V700" s="216"/>
      <c r="W700" s="216"/>
      <c r="X700" s="216"/>
    </row>
    <row r="701" spans="1:24" ht="15.75" customHeight="1">
      <c r="A701" s="399" t="s">
        <v>2958</v>
      </c>
      <c r="B701" s="399" t="s">
        <v>2959</v>
      </c>
      <c r="C701" s="139" t="s">
        <v>141</v>
      </c>
      <c r="D701" s="399" t="s">
        <v>2971</v>
      </c>
      <c r="E701" s="139" t="s">
        <v>2972</v>
      </c>
      <c r="F701" s="238" t="s">
        <v>2133</v>
      </c>
      <c r="G701" s="99">
        <v>3</v>
      </c>
      <c r="H701" s="99">
        <v>3</v>
      </c>
      <c r="I701" s="99">
        <v>3</v>
      </c>
      <c r="J701" s="125">
        <v>50</v>
      </c>
      <c r="K701" s="134">
        <f t="shared" si="30"/>
        <v>16.66</v>
      </c>
      <c r="L701" s="216" t="s">
        <v>3007</v>
      </c>
      <c r="M701" s="216"/>
      <c r="N701" s="216"/>
      <c r="O701" s="216"/>
      <c r="P701" s="216"/>
      <c r="Q701" s="216"/>
      <c r="R701" s="216"/>
      <c r="S701" s="216"/>
      <c r="T701" s="216"/>
      <c r="U701" s="216"/>
      <c r="V701" s="216"/>
      <c r="W701" s="216"/>
      <c r="X701" s="216"/>
    </row>
    <row r="702" spans="1:24" ht="15.75" customHeight="1">
      <c r="A702" s="399" t="s">
        <v>2973</v>
      </c>
      <c r="B702" s="399" t="s">
        <v>2974</v>
      </c>
      <c r="C702" s="139" t="s">
        <v>141</v>
      </c>
      <c r="D702" s="399" t="s">
        <v>2975</v>
      </c>
      <c r="E702" s="139" t="s">
        <v>2976</v>
      </c>
      <c r="F702" s="238" t="s">
        <v>2133</v>
      </c>
      <c r="G702" s="99">
        <v>4</v>
      </c>
      <c r="H702" s="99">
        <v>4</v>
      </c>
      <c r="I702" s="99">
        <v>4</v>
      </c>
      <c r="J702" s="125">
        <v>50</v>
      </c>
      <c r="K702" s="134">
        <f t="shared" si="30"/>
        <v>12.5</v>
      </c>
      <c r="L702" s="216" t="s">
        <v>3007</v>
      </c>
      <c r="M702" s="216"/>
      <c r="N702" s="216"/>
      <c r="O702" s="216"/>
      <c r="P702" s="216"/>
      <c r="Q702" s="216"/>
      <c r="R702" s="216"/>
      <c r="S702" s="216"/>
      <c r="T702" s="216"/>
      <c r="U702" s="216"/>
      <c r="V702" s="216"/>
      <c r="W702" s="216"/>
      <c r="X702" s="216"/>
    </row>
    <row r="703" spans="1:24" ht="15.75" customHeight="1">
      <c r="A703" s="399" t="s">
        <v>2977</v>
      </c>
      <c r="B703" s="399" t="s">
        <v>2978</v>
      </c>
      <c r="C703" s="139" t="s">
        <v>141</v>
      </c>
      <c r="D703" s="399" t="s">
        <v>2979</v>
      </c>
      <c r="E703" s="139" t="s">
        <v>2980</v>
      </c>
      <c r="F703" s="238" t="s">
        <v>230</v>
      </c>
      <c r="G703" s="99">
        <v>4</v>
      </c>
      <c r="H703" s="99">
        <v>4</v>
      </c>
      <c r="I703" s="99">
        <v>4</v>
      </c>
      <c r="J703" s="125">
        <v>50</v>
      </c>
      <c r="K703" s="134">
        <f t="shared" si="30"/>
        <v>12.5</v>
      </c>
      <c r="L703" s="216" t="s">
        <v>3007</v>
      </c>
      <c r="M703" s="216"/>
      <c r="N703" s="216"/>
      <c r="O703" s="216"/>
      <c r="P703" s="216"/>
      <c r="Q703" s="216"/>
      <c r="R703" s="216"/>
      <c r="S703" s="216"/>
      <c r="T703" s="216"/>
      <c r="U703" s="216"/>
      <c r="V703" s="216"/>
      <c r="W703" s="216"/>
      <c r="X703" s="216"/>
    </row>
    <row r="704" spans="1:24" ht="15.75" customHeight="1">
      <c r="A704" s="399" t="s">
        <v>2981</v>
      </c>
      <c r="B704" s="399" t="s">
        <v>2978</v>
      </c>
      <c r="C704" s="139" t="s">
        <v>141</v>
      </c>
      <c r="D704" s="399" t="s">
        <v>2982</v>
      </c>
      <c r="E704" s="139" t="s">
        <v>2983</v>
      </c>
      <c r="F704" s="238" t="s">
        <v>230</v>
      </c>
      <c r="G704" s="99">
        <v>4</v>
      </c>
      <c r="H704" s="99">
        <v>4</v>
      </c>
      <c r="I704" s="99">
        <v>4</v>
      </c>
      <c r="J704" s="125">
        <v>50</v>
      </c>
      <c r="K704" s="134">
        <f t="shared" si="30"/>
        <v>12.5</v>
      </c>
      <c r="L704" s="216" t="s">
        <v>3007</v>
      </c>
      <c r="M704" s="216"/>
      <c r="N704" s="216"/>
      <c r="O704" s="216"/>
      <c r="P704" s="216"/>
      <c r="Q704" s="216"/>
      <c r="R704" s="216"/>
      <c r="S704" s="216"/>
      <c r="T704" s="216"/>
      <c r="U704" s="216"/>
      <c r="V704" s="216"/>
      <c r="W704" s="216"/>
      <c r="X704" s="216"/>
    </row>
    <row r="705" spans="1:24" ht="15.75" customHeight="1">
      <c r="A705" s="399" t="s">
        <v>2958</v>
      </c>
      <c r="B705" s="399" t="s">
        <v>2984</v>
      </c>
      <c r="C705" s="139" t="s">
        <v>141</v>
      </c>
      <c r="D705" s="399" t="s">
        <v>2985</v>
      </c>
      <c r="E705" s="139" t="s">
        <v>2986</v>
      </c>
      <c r="F705" s="238" t="s">
        <v>2133</v>
      </c>
      <c r="G705" s="99">
        <v>3</v>
      </c>
      <c r="H705" s="99">
        <v>3</v>
      </c>
      <c r="I705" s="99">
        <v>3</v>
      </c>
      <c r="J705" s="125">
        <v>50</v>
      </c>
      <c r="K705" s="134">
        <f t="shared" si="30"/>
        <v>16.66</v>
      </c>
      <c r="L705" s="216" t="s">
        <v>3007</v>
      </c>
      <c r="M705" s="216"/>
      <c r="N705" s="216"/>
      <c r="O705" s="216"/>
      <c r="P705" s="216"/>
      <c r="Q705" s="216"/>
      <c r="R705" s="216"/>
      <c r="S705" s="216"/>
      <c r="T705" s="216"/>
      <c r="U705" s="216"/>
      <c r="V705" s="216"/>
      <c r="W705" s="216"/>
      <c r="X705" s="216"/>
    </row>
    <row r="706" spans="1:24" ht="15.75" customHeight="1">
      <c r="A706" s="134" t="s">
        <v>3018</v>
      </c>
      <c r="B706" s="91" t="s">
        <v>3019</v>
      </c>
      <c r="C706" s="133" t="s">
        <v>141</v>
      </c>
      <c r="D706" s="515" t="s">
        <v>2879</v>
      </c>
      <c r="E706" s="134" t="s">
        <v>2880</v>
      </c>
      <c r="F706" s="516" t="s">
        <v>1338</v>
      </c>
      <c r="G706" s="119">
        <v>2</v>
      </c>
      <c r="H706" s="119">
        <v>2</v>
      </c>
      <c r="I706" s="119">
        <v>2</v>
      </c>
      <c r="J706" s="272">
        <v>50</v>
      </c>
      <c r="K706" s="185">
        <v>25</v>
      </c>
      <c r="L706" s="216" t="s">
        <v>3020</v>
      </c>
      <c r="M706" s="216"/>
      <c r="N706" s="216"/>
      <c r="O706" s="216"/>
      <c r="P706" s="216"/>
      <c r="Q706" s="216"/>
      <c r="R706" s="216"/>
      <c r="S706" s="216"/>
      <c r="T706" s="216"/>
      <c r="U706" s="216"/>
      <c r="V706" s="216"/>
      <c r="W706" s="216"/>
      <c r="X706" s="216"/>
    </row>
    <row r="707" spans="1:24" ht="15.75" customHeight="1">
      <c r="A707" s="91" t="s">
        <v>3018</v>
      </c>
      <c r="B707" s="256" t="s">
        <v>3019</v>
      </c>
      <c r="C707" s="92" t="s">
        <v>141</v>
      </c>
      <c r="D707" s="515" t="s">
        <v>2881</v>
      </c>
      <c r="E707" s="99" t="s">
        <v>2882</v>
      </c>
      <c r="F707" s="516" t="s">
        <v>1338</v>
      </c>
      <c r="G707" s="94">
        <v>2</v>
      </c>
      <c r="H707" s="94">
        <v>2</v>
      </c>
      <c r="I707" s="94">
        <v>2</v>
      </c>
      <c r="J707" s="385">
        <v>50</v>
      </c>
      <c r="K707" s="114">
        <v>25</v>
      </c>
      <c r="L707" s="216" t="s">
        <v>3020</v>
      </c>
      <c r="M707" s="216"/>
      <c r="N707" s="216"/>
      <c r="O707" s="216"/>
      <c r="P707" s="216"/>
      <c r="Q707" s="216"/>
      <c r="R707" s="216"/>
      <c r="S707" s="216"/>
      <c r="T707" s="216"/>
      <c r="U707" s="216"/>
      <c r="V707" s="216"/>
      <c r="W707" s="216"/>
      <c r="X707" s="216"/>
    </row>
    <row r="708" spans="1:24" ht="15.75" customHeight="1">
      <c r="A708" s="134" t="s">
        <v>3018</v>
      </c>
      <c r="B708" s="91" t="s">
        <v>2875</v>
      </c>
      <c r="C708" s="92" t="s">
        <v>141</v>
      </c>
      <c r="D708" s="515" t="s">
        <v>2876</v>
      </c>
      <c r="E708" s="99" t="s">
        <v>2877</v>
      </c>
      <c r="F708" s="516" t="s">
        <v>1338</v>
      </c>
      <c r="G708" s="99">
        <v>2</v>
      </c>
      <c r="H708" s="99">
        <v>2</v>
      </c>
      <c r="I708" s="99">
        <v>2</v>
      </c>
      <c r="J708" s="385">
        <v>50</v>
      </c>
      <c r="K708" s="114">
        <v>25</v>
      </c>
      <c r="L708" s="216" t="s">
        <v>3020</v>
      </c>
      <c r="M708" s="216"/>
      <c r="N708" s="216"/>
      <c r="O708" s="216"/>
      <c r="P708" s="216"/>
      <c r="Q708" s="216"/>
      <c r="R708" s="216"/>
      <c r="S708" s="216"/>
      <c r="T708" s="216"/>
      <c r="U708" s="216"/>
      <c r="V708" s="216"/>
      <c r="W708" s="216"/>
      <c r="X708" s="216"/>
    </row>
    <row r="709" spans="1:24" ht="15.75" customHeight="1">
      <c r="A709" s="515" t="s">
        <v>2870</v>
      </c>
      <c r="B709" s="514" t="s">
        <v>2871</v>
      </c>
      <c r="C709" s="290" t="s">
        <v>141</v>
      </c>
      <c r="D709" s="515" t="s">
        <v>2872</v>
      </c>
      <c r="E709" s="515" t="s">
        <v>2873</v>
      </c>
      <c r="F709" s="516" t="s">
        <v>635</v>
      </c>
      <c r="G709" s="516">
        <v>3</v>
      </c>
      <c r="H709" s="516">
        <v>3</v>
      </c>
      <c r="I709" s="516">
        <v>3</v>
      </c>
      <c r="J709" s="516">
        <v>50</v>
      </c>
      <c r="K709" s="114">
        <v>16.670000000000002</v>
      </c>
      <c r="L709" s="216" t="s">
        <v>3020</v>
      </c>
      <c r="M709" s="216"/>
      <c r="N709" s="216"/>
      <c r="O709" s="216"/>
      <c r="P709" s="216"/>
      <c r="Q709" s="216"/>
      <c r="R709" s="216"/>
      <c r="S709" s="216"/>
      <c r="T709" s="216"/>
      <c r="U709" s="216"/>
      <c r="V709" s="216"/>
      <c r="W709" s="216"/>
      <c r="X709" s="216"/>
    </row>
    <row r="710" spans="1:24" ht="15.75" customHeight="1">
      <c r="A710" s="134" t="s">
        <v>3021</v>
      </c>
      <c r="B710" s="535" t="s">
        <v>3022</v>
      </c>
      <c r="C710" s="99" t="s">
        <v>141</v>
      </c>
      <c r="D710" s="535" t="s">
        <v>3023</v>
      </c>
      <c r="E710" s="378" t="s">
        <v>3024</v>
      </c>
      <c r="F710" s="162" t="s">
        <v>230</v>
      </c>
      <c r="G710" s="162">
        <v>1</v>
      </c>
      <c r="H710" s="162">
        <v>1</v>
      </c>
      <c r="I710" s="536">
        <v>2</v>
      </c>
      <c r="J710" s="162">
        <v>50</v>
      </c>
      <c r="K710" s="483">
        <f t="shared" ref="K710:K720" si="31">J710/G710</f>
        <v>50</v>
      </c>
      <c r="L710" s="216" t="s">
        <v>798</v>
      </c>
      <c r="M710" s="216"/>
      <c r="N710" s="216"/>
      <c r="O710" s="216"/>
      <c r="P710" s="216"/>
      <c r="Q710" s="216"/>
      <c r="R710" s="216"/>
      <c r="S710" s="216"/>
      <c r="T710" s="216"/>
      <c r="U710" s="216"/>
      <c r="V710" s="216"/>
      <c r="W710" s="216"/>
      <c r="X710" s="216"/>
    </row>
    <row r="711" spans="1:24" ht="15.75" customHeight="1">
      <c r="A711" s="134" t="s">
        <v>3021</v>
      </c>
      <c r="B711" s="535" t="s">
        <v>3022</v>
      </c>
      <c r="C711" s="99" t="s">
        <v>141</v>
      </c>
      <c r="D711" s="535" t="s">
        <v>3025</v>
      </c>
      <c r="E711" s="378" t="s">
        <v>3026</v>
      </c>
      <c r="F711" s="162" t="s">
        <v>1338</v>
      </c>
      <c r="G711" s="162">
        <v>1</v>
      </c>
      <c r="H711" s="162">
        <v>1</v>
      </c>
      <c r="I711" s="536">
        <v>2</v>
      </c>
      <c r="J711" s="162">
        <v>50</v>
      </c>
      <c r="K711" s="483">
        <f t="shared" si="31"/>
        <v>50</v>
      </c>
      <c r="L711" s="216" t="s">
        <v>798</v>
      </c>
      <c r="M711" s="216"/>
      <c r="N711" s="216"/>
      <c r="O711" s="216"/>
      <c r="P711" s="216"/>
      <c r="Q711" s="216"/>
      <c r="R711" s="216"/>
      <c r="S711" s="216"/>
      <c r="T711" s="216"/>
      <c r="U711" s="216"/>
      <c r="V711" s="216"/>
      <c r="W711" s="216"/>
      <c r="X711" s="216"/>
    </row>
    <row r="712" spans="1:24" ht="15.75" customHeight="1">
      <c r="A712" s="134" t="s">
        <v>3021</v>
      </c>
      <c r="B712" s="535" t="s">
        <v>3022</v>
      </c>
      <c r="C712" s="99" t="s">
        <v>141</v>
      </c>
      <c r="D712" s="535" t="s">
        <v>3027</v>
      </c>
      <c r="E712" s="378" t="s">
        <v>3028</v>
      </c>
      <c r="F712" s="162" t="s">
        <v>230</v>
      </c>
      <c r="G712" s="162">
        <v>1</v>
      </c>
      <c r="H712" s="162">
        <v>1</v>
      </c>
      <c r="I712" s="536">
        <v>2</v>
      </c>
      <c r="J712" s="162">
        <v>50</v>
      </c>
      <c r="K712" s="483">
        <f t="shared" si="31"/>
        <v>50</v>
      </c>
      <c r="L712" s="216" t="s">
        <v>798</v>
      </c>
      <c r="M712" s="216"/>
      <c r="N712" s="216"/>
      <c r="O712" s="216"/>
      <c r="P712" s="216"/>
      <c r="Q712" s="216"/>
      <c r="R712" s="216"/>
      <c r="S712" s="216"/>
      <c r="T712" s="216"/>
      <c r="U712" s="216"/>
      <c r="V712" s="216"/>
      <c r="W712" s="216"/>
      <c r="X712" s="216"/>
    </row>
    <row r="713" spans="1:24" ht="15.75" customHeight="1">
      <c r="A713" s="134" t="s">
        <v>3021</v>
      </c>
      <c r="B713" s="535" t="s">
        <v>3022</v>
      </c>
      <c r="C713" s="99" t="s">
        <v>141</v>
      </c>
      <c r="D713" s="535" t="s">
        <v>3029</v>
      </c>
      <c r="E713" s="378" t="s">
        <v>3030</v>
      </c>
      <c r="F713" s="162" t="s">
        <v>230</v>
      </c>
      <c r="G713" s="162">
        <v>1</v>
      </c>
      <c r="H713" s="162">
        <v>1</v>
      </c>
      <c r="I713" s="536">
        <v>2</v>
      </c>
      <c r="J713" s="162">
        <v>50</v>
      </c>
      <c r="K713" s="483">
        <f t="shared" si="31"/>
        <v>50</v>
      </c>
      <c r="L713" s="216" t="s">
        <v>798</v>
      </c>
      <c r="M713" s="216"/>
      <c r="N713" s="216"/>
      <c r="O713" s="216"/>
      <c r="P713" s="216"/>
      <c r="Q713" s="216"/>
      <c r="R713" s="216"/>
      <c r="S713" s="216"/>
      <c r="T713" s="216"/>
      <c r="U713" s="216"/>
      <c r="V713" s="216"/>
      <c r="W713" s="216"/>
      <c r="X713" s="216"/>
    </row>
    <row r="714" spans="1:24" ht="15.75" customHeight="1">
      <c r="A714" s="134" t="s">
        <v>3031</v>
      </c>
      <c r="B714" s="535" t="s">
        <v>3032</v>
      </c>
      <c r="C714" s="99" t="s">
        <v>141</v>
      </c>
      <c r="D714" s="535" t="s">
        <v>3033</v>
      </c>
      <c r="E714" s="378" t="s">
        <v>3034</v>
      </c>
      <c r="F714" s="162" t="s">
        <v>1338</v>
      </c>
      <c r="G714" s="162">
        <v>2</v>
      </c>
      <c r="H714" s="162">
        <v>2</v>
      </c>
      <c r="I714" s="536">
        <v>5</v>
      </c>
      <c r="J714" s="162">
        <v>50</v>
      </c>
      <c r="K714" s="483">
        <f t="shared" si="31"/>
        <v>25</v>
      </c>
      <c r="L714" s="216" t="s">
        <v>798</v>
      </c>
      <c r="M714" s="216"/>
      <c r="N714" s="216"/>
      <c r="O714" s="216"/>
      <c r="P714" s="216"/>
      <c r="Q714" s="216"/>
      <c r="R714" s="216"/>
      <c r="S714" s="216"/>
      <c r="T714" s="216"/>
      <c r="U714" s="216"/>
      <c r="V714" s="216"/>
      <c r="W714" s="216"/>
      <c r="X714" s="216"/>
    </row>
    <row r="715" spans="1:24" ht="15.75" customHeight="1">
      <c r="A715" s="134" t="s">
        <v>3031</v>
      </c>
      <c r="B715" s="535" t="s">
        <v>3032</v>
      </c>
      <c r="C715" s="99" t="s">
        <v>141</v>
      </c>
      <c r="D715" s="535" t="s">
        <v>3035</v>
      </c>
      <c r="E715" s="378" t="s">
        <v>3036</v>
      </c>
      <c r="F715" s="162" t="s">
        <v>1338</v>
      </c>
      <c r="G715" s="162">
        <v>2</v>
      </c>
      <c r="H715" s="162">
        <v>2</v>
      </c>
      <c r="I715" s="536">
        <v>5</v>
      </c>
      <c r="J715" s="162">
        <v>50</v>
      </c>
      <c r="K715" s="483">
        <f t="shared" si="31"/>
        <v>25</v>
      </c>
      <c r="L715" s="216" t="s">
        <v>798</v>
      </c>
      <c r="M715" s="216"/>
      <c r="N715" s="216"/>
      <c r="O715" s="216"/>
      <c r="P715" s="216"/>
      <c r="Q715" s="216"/>
      <c r="R715" s="216"/>
      <c r="S715" s="216"/>
      <c r="T715" s="216"/>
      <c r="U715" s="216"/>
      <c r="V715" s="216"/>
      <c r="W715" s="216"/>
      <c r="X715" s="216"/>
    </row>
    <row r="716" spans="1:24" ht="15.75" customHeight="1">
      <c r="A716" s="134" t="s">
        <v>3031</v>
      </c>
      <c r="B716" s="535" t="s">
        <v>3032</v>
      </c>
      <c r="C716" s="99" t="s">
        <v>141</v>
      </c>
      <c r="D716" s="535" t="s">
        <v>2992</v>
      </c>
      <c r="E716" s="378" t="s">
        <v>2993</v>
      </c>
      <c r="F716" s="162" t="s">
        <v>1338</v>
      </c>
      <c r="G716" s="162">
        <v>2</v>
      </c>
      <c r="H716" s="162">
        <v>2</v>
      </c>
      <c r="I716" s="536">
        <v>5</v>
      </c>
      <c r="J716" s="162">
        <v>50</v>
      </c>
      <c r="K716" s="483">
        <f t="shared" si="31"/>
        <v>25</v>
      </c>
      <c r="L716" s="216" t="s">
        <v>798</v>
      </c>
      <c r="M716" s="216"/>
      <c r="N716" s="216"/>
      <c r="O716" s="216"/>
      <c r="P716" s="216"/>
      <c r="Q716" s="216"/>
      <c r="R716" s="216"/>
      <c r="S716" s="216"/>
      <c r="T716" s="216"/>
      <c r="U716" s="216"/>
      <c r="V716" s="216"/>
      <c r="W716" s="216"/>
      <c r="X716" s="216"/>
    </row>
    <row r="717" spans="1:24" ht="15.75" customHeight="1">
      <c r="A717" s="134" t="s">
        <v>3031</v>
      </c>
      <c r="B717" s="535" t="s">
        <v>3032</v>
      </c>
      <c r="C717" s="99" t="s">
        <v>141</v>
      </c>
      <c r="D717" s="535" t="s">
        <v>3037</v>
      </c>
      <c r="E717" s="378" t="s">
        <v>3038</v>
      </c>
      <c r="F717" s="162" t="s">
        <v>1338</v>
      </c>
      <c r="G717" s="162">
        <v>2</v>
      </c>
      <c r="H717" s="162">
        <v>2</v>
      </c>
      <c r="I717" s="536">
        <v>5</v>
      </c>
      <c r="J717" s="162">
        <v>50</v>
      </c>
      <c r="K717" s="483">
        <f t="shared" si="31"/>
        <v>25</v>
      </c>
      <c r="L717" s="216" t="s">
        <v>798</v>
      </c>
      <c r="M717" s="216"/>
      <c r="N717" s="216"/>
      <c r="O717" s="216"/>
      <c r="P717" s="216"/>
      <c r="Q717" s="216"/>
      <c r="R717" s="216"/>
      <c r="S717" s="216"/>
      <c r="T717" s="216"/>
      <c r="U717" s="216"/>
      <c r="V717" s="216"/>
      <c r="W717" s="216"/>
      <c r="X717" s="216"/>
    </row>
    <row r="718" spans="1:24" ht="15.75" customHeight="1">
      <c r="A718" s="134" t="s">
        <v>3031</v>
      </c>
      <c r="B718" s="535" t="s">
        <v>3032</v>
      </c>
      <c r="C718" s="99" t="s">
        <v>141</v>
      </c>
      <c r="D718" s="535" t="s">
        <v>3039</v>
      </c>
      <c r="E718" s="378" t="s">
        <v>3040</v>
      </c>
      <c r="F718" s="162" t="s">
        <v>1338</v>
      </c>
      <c r="G718" s="162">
        <v>2</v>
      </c>
      <c r="H718" s="162">
        <v>2</v>
      </c>
      <c r="I718" s="536">
        <v>5</v>
      </c>
      <c r="J718" s="162">
        <v>50</v>
      </c>
      <c r="K718" s="483">
        <f t="shared" si="31"/>
        <v>25</v>
      </c>
      <c r="L718" s="216" t="s">
        <v>798</v>
      </c>
      <c r="M718" s="216"/>
      <c r="N718" s="216"/>
      <c r="O718" s="216"/>
      <c r="P718" s="216"/>
      <c r="Q718" s="216"/>
      <c r="R718" s="216"/>
      <c r="S718" s="216"/>
      <c r="T718" s="216"/>
      <c r="U718" s="216"/>
      <c r="V718" s="216"/>
      <c r="W718" s="216"/>
      <c r="X718" s="216"/>
    </row>
    <row r="719" spans="1:24" ht="15.75" customHeight="1">
      <c r="A719" s="134" t="s">
        <v>3031</v>
      </c>
      <c r="B719" s="535" t="s">
        <v>3032</v>
      </c>
      <c r="C719" s="99" t="s">
        <v>141</v>
      </c>
      <c r="D719" s="535" t="s">
        <v>3041</v>
      </c>
      <c r="E719" s="378" t="s">
        <v>3042</v>
      </c>
      <c r="F719" s="162" t="s">
        <v>1338</v>
      </c>
      <c r="G719" s="162">
        <v>2</v>
      </c>
      <c r="H719" s="162">
        <v>2</v>
      </c>
      <c r="I719" s="536">
        <v>5</v>
      </c>
      <c r="J719" s="162">
        <v>50</v>
      </c>
      <c r="K719" s="483">
        <f t="shared" si="31"/>
        <v>25</v>
      </c>
      <c r="L719" s="216" t="s">
        <v>798</v>
      </c>
      <c r="M719" s="216"/>
      <c r="N719" s="216"/>
      <c r="O719" s="216"/>
      <c r="P719" s="216"/>
      <c r="Q719" s="216"/>
      <c r="R719" s="216"/>
      <c r="S719" s="216"/>
      <c r="T719" s="216"/>
      <c r="U719" s="216"/>
      <c r="V719" s="216"/>
      <c r="W719" s="216"/>
      <c r="X719" s="216"/>
    </row>
    <row r="720" spans="1:24" ht="15.75" customHeight="1">
      <c r="A720" s="134" t="s">
        <v>3031</v>
      </c>
      <c r="B720" s="535" t="s">
        <v>3032</v>
      </c>
      <c r="C720" s="99" t="s">
        <v>141</v>
      </c>
      <c r="D720" s="535" t="s">
        <v>3043</v>
      </c>
      <c r="E720" s="537" t="s">
        <v>3044</v>
      </c>
      <c r="F720" s="162" t="s">
        <v>1338</v>
      </c>
      <c r="G720" s="162">
        <v>2</v>
      </c>
      <c r="H720" s="162">
        <v>2</v>
      </c>
      <c r="I720" s="536">
        <v>5</v>
      </c>
      <c r="J720" s="162">
        <v>50</v>
      </c>
      <c r="K720" s="483">
        <f t="shared" si="31"/>
        <v>25</v>
      </c>
      <c r="L720" s="216" t="s">
        <v>798</v>
      </c>
      <c r="M720" s="216"/>
      <c r="N720" s="216"/>
      <c r="O720" s="216"/>
      <c r="P720" s="216"/>
      <c r="Q720" s="216"/>
      <c r="R720" s="216"/>
      <c r="S720" s="216"/>
      <c r="T720" s="216"/>
      <c r="U720" s="216"/>
      <c r="V720" s="216"/>
      <c r="W720" s="216"/>
      <c r="X720" s="216"/>
    </row>
    <row r="721" spans="1:24" ht="15.75" customHeight="1">
      <c r="A721" s="134" t="s">
        <v>3045</v>
      </c>
      <c r="B721" s="538" t="s">
        <v>3046</v>
      </c>
      <c r="C721" s="99" t="s">
        <v>141</v>
      </c>
      <c r="D721" s="535" t="s">
        <v>3047</v>
      </c>
      <c r="E721" s="378" t="s">
        <v>3048</v>
      </c>
      <c r="F721" s="162" t="s">
        <v>1338</v>
      </c>
      <c r="G721" s="162">
        <v>3</v>
      </c>
      <c r="H721" s="162">
        <v>3</v>
      </c>
      <c r="I721" s="536">
        <v>7</v>
      </c>
      <c r="J721" s="162">
        <v>50</v>
      </c>
      <c r="K721" s="483">
        <v>16.670000000000002</v>
      </c>
      <c r="L721" s="216" t="s">
        <v>798</v>
      </c>
      <c r="M721" s="216"/>
      <c r="N721" s="216"/>
      <c r="O721" s="216"/>
      <c r="P721" s="216"/>
      <c r="Q721" s="216"/>
      <c r="R721" s="216"/>
      <c r="S721" s="216"/>
      <c r="T721" s="216"/>
      <c r="U721" s="216"/>
      <c r="V721" s="216"/>
      <c r="W721" s="216"/>
      <c r="X721" s="216"/>
    </row>
    <row r="722" spans="1:24" ht="15.75" customHeight="1">
      <c r="A722" s="134" t="s">
        <v>3045</v>
      </c>
      <c r="B722" s="538" t="s">
        <v>3046</v>
      </c>
      <c r="C722" s="99" t="s">
        <v>141</v>
      </c>
      <c r="D722" s="535" t="s">
        <v>3049</v>
      </c>
      <c r="E722" s="378" t="s">
        <v>3050</v>
      </c>
      <c r="F722" s="162" t="s">
        <v>1338</v>
      </c>
      <c r="G722" s="162">
        <v>3</v>
      </c>
      <c r="H722" s="162">
        <v>3</v>
      </c>
      <c r="I722" s="536">
        <v>7</v>
      </c>
      <c r="J722" s="162">
        <v>50</v>
      </c>
      <c r="K722" s="483">
        <v>16.66</v>
      </c>
      <c r="L722" s="216" t="s">
        <v>798</v>
      </c>
      <c r="M722" s="216"/>
      <c r="N722" s="216"/>
      <c r="O722" s="216"/>
      <c r="P722" s="216"/>
      <c r="Q722" s="216"/>
      <c r="R722" s="216"/>
      <c r="S722" s="216"/>
      <c r="T722" s="216"/>
      <c r="U722" s="216"/>
      <c r="V722" s="216"/>
      <c r="W722" s="216"/>
      <c r="X722" s="216"/>
    </row>
    <row r="723" spans="1:24" ht="15.75" customHeight="1">
      <c r="A723" s="134" t="s">
        <v>3045</v>
      </c>
      <c r="B723" s="538" t="s">
        <v>3046</v>
      </c>
      <c r="C723" s="99" t="s">
        <v>141</v>
      </c>
      <c r="D723" s="535" t="s">
        <v>3051</v>
      </c>
      <c r="E723" s="378" t="s">
        <v>3052</v>
      </c>
      <c r="F723" s="162" t="s">
        <v>1338</v>
      </c>
      <c r="G723" s="162">
        <v>3</v>
      </c>
      <c r="H723" s="162">
        <v>3</v>
      </c>
      <c r="I723" s="536">
        <v>7</v>
      </c>
      <c r="J723" s="162">
        <v>50</v>
      </c>
      <c r="K723" s="483">
        <v>16.66</v>
      </c>
      <c r="L723" s="216" t="s">
        <v>798</v>
      </c>
      <c r="M723" s="216"/>
      <c r="N723" s="216"/>
      <c r="O723" s="216"/>
      <c r="P723" s="216"/>
      <c r="Q723" s="216"/>
      <c r="R723" s="216"/>
      <c r="S723" s="216"/>
      <c r="T723" s="216"/>
      <c r="U723" s="216"/>
      <c r="V723" s="216"/>
      <c r="W723" s="216"/>
      <c r="X723" s="216"/>
    </row>
    <row r="724" spans="1:24" ht="15.75" customHeight="1">
      <c r="A724" s="134" t="s">
        <v>3045</v>
      </c>
      <c r="B724" s="538" t="s">
        <v>3046</v>
      </c>
      <c r="C724" s="99" t="s">
        <v>141</v>
      </c>
      <c r="D724" s="535" t="s">
        <v>3053</v>
      </c>
      <c r="E724" s="378" t="s">
        <v>3054</v>
      </c>
      <c r="F724" s="162" t="s">
        <v>1338</v>
      </c>
      <c r="G724" s="162">
        <v>3</v>
      </c>
      <c r="H724" s="162">
        <v>3</v>
      </c>
      <c r="I724" s="536">
        <v>7</v>
      </c>
      <c r="J724" s="162">
        <v>50</v>
      </c>
      <c r="K724" s="483">
        <v>16.66</v>
      </c>
      <c r="L724" s="216" t="s">
        <v>798</v>
      </c>
      <c r="M724" s="216"/>
      <c r="N724" s="216"/>
      <c r="O724" s="216"/>
      <c r="P724" s="216"/>
      <c r="Q724" s="216"/>
      <c r="R724" s="216"/>
      <c r="S724" s="216"/>
      <c r="T724" s="216"/>
      <c r="U724" s="216"/>
      <c r="V724" s="216"/>
      <c r="W724" s="216"/>
      <c r="X724" s="216"/>
    </row>
    <row r="725" spans="1:24" ht="15.75" customHeight="1">
      <c r="A725" s="134" t="s">
        <v>3045</v>
      </c>
      <c r="B725" s="538" t="s">
        <v>3046</v>
      </c>
      <c r="C725" s="99" t="s">
        <v>141</v>
      </c>
      <c r="D725" s="535" t="s">
        <v>3055</v>
      </c>
      <c r="E725" s="378" t="s">
        <v>3056</v>
      </c>
      <c r="F725" s="162" t="s">
        <v>1338</v>
      </c>
      <c r="G725" s="162">
        <v>3</v>
      </c>
      <c r="H725" s="162">
        <v>3</v>
      </c>
      <c r="I725" s="536">
        <v>7</v>
      </c>
      <c r="J725" s="162">
        <v>50</v>
      </c>
      <c r="K725" s="483">
        <v>16.66</v>
      </c>
      <c r="L725" s="216" t="s">
        <v>798</v>
      </c>
      <c r="M725" s="216"/>
      <c r="N725" s="216"/>
      <c r="O725" s="216"/>
      <c r="P725" s="216"/>
      <c r="Q725" s="216"/>
      <c r="R725" s="216"/>
      <c r="S725" s="216"/>
      <c r="T725" s="216"/>
      <c r="U725" s="216"/>
      <c r="V725" s="216"/>
      <c r="W725" s="216"/>
      <c r="X725" s="216"/>
    </row>
    <row r="726" spans="1:24" ht="15.75" customHeight="1">
      <c r="A726" s="134" t="s">
        <v>3057</v>
      </c>
      <c r="B726" s="538" t="s">
        <v>3058</v>
      </c>
      <c r="C726" s="99" t="s">
        <v>141</v>
      </c>
      <c r="D726" s="535" t="s">
        <v>3059</v>
      </c>
      <c r="E726" s="378" t="s">
        <v>3060</v>
      </c>
      <c r="F726" s="162" t="s">
        <v>1338</v>
      </c>
      <c r="G726" s="162">
        <v>1</v>
      </c>
      <c r="H726" s="162">
        <v>1</v>
      </c>
      <c r="I726" s="536">
        <v>5</v>
      </c>
      <c r="J726" s="162">
        <v>50</v>
      </c>
      <c r="K726" s="483">
        <f t="shared" ref="K726:K734" si="32">J726/G726</f>
        <v>50</v>
      </c>
      <c r="L726" s="216" t="s">
        <v>798</v>
      </c>
      <c r="M726" s="216"/>
      <c r="N726" s="216"/>
      <c r="O726" s="216"/>
      <c r="P726" s="216"/>
      <c r="Q726" s="216"/>
      <c r="R726" s="216"/>
      <c r="S726" s="216"/>
      <c r="T726" s="216"/>
      <c r="U726" s="216"/>
      <c r="V726" s="216"/>
      <c r="W726" s="216"/>
      <c r="X726" s="216"/>
    </row>
    <row r="727" spans="1:24" ht="15.75" customHeight="1">
      <c r="A727" s="134" t="s">
        <v>3057</v>
      </c>
      <c r="B727" s="538" t="s">
        <v>3058</v>
      </c>
      <c r="C727" s="99" t="s">
        <v>141</v>
      </c>
      <c r="D727" s="535" t="s">
        <v>3061</v>
      </c>
      <c r="E727" s="378" t="s">
        <v>3062</v>
      </c>
      <c r="F727" s="162" t="s">
        <v>1338</v>
      </c>
      <c r="G727" s="162">
        <v>1</v>
      </c>
      <c r="H727" s="162">
        <v>1</v>
      </c>
      <c r="I727" s="536">
        <v>5</v>
      </c>
      <c r="J727" s="162">
        <v>50</v>
      </c>
      <c r="K727" s="483">
        <f t="shared" si="32"/>
        <v>50</v>
      </c>
      <c r="L727" s="216" t="s">
        <v>798</v>
      </c>
      <c r="M727" s="216"/>
      <c r="N727" s="216"/>
      <c r="O727" s="216"/>
      <c r="P727" s="216"/>
      <c r="Q727" s="216"/>
      <c r="R727" s="216"/>
      <c r="S727" s="216"/>
      <c r="T727" s="216"/>
      <c r="U727" s="216"/>
      <c r="V727" s="216"/>
      <c r="W727" s="216"/>
      <c r="X727" s="216"/>
    </row>
    <row r="728" spans="1:24" ht="15.75" customHeight="1">
      <c r="A728" s="134" t="s">
        <v>3063</v>
      </c>
      <c r="B728" s="535" t="s">
        <v>3064</v>
      </c>
      <c r="C728" s="99" t="s">
        <v>141</v>
      </c>
      <c r="D728" s="535" t="s">
        <v>3065</v>
      </c>
      <c r="E728" s="378" t="s">
        <v>3066</v>
      </c>
      <c r="F728" s="162" t="s">
        <v>1338</v>
      </c>
      <c r="G728" s="162">
        <v>2</v>
      </c>
      <c r="H728" s="162">
        <v>2</v>
      </c>
      <c r="I728" s="536">
        <v>2</v>
      </c>
      <c r="J728" s="162">
        <v>50</v>
      </c>
      <c r="K728" s="483">
        <f t="shared" si="32"/>
        <v>25</v>
      </c>
      <c r="L728" s="216" t="s">
        <v>798</v>
      </c>
      <c r="M728" s="216"/>
      <c r="N728" s="216"/>
      <c r="O728" s="216"/>
      <c r="P728" s="216"/>
      <c r="Q728" s="216"/>
      <c r="R728" s="216"/>
      <c r="S728" s="216"/>
      <c r="T728" s="216"/>
      <c r="U728" s="216"/>
      <c r="V728" s="216"/>
      <c r="W728" s="216"/>
      <c r="X728" s="216"/>
    </row>
    <row r="729" spans="1:24" ht="15.75" customHeight="1">
      <c r="A729" s="134" t="s">
        <v>3063</v>
      </c>
      <c r="B729" s="535" t="s">
        <v>3064</v>
      </c>
      <c r="C729" s="99" t="s">
        <v>141</v>
      </c>
      <c r="D729" s="535" t="s">
        <v>3067</v>
      </c>
      <c r="E729" s="378" t="s">
        <v>3068</v>
      </c>
      <c r="F729" s="162" t="s">
        <v>1338</v>
      </c>
      <c r="G729" s="162">
        <v>2</v>
      </c>
      <c r="H729" s="162">
        <v>2</v>
      </c>
      <c r="I729" s="536">
        <v>2</v>
      </c>
      <c r="J729" s="162">
        <v>50</v>
      </c>
      <c r="K729" s="483">
        <f t="shared" si="32"/>
        <v>25</v>
      </c>
      <c r="L729" s="216" t="s">
        <v>798</v>
      </c>
      <c r="M729" s="216"/>
      <c r="N729" s="216"/>
      <c r="O729" s="216"/>
      <c r="P729" s="216"/>
      <c r="Q729" s="216"/>
      <c r="R729" s="216"/>
      <c r="S729" s="216"/>
      <c r="T729" s="216"/>
      <c r="U729" s="216"/>
      <c r="V729" s="216"/>
      <c r="W729" s="216"/>
      <c r="X729" s="216"/>
    </row>
    <row r="730" spans="1:24" ht="15.75" customHeight="1">
      <c r="A730" s="134" t="s">
        <v>3069</v>
      </c>
      <c r="B730" s="535" t="s">
        <v>3070</v>
      </c>
      <c r="C730" s="99" t="s">
        <v>141</v>
      </c>
      <c r="D730" s="535" t="s">
        <v>3071</v>
      </c>
      <c r="E730" s="378" t="s">
        <v>3072</v>
      </c>
      <c r="F730" s="162" t="s">
        <v>1338</v>
      </c>
      <c r="G730" s="162">
        <v>2</v>
      </c>
      <c r="H730" s="162">
        <v>2</v>
      </c>
      <c r="I730" s="536">
        <v>3</v>
      </c>
      <c r="J730" s="162">
        <v>50</v>
      </c>
      <c r="K730" s="483">
        <f t="shared" si="32"/>
        <v>25</v>
      </c>
      <c r="L730" s="216" t="s">
        <v>798</v>
      </c>
      <c r="M730" s="216"/>
      <c r="N730" s="216"/>
      <c r="O730" s="216"/>
      <c r="P730" s="216"/>
      <c r="Q730" s="216"/>
      <c r="R730" s="216"/>
      <c r="S730" s="216"/>
      <c r="T730" s="216"/>
      <c r="U730" s="216"/>
      <c r="V730" s="216"/>
      <c r="W730" s="216"/>
      <c r="X730" s="216"/>
    </row>
    <row r="731" spans="1:24" ht="15.75" customHeight="1">
      <c r="A731" s="134" t="s">
        <v>3069</v>
      </c>
      <c r="B731" s="535" t="s">
        <v>3070</v>
      </c>
      <c r="C731" s="99" t="s">
        <v>141</v>
      </c>
      <c r="D731" s="535" t="s">
        <v>3073</v>
      </c>
      <c r="E731" s="378" t="s">
        <v>3074</v>
      </c>
      <c r="F731" s="162" t="s">
        <v>1338</v>
      </c>
      <c r="G731" s="162">
        <v>2</v>
      </c>
      <c r="H731" s="162">
        <v>2</v>
      </c>
      <c r="I731" s="536">
        <v>3</v>
      </c>
      <c r="J731" s="162">
        <v>50</v>
      </c>
      <c r="K731" s="483">
        <f t="shared" si="32"/>
        <v>25</v>
      </c>
      <c r="L731" s="216" t="s">
        <v>798</v>
      </c>
      <c r="M731" s="216"/>
      <c r="N731" s="216"/>
      <c r="O731" s="216"/>
      <c r="P731" s="216"/>
      <c r="Q731" s="216"/>
      <c r="R731" s="216"/>
      <c r="S731" s="216"/>
      <c r="T731" s="216"/>
      <c r="U731" s="216"/>
      <c r="V731" s="216"/>
      <c r="W731" s="216"/>
      <c r="X731" s="216"/>
    </row>
    <row r="732" spans="1:24" ht="15.75" customHeight="1">
      <c r="A732" s="134" t="s">
        <v>3075</v>
      </c>
      <c r="B732" s="535" t="s">
        <v>3076</v>
      </c>
      <c r="C732" s="99" t="s">
        <v>141</v>
      </c>
      <c r="D732" s="535" t="s">
        <v>3077</v>
      </c>
      <c r="E732" s="378" t="s">
        <v>3078</v>
      </c>
      <c r="F732" s="162" t="s">
        <v>1338</v>
      </c>
      <c r="G732" s="162">
        <v>2</v>
      </c>
      <c r="H732" s="162">
        <v>1</v>
      </c>
      <c r="I732" s="536">
        <v>7</v>
      </c>
      <c r="J732" s="162">
        <v>50</v>
      </c>
      <c r="K732" s="483">
        <f t="shared" si="32"/>
        <v>25</v>
      </c>
      <c r="L732" s="216" t="s">
        <v>798</v>
      </c>
      <c r="M732" s="216"/>
      <c r="N732" s="216"/>
      <c r="O732" s="216"/>
      <c r="P732" s="216"/>
      <c r="Q732" s="216"/>
      <c r="R732" s="216"/>
      <c r="S732" s="216"/>
      <c r="T732" s="216"/>
      <c r="U732" s="216"/>
      <c r="V732" s="216"/>
      <c r="W732" s="216"/>
      <c r="X732" s="216"/>
    </row>
    <row r="733" spans="1:24" ht="15.75" customHeight="1">
      <c r="A733" s="134" t="s">
        <v>3075</v>
      </c>
      <c r="B733" s="535" t="s">
        <v>3076</v>
      </c>
      <c r="C733" s="99" t="s">
        <v>141</v>
      </c>
      <c r="D733" s="535" t="s">
        <v>3079</v>
      </c>
      <c r="E733" s="378" t="s">
        <v>3080</v>
      </c>
      <c r="F733" s="162" t="s">
        <v>1338</v>
      </c>
      <c r="G733" s="162">
        <v>2</v>
      </c>
      <c r="H733" s="162">
        <v>1</v>
      </c>
      <c r="I733" s="536">
        <v>7</v>
      </c>
      <c r="J733" s="162">
        <v>50</v>
      </c>
      <c r="K733" s="483">
        <f t="shared" si="32"/>
        <v>25</v>
      </c>
      <c r="L733" s="216" t="s">
        <v>798</v>
      </c>
      <c r="M733" s="216"/>
      <c r="N733" s="216"/>
      <c r="O733" s="216"/>
      <c r="P733" s="216"/>
      <c r="Q733" s="216"/>
      <c r="R733" s="216"/>
      <c r="S733" s="216"/>
      <c r="T733" s="216"/>
      <c r="U733" s="216"/>
      <c r="V733" s="216"/>
      <c r="W733" s="216"/>
      <c r="X733" s="216"/>
    </row>
    <row r="734" spans="1:24" ht="15.75" customHeight="1">
      <c r="A734" s="134" t="s">
        <v>3081</v>
      </c>
      <c r="B734" s="535" t="s">
        <v>3082</v>
      </c>
      <c r="C734" s="99" t="s">
        <v>141</v>
      </c>
      <c r="D734" s="535" t="s">
        <v>3041</v>
      </c>
      <c r="E734" s="378" t="s">
        <v>3083</v>
      </c>
      <c r="F734" s="162" t="s">
        <v>1338</v>
      </c>
      <c r="G734" s="162">
        <v>1</v>
      </c>
      <c r="H734" s="162">
        <v>1</v>
      </c>
      <c r="I734" s="536">
        <v>3</v>
      </c>
      <c r="J734" s="162">
        <v>50</v>
      </c>
      <c r="K734" s="483">
        <f t="shared" si="32"/>
        <v>50</v>
      </c>
      <c r="L734" s="216" t="s">
        <v>798</v>
      </c>
      <c r="M734" s="216"/>
      <c r="N734" s="216"/>
      <c r="O734" s="216"/>
      <c r="P734" s="216"/>
      <c r="Q734" s="216"/>
      <c r="R734" s="216"/>
      <c r="S734" s="216"/>
      <c r="T734" s="216"/>
      <c r="U734" s="216"/>
      <c r="V734" s="216"/>
      <c r="W734" s="216"/>
      <c r="X734" s="216"/>
    </row>
    <row r="735" spans="1:24" ht="15.75" customHeight="1">
      <c r="A735" s="134" t="s">
        <v>3084</v>
      </c>
      <c r="B735" s="535" t="s">
        <v>3085</v>
      </c>
      <c r="C735" s="99" t="s">
        <v>141</v>
      </c>
      <c r="D735" s="535" t="s">
        <v>3086</v>
      </c>
      <c r="E735" s="378" t="s">
        <v>3087</v>
      </c>
      <c r="F735" s="162" t="s">
        <v>1338</v>
      </c>
      <c r="G735" s="162">
        <v>3</v>
      </c>
      <c r="H735" s="162">
        <v>3</v>
      </c>
      <c r="I735" s="536">
        <v>5</v>
      </c>
      <c r="J735" s="162">
        <v>50</v>
      </c>
      <c r="K735" s="483">
        <v>16.670000000000002</v>
      </c>
      <c r="L735" s="216" t="s">
        <v>798</v>
      </c>
      <c r="M735" s="216"/>
      <c r="N735" s="216"/>
      <c r="O735" s="216"/>
      <c r="P735" s="216"/>
      <c r="Q735" s="216"/>
      <c r="R735" s="216"/>
      <c r="S735" s="216"/>
      <c r="T735" s="216"/>
      <c r="U735" s="216"/>
      <c r="V735" s="216"/>
      <c r="W735" s="216"/>
      <c r="X735" s="216"/>
    </row>
    <row r="736" spans="1:24" ht="15.75" customHeight="1">
      <c r="A736" s="134" t="s">
        <v>3084</v>
      </c>
      <c r="B736" s="535" t="s">
        <v>3085</v>
      </c>
      <c r="C736" s="99" t="s">
        <v>141</v>
      </c>
      <c r="D736" s="535" t="s">
        <v>3088</v>
      </c>
      <c r="E736" s="378" t="s">
        <v>3089</v>
      </c>
      <c r="F736" s="162" t="s">
        <v>1338</v>
      </c>
      <c r="G736" s="162">
        <v>3</v>
      </c>
      <c r="H736" s="162">
        <v>3</v>
      </c>
      <c r="I736" s="536">
        <v>5</v>
      </c>
      <c r="J736" s="162">
        <v>50</v>
      </c>
      <c r="K736" s="483">
        <v>16.670000000000002</v>
      </c>
      <c r="L736" s="216" t="s">
        <v>798</v>
      </c>
      <c r="M736" s="216"/>
      <c r="N736" s="216"/>
      <c r="O736" s="216"/>
      <c r="P736" s="216"/>
      <c r="Q736" s="216"/>
      <c r="R736" s="216"/>
      <c r="S736" s="216"/>
      <c r="T736" s="216"/>
      <c r="U736" s="216"/>
      <c r="V736" s="216"/>
      <c r="W736" s="216"/>
      <c r="X736" s="216"/>
    </row>
    <row r="737" spans="1:24" ht="15.75" customHeight="1">
      <c r="A737" s="134" t="s">
        <v>3084</v>
      </c>
      <c r="B737" s="535" t="s">
        <v>3085</v>
      </c>
      <c r="C737" s="99" t="s">
        <v>141</v>
      </c>
      <c r="D737" s="535" t="s">
        <v>3090</v>
      </c>
      <c r="E737" s="378" t="s">
        <v>3091</v>
      </c>
      <c r="F737" s="162" t="s">
        <v>1338</v>
      </c>
      <c r="G737" s="162">
        <v>3</v>
      </c>
      <c r="H737" s="162">
        <v>3</v>
      </c>
      <c r="I737" s="536">
        <v>5</v>
      </c>
      <c r="J737" s="162">
        <v>50</v>
      </c>
      <c r="K737" s="483">
        <v>16.670000000000002</v>
      </c>
      <c r="L737" s="216" t="s">
        <v>798</v>
      </c>
      <c r="M737" s="216"/>
      <c r="N737" s="216"/>
      <c r="O737" s="216"/>
      <c r="P737" s="216"/>
      <c r="Q737" s="216"/>
      <c r="R737" s="216"/>
      <c r="S737" s="216"/>
      <c r="T737" s="216"/>
      <c r="U737" s="216"/>
      <c r="V737" s="216"/>
      <c r="W737" s="216"/>
      <c r="X737" s="216"/>
    </row>
    <row r="738" spans="1:24" ht="15.75" customHeight="1">
      <c r="A738" s="134" t="s">
        <v>3092</v>
      </c>
      <c r="B738" s="535" t="s">
        <v>3093</v>
      </c>
      <c r="C738" s="99" t="s">
        <v>141</v>
      </c>
      <c r="D738" s="535" t="s">
        <v>3094</v>
      </c>
      <c r="E738" s="378" t="s">
        <v>3095</v>
      </c>
      <c r="F738" s="162" t="s">
        <v>1338</v>
      </c>
      <c r="G738" s="162">
        <v>3</v>
      </c>
      <c r="H738" s="162">
        <v>3</v>
      </c>
      <c r="I738" s="539">
        <v>3</v>
      </c>
      <c r="J738" s="162">
        <v>50</v>
      </c>
      <c r="K738" s="483">
        <v>16.66</v>
      </c>
      <c r="L738" s="216" t="s">
        <v>798</v>
      </c>
      <c r="M738" s="216"/>
      <c r="N738" s="216"/>
      <c r="O738" s="216"/>
      <c r="P738" s="216"/>
      <c r="Q738" s="216"/>
      <c r="R738" s="216"/>
      <c r="S738" s="216"/>
      <c r="T738" s="216"/>
      <c r="U738" s="216"/>
      <c r="V738" s="216"/>
      <c r="W738" s="216"/>
      <c r="X738" s="216"/>
    </row>
    <row r="739" spans="1:24" ht="15.75" customHeight="1">
      <c r="A739" s="134" t="s">
        <v>3096</v>
      </c>
      <c r="B739" s="535" t="s">
        <v>3097</v>
      </c>
      <c r="C739" s="99" t="s">
        <v>141</v>
      </c>
      <c r="D739" s="535" t="s">
        <v>3098</v>
      </c>
      <c r="E739" s="378" t="s">
        <v>3099</v>
      </c>
      <c r="F739" s="162" t="s">
        <v>1338</v>
      </c>
      <c r="G739" s="162">
        <v>1</v>
      </c>
      <c r="H739" s="162">
        <v>1</v>
      </c>
      <c r="I739" s="539">
        <v>3</v>
      </c>
      <c r="J739" s="162">
        <v>50</v>
      </c>
      <c r="K739" s="483">
        <f t="shared" ref="K739:K741" si="33">J739/G739</f>
        <v>50</v>
      </c>
      <c r="L739" s="216" t="s">
        <v>798</v>
      </c>
      <c r="M739" s="216"/>
      <c r="N739" s="216"/>
      <c r="O739" s="216"/>
      <c r="P739" s="216"/>
      <c r="Q739" s="216"/>
      <c r="R739" s="216"/>
      <c r="S739" s="216"/>
      <c r="T739" s="216"/>
      <c r="U739" s="216"/>
      <c r="V739" s="216"/>
      <c r="W739" s="216"/>
      <c r="X739" s="216"/>
    </row>
    <row r="740" spans="1:24" ht="15.75" customHeight="1">
      <c r="A740" s="134" t="s">
        <v>3096</v>
      </c>
      <c r="B740" s="535" t="s">
        <v>3097</v>
      </c>
      <c r="C740" s="99" t="s">
        <v>141</v>
      </c>
      <c r="D740" s="535" t="s">
        <v>3100</v>
      </c>
      <c r="E740" s="378" t="s">
        <v>3101</v>
      </c>
      <c r="F740" s="162" t="s">
        <v>1338</v>
      </c>
      <c r="G740" s="162">
        <v>1</v>
      </c>
      <c r="H740" s="162">
        <v>1</v>
      </c>
      <c r="I740" s="539">
        <v>3</v>
      </c>
      <c r="J740" s="162">
        <v>50</v>
      </c>
      <c r="K740" s="483">
        <f t="shared" si="33"/>
        <v>50</v>
      </c>
      <c r="L740" s="216" t="s">
        <v>798</v>
      </c>
      <c r="M740" s="216"/>
      <c r="N740" s="216"/>
      <c r="O740" s="216"/>
      <c r="P740" s="216"/>
      <c r="Q740" s="216"/>
      <c r="R740" s="216"/>
      <c r="S740" s="216"/>
      <c r="T740" s="216"/>
      <c r="U740" s="216"/>
      <c r="V740" s="216"/>
      <c r="W740" s="216"/>
      <c r="X740" s="216"/>
    </row>
    <row r="741" spans="1:24" ht="15.75" customHeight="1">
      <c r="A741" s="134" t="s">
        <v>3102</v>
      </c>
      <c r="B741" s="535" t="s">
        <v>3103</v>
      </c>
      <c r="C741" s="99" t="s">
        <v>141</v>
      </c>
      <c r="D741" s="535" t="s">
        <v>3104</v>
      </c>
      <c r="E741" s="378" t="s">
        <v>3105</v>
      </c>
      <c r="F741" s="162" t="s">
        <v>1338</v>
      </c>
      <c r="G741" s="162">
        <v>5</v>
      </c>
      <c r="H741" s="162">
        <v>5</v>
      </c>
      <c r="I741" s="539">
        <v>5</v>
      </c>
      <c r="J741" s="162">
        <v>50</v>
      </c>
      <c r="K741" s="483">
        <f t="shared" si="33"/>
        <v>10</v>
      </c>
      <c r="L741" s="216" t="s">
        <v>798</v>
      </c>
      <c r="M741" s="216"/>
      <c r="N741" s="216"/>
      <c r="O741" s="216"/>
      <c r="P741" s="216"/>
      <c r="Q741" s="216"/>
      <c r="R741" s="216"/>
      <c r="S741" s="216"/>
      <c r="T741" s="216"/>
      <c r="U741" s="216"/>
      <c r="V741" s="216"/>
      <c r="W741" s="216"/>
      <c r="X741" s="216"/>
    </row>
    <row r="742" spans="1:24" ht="15.75" customHeight="1">
      <c r="A742" s="134" t="s">
        <v>2987</v>
      </c>
      <c r="B742" s="535" t="s">
        <v>2988</v>
      </c>
      <c r="C742" s="99" t="s">
        <v>141</v>
      </c>
      <c r="D742" s="535" t="s">
        <v>2989</v>
      </c>
      <c r="E742" s="130" t="s">
        <v>2990</v>
      </c>
      <c r="F742" s="162" t="s">
        <v>230</v>
      </c>
      <c r="G742" s="162">
        <v>3</v>
      </c>
      <c r="H742" s="162">
        <v>3</v>
      </c>
      <c r="I742" s="539">
        <v>5</v>
      </c>
      <c r="J742" s="162">
        <v>50</v>
      </c>
      <c r="K742" s="483">
        <v>16.670000000000002</v>
      </c>
      <c r="L742" s="216" t="s">
        <v>798</v>
      </c>
      <c r="M742" s="216"/>
      <c r="N742" s="216"/>
      <c r="O742" s="216"/>
      <c r="P742" s="216"/>
      <c r="Q742" s="216"/>
      <c r="R742" s="216"/>
      <c r="S742" s="216"/>
      <c r="T742" s="216"/>
      <c r="U742" s="216"/>
      <c r="V742" s="216"/>
      <c r="W742" s="216"/>
      <c r="X742" s="216"/>
    </row>
    <row r="743" spans="1:24" ht="15.75" customHeight="1">
      <c r="A743" s="134" t="s">
        <v>2987</v>
      </c>
      <c r="B743" s="535" t="s">
        <v>2988</v>
      </c>
      <c r="C743" s="99" t="s">
        <v>141</v>
      </c>
      <c r="D743" s="535" t="s">
        <v>2992</v>
      </c>
      <c r="E743" s="378" t="s">
        <v>2993</v>
      </c>
      <c r="F743" s="162" t="s">
        <v>1338</v>
      </c>
      <c r="G743" s="162">
        <v>3</v>
      </c>
      <c r="H743" s="162">
        <v>3</v>
      </c>
      <c r="I743" s="539">
        <v>5</v>
      </c>
      <c r="J743" s="162">
        <v>50</v>
      </c>
      <c r="K743" s="483">
        <v>16.670000000000002</v>
      </c>
      <c r="L743" s="216" t="s">
        <v>798</v>
      </c>
      <c r="M743" s="216"/>
      <c r="N743" s="216"/>
      <c r="O743" s="216"/>
      <c r="P743" s="216"/>
      <c r="Q743" s="216"/>
      <c r="R743" s="216"/>
      <c r="S743" s="216"/>
      <c r="T743" s="216"/>
      <c r="U743" s="216"/>
      <c r="V743" s="216"/>
      <c r="W743" s="216"/>
      <c r="X743" s="216"/>
    </row>
    <row r="744" spans="1:24" ht="15.75" customHeight="1">
      <c r="A744" s="134" t="s">
        <v>2987</v>
      </c>
      <c r="B744" s="535" t="s">
        <v>2988</v>
      </c>
      <c r="C744" s="99" t="s">
        <v>141</v>
      </c>
      <c r="D744" s="535" t="s">
        <v>2994</v>
      </c>
      <c r="E744" s="378" t="s">
        <v>2995</v>
      </c>
      <c r="F744" s="162" t="s">
        <v>1338</v>
      </c>
      <c r="G744" s="162">
        <v>3</v>
      </c>
      <c r="H744" s="162">
        <v>3</v>
      </c>
      <c r="I744" s="539">
        <v>5</v>
      </c>
      <c r="J744" s="162">
        <v>50</v>
      </c>
      <c r="K744" s="483">
        <v>16.670000000000002</v>
      </c>
      <c r="L744" s="216" t="s">
        <v>798</v>
      </c>
      <c r="M744" s="216"/>
      <c r="N744" s="216"/>
      <c r="O744" s="216"/>
      <c r="P744" s="216"/>
      <c r="Q744" s="216"/>
      <c r="R744" s="216"/>
      <c r="S744" s="216"/>
      <c r="T744" s="216"/>
      <c r="U744" s="216"/>
      <c r="V744" s="216"/>
      <c r="W744" s="216"/>
      <c r="X744" s="216"/>
    </row>
    <row r="745" spans="1:24" ht="15.75" customHeight="1">
      <c r="A745" s="134" t="s">
        <v>2987</v>
      </c>
      <c r="B745" s="535" t="s">
        <v>2988</v>
      </c>
      <c r="C745" s="99" t="s">
        <v>141</v>
      </c>
      <c r="D745" s="535" t="s">
        <v>2996</v>
      </c>
      <c r="E745" s="378" t="s">
        <v>2997</v>
      </c>
      <c r="F745" s="162" t="s">
        <v>1338</v>
      </c>
      <c r="G745" s="162">
        <v>3</v>
      </c>
      <c r="H745" s="162">
        <v>3</v>
      </c>
      <c r="I745" s="539">
        <v>5</v>
      </c>
      <c r="J745" s="162">
        <v>50</v>
      </c>
      <c r="K745" s="483">
        <v>16.670000000000002</v>
      </c>
      <c r="L745" s="216" t="s">
        <v>798</v>
      </c>
      <c r="M745" s="216"/>
      <c r="N745" s="216"/>
      <c r="O745" s="216"/>
      <c r="P745" s="216"/>
      <c r="Q745" s="216"/>
      <c r="R745" s="216"/>
      <c r="S745" s="216"/>
      <c r="T745" s="216"/>
      <c r="U745" s="216"/>
      <c r="V745" s="216"/>
      <c r="W745" s="216"/>
      <c r="X745" s="216"/>
    </row>
    <row r="746" spans="1:24" ht="15.75" customHeight="1">
      <c r="A746" s="134" t="s">
        <v>2987</v>
      </c>
      <c r="B746" s="535" t="s">
        <v>2988</v>
      </c>
      <c r="C746" s="99" t="s">
        <v>141</v>
      </c>
      <c r="D746" s="535" t="s">
        <v>2998</v>
      </c>
      <c r="E746" s="378" t="s">
        <v>2999</v>
      </c>
      <c r="F746" s="162" t="s">
        <v>1338</v>
      </c>
      <c r="G746" s="162">
        <v>3</v>
      </c>
      <c r="H746" s="162">
        <v>3</v>
      </c>
      <c r="I746" s="539">
        <v>5</v>
      </c>
      <c r="J746" s="162">
        <v>50</v>
      </c>
      <c r="K746" s="483">
        <v>16.670000000000002</v>
      </c>
      <c r="L746" s="216" t="s">
        <v>798</v>
      </c>
      <c r="M746" s="216"/>
      <c r="N746" s="216"/>
      <c r="O746" s="216"/>
      <c r="P746" s="216"/>
      <c r="Q746" s="216"/>
      <c r="R746" s="216"/>
      <c r="S746" s="216"/>
      <c r="T746" s="216"/>
      <c r="U746" s="216"/>
      <c r="V746" s="216"/>
      <c r="W746" s="216"/>
      <c r="X746" s="216"/>
    </row>
    <row r="747" spans="1:24" ht="15.75" customHeight="1">
      <c r="A747" s="134" t="s">
        <v>2987</v>
      </c>
      <c r="B747" s="535" t="s">
        <v>2988</v>
      </c>
      <c r="C747" s="99" t="s">
        <v>141</v>
      </c>
      <c r="D747" s="535" t="s">
        <v>3000</v>
      </c>
      <c r="E747" s="378" t="s">
        <v>3001</v>
      </c>
      <c r="F747" s="162" t="s">
        <v>1338</v>
      </c>
      <c r="G747" s="162">
        <v>3</v>
      </c>
      <c r="H747" s="162">
        <v>3</v>
      </c>
      <c r="I747" s="539">
        <v>5</v>
      </c>
      <c r="J747" s="162">
        <v>50</v>
      </c>
      <c r="K747" s="483">
        <v>16.670000000000002</v>
      </c>
      <c r="L747" s="216" t="s">
        <v>798</v>
      </c>
      <c r="M747" s="216"/>
      <c r="N747" s="216"/>
      <c r="O747" s="216"/>
      <c r="P747" s="216"/>
      <c r="Q747" s="216"/>
      <c r="R747" s="216"/>
      <c r="S747" s="216"/>
      <c r="T747" s="216"/>
      <c r="U747" s="216"/>
      <c r="V747" s="216"/>
      <c r="W747" s="216"/>
      <c r="X747" s="216"/>
    </row>
    <row r="748" spans="1:24" ht="15.75" customHeight="1">
      <c r="A748" s="134" t="s">
        <v>3106</v>
      </c>
      <c r="B748" s="535" t="s">
        <v>3107</v>
      </c>
      <c r="C748" s="99" t="s">
        <v>141</v>
      </c>
      <c r="D748" s="535" t="s">
        <v>3108</v>
      </c>
      <c r="E748" s="378" t="s">
        <v>3109</v>
      </c>
      <c r="F748" s="162" t="s">
        <v>1338</v>
      </c>
      <c r="G748" s="162">
        <v>3</v>
      </c>
      <c r="H748" s="162">
        <v>2</v>
      </c>
      <c r="I748" s="539">
        <v>4</v>
      </c>
      <c r="J748" s="162">
        <v>50</v>
      </c>
      <c r="K748" s="483">
        <v>16.670000000000002</v>
      </c>
      <c r="L748" s="216" t="s">
        <v>798</v>
      </c>
      <c r="M748" s="216"/>
      <c r="N748" s="216"/>
      <c r="O748" s="216"/>
      <c r="P748" s="216"/>
      <c r="Q748" s="216"/>
      <c r="R748" s="216"/>
      <c r="S748" s="216"/>
      <c r="T748" s="216"/>
      <c r="U748" s="216"/>
      <c r="V748" s="216"/>
      <c r="W748" s="216"/>
      <c r="X748" s="216"/>
    </row>
    <row r="749" spans="1:24" ht="15.75" customHeight="1">
      <c r="A749" s="134" t="s">
        <v>3110</v>
      </c>
      <c r="B749" s="535" t="s">
        <v>3111</v>
      </c>
      <c r="C749" s="99" t="s">
        <v>141</v>
      </c>
      <c r="D749" s="535" t="s">
        <v>3112</v>
      </c>
      <c r="E749" s="537" t="s">
        <v>3113</v>
      </c>
      <c r="F749" s="162" t="s">
        <v>230</v>
      </c>
      <c r="G749" s="162">
        <v>1</v>
      </c>
      <c r="H749" s="162">
        <v>1</v>
      </c>
      <c r="I749" s="539">
        <v>2</v>
      </c>
      <c r="J749" s="162">
        <v>50</v>
      </c>
      <c r="K749" s="483">
        <f t="shared" ref="K749:K753" si="34">J749/G749</f>
        <v>50</v>
      </c>
      <c r="L749" s="216" t="s">
        <v>798</v>
      </c>
      <c r="M749" s="216"/>
      <c r="N749" s="216"/>
      <c r="O749" s="216"/>
      <c r="P749" s="216"/>
      <c r="Q749" s="216"/>
      <c r="R749" s="216"/>
      <c r="S749" s="216"/>
      <c r="T749" s="216"/>
      <c r="U749" s="216"/>
      <c r="V749" s="216"/>
      <c r="W749" s="216"/>
      <c r="X749" s="216"/>
    </row>
    <row r="750" spans="1:24" ht="15.75" customHeight="1">
      <c r="A750" s="134" t="s">
        <v>3110</v>
      </c>
      <c r="B750" s="535" t="s">
        <v>3111</v>
      </c>
      <c r="C750" s="99" t="s">
        <v>141</v>
      </c>
      <c r="D750" s="535" t="s">
        <v>3114</v>
      </c>
      <c r="E750" s="378" t="s">
        <v>3115</v>
      </c>
      <c r="F750" s="162" t="s">
        <v>1338</v>
      </c>
      <c r="G750" s="162">
        <v>1</v>
      </c>
      <c r="H750" s="162">
        <v>1</v>
      </c>
      <c r="I750" s="539">
        <v>2</v>
      </c>
      <c r="J750" s="162">
        <v>50</v>
      </c>
      <c r="K750" s="483">
        <f t="shared" si="34"/>
        <v>50</v>
      </c>
      <c r="L750" s="216" t="s">
        <v>798</v>
      </c>
      <c r="M750" s="216"/>
      <c r="N750" s="216"/>
      <c r="O750" s="216"/>
      <c r="P750" s="216"/>
      <c r="Q750" s="216"/>
      <c r="R750" s="216"/>
      <c r="S750" s="216"/>
      <c r="T750" s="216"/>
      <c r="U750" s="216"/>
      <c r="V750" s="216"/>
      <c r="W750" s="216"/>
      <c r="X750" s="216"/>
    </row>
    <row r="751" spans="1:24" ht="15.75" customHeight="1">
      <c r="A751" s="134" t="s">
        <v>3110</v>
      </c>
      <c r="B751" s="535" t="s">
        <v>3111</v>
      </c>
      <c r="C751" s="99" t="s">
        <v>141</v>
      </c>
      <c r="D751" s="535" t="s">
        <v>3116</v>
      </c>
      <c r="E751" s="537" t="s">
        <v>3117</v>
      </c>
      <c r="F751" s="162" t="s">
        <v>230</v>
      </c>
      <c r="G751" s="162">
        <v>1</v>
      </c>
      <c r="H751" s="162">
        <v>1</v>
      </c>
      <c r="I751" s="539">
        <v>2</v>
      </c>
      <c r="J751" s="162">
        <v>50</v>
      </c>
      <c r="K751" s="483">
        <f t="shared" si="34"/>
        <v>50</v>
      </c>
      <c r="L751" s="216" t="s">
        <v>798</v>
      </c>
      <c r="M751" s="216"/>
      <c r="N751" s="216"/>
      <c r="O751" s="216"/>
      <c r="P751" s="216"/>
      <c r="Q751" s="216"/>
      <c r="R751" s="216"/>
      <c r="S751" s="216"/>
      <c r="T751" s="216"/>
      <c r="U751" s="216"/>
      <c r="V751" s="216"/>
      <c r="W751" s="216"/>
      <c r="X751" s="216"/>
    </row>
    <row r="752" spans="1:24" ht="15.75" customHeight="1">
      <c r="A752" s="134" t="s">
        <v>3110</v>
      </c>
      <c r="B752" s="535" t="s">
        <v>3111</v>
      </c>
      <c r="C752" s="99" t="s">
        <v>141</v>
      </c>
      <c r="D752" s="535" t="s">
        <v>3118</v>
      </c>
      <c r="E752" s="378" t="s">
        <v>3119</v>
      </c>
      <c r="F752" s="162" t="s">
        <v>1338</v>
      </c>
      <c r="G752" s="162">
        <v>1</v>
      </c>
      <c r="H752" s="162">
        <v>1</v>
      </c>
      <c r="I752" s="539">
        <v>2</v>
      </c>
      <c r="J752" s="162">
        <v>50</v>
      </c>
      <c r="K752" s="483">
        <f t="shared" si="34"/>
        <v>50</v>
      </c>
      <c r="L752" s="216" t="s">
        <v>798</v>
      </c>
      <c r="M752" s="216"/>
      <c r="N752" s="216"/>
      <c r="O752" s="216"/>
      <c r="P752" s="216"/>
      <c r="Q752" s="216"/>
      <c r="R752" s="216"/>
      <c r="S752" s="216"/>
      <c r="T752" s="216"/>
      <c r="U752" s="216"/>
      <c r="V752" s="216"/>
      <c r="W752" s="216"/>
      <c r="X752" s="216"/>
    </row>
    <row r="753" spans="1:24" ht="15.75" customHeight="1">
      <c r="A753" s="134" t="s">
        <v>3120</v>
      </c>
      <c r="B753" s="535" t="s">
        <v>3121</v>
      </c>
      <c r="C753" s="99" t="s">
        <v>141</v>
      </c>
      <c r="D753" s="535" t="s">
        <v>3122</v>
      </c>
      <c r="E753" s="378" t="s">
        <v>3123</v>
      </c>
      <c r="F753" s="162" t="s">
        <v>1338</v>
      </c>
      <c r="G753" s="162">
        <v>2</v>
      </c>
      <c r="H753" s="162">
        <v>2</v>
      </c>
      <c r="I753" s="539">
        <v>9</v>
      </c>
      <c r="J753" s="162">
        <v>50</v>
      </c>
      <c r="K753" s="483">
        <f t="shared" si="34"/>
        <v>25</v>
      </c>
      <c r="L753" s="216" t="s">
        <v>798</v>
      </c>
      <c r="M753" s="216"/>
      <c r="N753" s="216"/>
      <c r="O753" s="216"/>
      <c r="P753" s="216"/>
      <c r="Q753" s="216"/>
      <c r="R753" s="216"/>
      <c r="S753" s="216"/>
      <c r="T753" s="216"/>
      <c r="U753" s="216"/>
      <c r="V753" s="216"/>
      <c r="W753" s="216"/>
      <c r="X753" s="216"/>
    </row>
    <row r="754" spans="1:24" ht="15.75" customHeight="1">
      <c r="A754" s="134" t="s">
        <v>3124</v>
      </c>
      <c r="B754" s="535" t="s">
        <v>3125</v>
      </c>
      <c r="C754" s="99" t="s">
        <v>141</v>
      </c>
      <c r="D754" s="535" t="s">
        <v>3126</v>
      </c>
      <c r="E754" s="378" t="s">
        <v>3127</v>
      </c>
      <c r="F754" s="162" t="s">
        <v>1338</v>
      </c>
      <c r="G754" s="162">
        <v>6</v>
      </c>
      <c r="H754" s="162">
        <v>6</v>
      </c>
      <c r="I754" s="539">
        <v>7</v>
      </c>
      <c r="J754" s="162">
        <v>50</v>
      </c>
      <c r="K754" s="483">
        <v>8.33</v>
      </c>
      <c r="L754" s="216" t="s">
        <v>798</v>
      </c>
      <c r="M754" s="216"/>
      <c r="N754" s="216"/>
      <c r="O754" s="216"/>
      <c r="P754" s="216"/>
      <c r="Q754" s="216"/>
      <c r="R754" s="216"/>
      <c r="S754" s="216"/>
      <c r="T754" s="216"/>
      <c r="U754" s="216"/>
      <c r="V754" s="216"/>
      <c r="W754" s="216"/>
      <c r="X754" s="216"/>
    </row>
    <row r="755" spans="1:24" ht="15.75" customHeight="1">
      <c r="A755" s="134" t="s">
        <v>3128</v>
      </c>
      <c r="B755" s="540" t="s">
        <v>3129</v>
      </c>
      <c r="C755" s="99" t="s">
        <v>141</v>
      </c>
      <c r="D755" s="535" t="s">
        <v>3130</v>
      </c>
      <c r="E755" s="541" t="s">
        <v>3131</v>
      </c>
      <c r="F755" s="162" t="s">
        <v>1338</v>
      </c>
      <c r="G755" s="162">
        <v>4</v>
      </c>
      <c r="H755" s="162">
        <v>4</v>
      </c>
      <c r="I755" s="542">
        <v>4</v>
      </c>
      <c r="J755" s="162">
        <v>50</v>
      </c>
      <c r="K755" s="483">
        <f t="shared" ref="K755:K756" si="35">J755/G755</f>
        <v>12.5</v>
      </c>
      <c r="L755" s="216" t="s">
        <v>798</v>
      </c>
      <c r="M755" s="216"/>
      <c r="N755" s="216"/>
      <c r="O755" s="216"/>
      <c r="P755" s="216"/>
      <c r="Q755" s="216"/>
      <c r="R755" s="216"/>
      <c r="S755" s="216"/>
      <c r="T755" s="216"/>
      <c r="U755" s="216"/>
      <c r="V755" s="216"/>
      <c r="W755" s="216"/>
      <c r="X755" s="216"/>
    </row>
    <row r="756" spans="1:24" ht="15.75" customHeight="1">
      <c r="A756" s="134" t="s">
        <v>3132</v>
      </c>
      <c r="B756" s="134" t="s">
        <v>3133</v>
      </c>
      <c r="C756" s="99" t="s">
        <v>141</v>
      </c>
      <c r="D756" s="540" t="s">
        <v>3134</v>
      </c>
      <c r="E756" s="378" t="s">
        <v>3135</v>
      </c>
      <c r="F756" s="162" t="s">
        <v>1338</v>
      </c>
      <c r="G756" s="162">
        <v>2</v>
      </c>
      <c r="H756" s="162">
        <v>2</v>
      </c>
      <c r="I756" s="162">
        <v>2</v>
      </c>
      <c r="J756" s="162">
        <v>50</v>
      </c>
      <c r="K756" s="483">
        <f t="shared" si="35"/>
        <v>25</v>
      </c>
      <c r="L756" s="216" t="s">
        <v>798</v>
      </c>
      <c r="M756" s="216"/>
      <c r="N756" s="216"/>
      <c r="O756" s="216"/>
      <c r="P756" s="216"/>
      <c r="Q756" s="216"/>
      <c r="R756" s="216"/>
      <c r="S756" s="216"/>
      <c r="T756" s="216"/>
      <c r="U756" s="216"/>
      <c r="V756" s="216"/>
      <c r="W756" s="216"/>
      <c r="X756" s="216"/>
    </row>
    <row r="757" spans="1:24" ht="15.75" customHeight="1">
      <c r="A757" s="134" t="s">
        <v>3136</v>
      </c>
      <c r="B757" s="134" t="s">
        <v>3137</v>
      </c>
      <c r="C757" s="99" t="s">
        <v>141</v>
      </c>
      <c r="D757" s="540" t="s">
        <v>3138</v>
      </c>
      <c r="E757" s="378" t="s">
        <v>3139</v>
      </c>
      <c r="F757" s="162" t="s">
        <v>1338</v>
      </c>
      <c r="G757" s="162">
        <v>3</v>
      </c>
      <c r="H757" s="162">
        <v>2</v>
      </c>
      <c r="I757" s="162">
        <v>4</v>
      </c>
      <c r="J757" s="162">
        <v>50</v>
      </c>
      <c r="K757" s="483">
        <v>16.670000000000002</v>
      </c>
      <c r="L757" s="216" t="s">
        <v>798</v>
      </c>
      <c r="M757" s="216"/>
      <c r="N757" s="216"/>
      <c r="O757" s="216"/>
      <c r="P757" s="216"/>
      <c r="Q757" s="216"/>
      <c r="R757" s="216"/>
      <c r="S757" s="216"/>
      <c r="T757" s="216"/>
      <c r="U757" s="216"/>
      <c r="V757" s="216"/>
      <c r="W757" s="216"/>
      <c r="X757" s="216"/>
    </row>
    <row r="758" spans="1:24" ht="15.75" customHeight="1">
      <c r="A758" s="134" t="s">
        <v>3140</v>
      </c>
      <c r="B758" s="134" t="s">
        <v>3141</v>
      </c>
      <c r="C758" s="99" t="s">
        <v>141</v>
      </c>
      <c r="D758" s="134" t="s">
        <v>3142</v>
      </c>
      <c r="E758" s="378" t="s">
        <v>3143</v>
      </c>
      <c r="F758" s="162" t="s">
        <v>1338</v>
      </c>
      <c r="G758" s="162">
        <v>3</v>
      </c>
      <c r="H758" s="162">
        <v>3</v>
      </c>
      <c r="I758" s="162">
        <v>3</v>
      </c>
      <c r="J758" s="162">
        <v>50</v>
      </c>
      <c r="K758" s="483">
        <v>16.670000000000002</v>
      </c>
      <c r="L758" s="216" t="s">
        <v>798</v>
      </c>
      <c r="M758" s="216"/>
      <c r="N758" s="216"/>
      <c r="O758" s="216"/>
      <c r="P758" s="216"/>
      <c r="Q758" s="216"/>
      <c r="R758" s="216"/>
      <c r="S758" s="216"/>
      <c r="T758" s="216"/>
      <c r="U758" s="216"/>
      <c r="V758" s="216"/>
      <c r="W758" s="216"/>
      <c r="X758" s="216"/>
    </row>
    <row r="759" spans="1:24" ht="15.75" customHeight="1">
      <c r="A759" s="134" t="s">
        <v>3144</v>
      </c>
      <c r="B759" s="91" t="s">
        <v>3145</v>
      </c>
      <c r="C759" s="133" t="s">
        <v>141</v>
      </c>
      <c r="D759" s="134" t="s">
        <v>3146</v>
      </c>
      <c r="E759" s="378" t="s">
        <v>2500</v>
      </c>
      <c r="F759" s="99" t="s">
        <v>1338</v>
      </c>
      <c r="G759" s="379">
        <v>3</v>
      </c>
      <c r="H759" s="379">
        <v>3</v>
      </c>
      <c r="I759" s="379">
        <v>3</v>
      </c>
      <c r="J759" s="272">
        <v>50</v>
      </c>
      <c r="K759" s="114">
        <v>16.670000000000002</v>
      </c>
      <c r="L759" s="216" t="s">
        <v>829</v>
      </c>
      <c r="M759" s="216"/>
      <c r="N759" s="216"/>
      <c r="O759" s="216"/>
      <c r="P759" s="216"/>
      <c r="Q759" s="216"/>
      <c r="R759" s="216"/>
      <c r="S759" s="216"/>
      <c r="T759" s="216"/>
      <c r="U759" s="216"/>
      <c r="V759" s="216"/>
      <c r="W759" s="216"/>
      <c r="X759" s="216"/>
    </row>
    <row r="760" spans="1:24" ht="15.75" customHeight="1">
      <c r="A760" s="134" t="s">
        <v>3147</v>
      </c>
      <c r="B760" s="99" t="s">
        <v>3148</v>
      </c>
      <c r="C760" s="99" t="s">
        <v>141</v>
      </c>
      <c r="D760" s="133" t="s">
        <v>3149</v>
      </c>
      <c r="E760" s="130" t="s">
        <v>2512</v>
      </c>
      <c r="F760" s="99" t="s">
        <v>230</v>
      </c>
      <c r="G760" s="495">
        <v>2</v>
      </c>
      <c r="H760" s="495">
        <v>2</v>
      </c>
      <c r="I760" s="495">
        <v>2</v>
      </c>
      <c r="J760" s="272">
        <v>50</v>
      </c>
      <c r="K760" s="114">
        <v>16.670000000000002</v>
      </c>
      <c r="L760" s="216" t="s">
        <v>829</v>
      </c>
      <c r="M760" s="216"/>
      <c r="N760" s="216"/>
      <c r="O760" s="216"/>
      <c r="P760" s="216"/>
      <c r="Q760" s="216"/>
      <c r="R760" s="216"/>
      <c r="S760" s="216"/>
      <c r="T760" s="216"/>
      <c r="U760" s="216"/>
      <c r="V760" s="216"/>
      <c r="W760" s="216"/>
      <c r="X760" s="216"/>
    </row>
    <row r="761" spans="1:24" ht="15.75" customHeight="1">
      <c r="A761" s="134" t="s">
        <v>3150</v>
      </c>
      <c r="B761" s="99" t="s">
        <v>3151</v>
      </c>
      <c r="C761" s="99" t="s">
        <v>141</v>
      </c>
      <c r="D761" s="138" t="s">
        <v>3152</v>
      </c>
      <c r="E761" s="130" t="s">
        <v>2512</v>
      </c>
      <c r="F761" s="228" t="s">
        <v>230</v>
      </c>
      <c r="G761" s="398">
        <v>4</v>
      </c>
      <c r="H761" s="495">
        <v>4</v>
      </c>
      <c r="I761" s="398">
        <v>4</v>
      </c>
      <c r="J761" s="272">
        <v>50</v>
      </c>
      <c r="K761" s="114">
        <v>16.670000000000002</v>
      </c>
      <c r="L761" s="216" t="s">
        <v>829</v>
      </c>
      <c r="M761" s="216"/>
      <c r="N761" s="216"/>
      <c r="O761" s="216"/>
      <c r="P761" s="216"/>
      <c r="Q761" s="216"/>
      <c r="R761" s="216"/>
      <c r="S761" s="216"/>
      <c r="T761" s="216"/>
      <c r="U761" s="216"/>
      <c r="V761" s="216"/>
      <c r="W761" s="216"/>
      <c r="X761" s="216"/>
    </row>
    <row r="762" spans="1:24" ht="15.75" customHeight="1">
      <c r="A762" s="134" t="s">
        <v>841</v>
      </c>
      <c r="B762" s="99" t="s">
        <v>3153</v>
      </c>
      <c r="C762" s="99" t="s">
        <v>141</v>
      </c>
      <c r="D762" s="138" t="s">
        <v>3154</v>
      </c>
      <c r="E762" s="378" t="s">
        <v>3155</v>
      </c>
      <c r="F762" s="99" t="s">
        <v>1338</v>
      </c>
      <c r="G762" s="379">
        <v>6</v>
      </c>
      <c r="H762" s="379">
        <v>6</v>
      </c>
      <c r="I762" s="379">
        <v>6</v>
      </c>
      <c r="J762" s="272">
        <v>50</v>
      </c>
      <c r="K762" s="114">
        <v>8.33</v>
      </c>
      <c r="L762" s="216" t="s">
        <v>829</v>
      </c>
      <c r="M762" s="216"/>
      <c r="N762" s="216"/>
      <c r="O762" s="216"/>
      <c r="P762" s="216"/>
      <c r="Q762" s="216"/>
      <c r="R762" s="216"/>
      <c r="S762" s="216"/>
      <c r="T762" s="216"/>
      <c r="U762" s="216"/>
      <c r="V762" s="216"/>
      <c r="W762" s="216"/>
      <c r="X762" s="216"/>
    </row>
    <row r="763" spans="1:24" ht="15.75" customHeight="1">
      <c r="A763" s="134" t="s">
        <v>3156</v>
      </c>
      <c r="B763" s="91" t="s">
        <v>3157</v>
      </c>
      <c r="C763" s="133" t="s">
        <v>141</v>
      </c>
      <c r="D763" s="134" t="s">
        <v>3158</v>
      </c>
      <c r="E763" s="378" t="s">
        <v>3159</v>
      </c>
      <c r="F763" s="99" t="s">
        <v>1338</v>
      </c>
      <c r="G763" s="379">
        <v>3</v>
      </c>
      <c r="H763" s="379">
        <v>3</v>
      </c>
      <c r="I763" s="379">
        <v>5</v>
      </c>
      <c r="J763" s="272">
        <v>50</v>
      </c>
      <c r="K763" s="114">
        <v>16.670000000000002</v>
      </c>
      <c r="L763" s="216" t="s">
        <v>829</v>
      </c>
      <c r="M763" s="216"/>
      <c r="N763" s="216"/>
      <c r="O763" s="216"/>
      <c r="P763" s="216"/>
      <c r="Q763" s="216"/>
      <c r="R763" s="216"/>
      <c r="S763" s="216"/>
      <c r="T763" s="216"/>
      <c r="U763" s="216"/>
      <c r="V763" s="216"/>
      <c r="W763" s="216"/>
      <c r="X763" s="216"/>
    </row>
    <row r="764" spans="1:24" ht="15.75" customHeight="1">
      <c r="A764" s="134" t="s">
        <v>3160</v>
      </c>
      <c r="B764" s="228" t="s">
        <v>3161</v>
      </c>
      <c r="C764" s="138" t="s">
        <v>141</v>
      </c>
      <c r="D764" s="131" t="s">
        <v>3162</v>
      </c>
      <c r="E764" s="142" t="s">
        <v>3163</v>
      </c>
      <c r="F764" s="92" t="s">
        <v>3164</v>
      </c>
      <c r="G764" s="495">
        <v>4</v>
      </c>
      <c r="H764" s="495">
        <v>4</v>
      </c>
      <c r="I764" s="495">
        <v>6</v>
      </c>
      <c r="J764" s="272">
        <v>50</v>
      </c>
      <c r="K764" s="114">
        <v>16.670000000000002</v>
      </c>
      <c r="L764" s="216" t="s">
        <v>829</v>
      </c>
      <c r="M764" s="216"/>
      <c r="N764" s="216"/>
      <c r="O764" s="216"/>
      <c r="P764" s="216"/>
      <c r="Q764" s="216"/>
      <c r="R764" s="216"/>
      <c r="S764" s="216"/>
      <c r="T764" s="216"/>
      <c r="U764" s="216"/>
      <c r="V764" s="216"/>
      <c r="W764" s="216"/>
      <c r="X764" s="216"/>
    </row>
    <row r="765" spans="1:24" ht="15.75" customHeight="1">
      <c r="A765" s="134" t="s">
        <v>841</v>
      </c>
      <c r="B765" s="91" t="s">
        <v>3165</v>
      </c>
      <c r="C765" s="133" t="s">
        <v>141</v>
      </c>
      <c r="D765" s="134" t="s">
        <v>3166</v>
      </c>
      <c r="E765" s="378" t="s">
        <v>3167</v>
      </c>
      <c r="F765" s="99" t="s">
        <v>1338</v>
      </c>
      <c r="G765" s="379">
        <v>6</v>
      </c>
      <c r="H765" s="379">
        <v>6</v>
      </c>
      <c r="I765" s="379">
        <v>6</v>
      </c>
      <c r="J765" s="272">
        <v>50</v>
      </c>
      <c r="K765" s="114">
        <v>8.33</v>
      </c>
      <c r="L765" s="216" t="s">
        <v>829</v>
      </c>
      <c r="M765" s="216"/>
      <c r="N765" s="216"/>
      <c r="O765" s="216"/>
      <c r="P765" s="216"/>
      <c r="Q765" s="216"/>
      <c r="R765" s="216"/>
      <c r="S765" s="216"/>
      <c r="T765" s="216"/>
      <c r="U765" s="216"/>
      <c r="V765" s="216"/>
      <c r="W765" s="216"/>
      <c r="X765" s="216"/>
    </row>
    <row r="766" spans="1:24" ht="15.75" customHeight="1">
      <c r="A766" s="438" t="s">
        <v>3144</v>
      </c>
      <c r="B766" s="228" t="s">
        <v>3145</v>
      </c>
      <c r="C766" s="138" t="s">
        <v>141</v>
      </c>
      <c r="D766" s="133" t="s">
        <v>3168</v>
      </c>
      <c r="E766" s="130" t="s">
        <v>2498</v>
      </c>
      <c r="F766" s="99" t="s">
        <v>230</v>
      </c>
      <c r="G766" s="398">
        <v>3</v>
      </c>
      <c r="H766" s="398">
        <v>3</v>
      </c>
      <c r="I766" s="398">
        <v>3</v>
      </c>
      <c r="J766" s="272">
        <v>50</v>
      </c>
      <c r="K766" s="114">
        <v>8.33</v>
      </c>
      <c r="L766" s="216" t="s">
        <v>829</v>
      </c>
      <c r="M766" s="216"/>
      <c r="N766" s="216"/>
      <c r="O766" s="216"/>
      <c r="P766" s="216"/>
      <c r="Q766" s="216"/>
      <c r="R766" s="216"/>
      <c r="S766" s="216"/>
      <c r="T766" s="216"/>
      <c r="U766" s="216"/>
      <c r="V766" s="216"/>
      <c r="W766" s="216"/>
      <c r="X766" s="216"/>
    </row>
    <row r="767" spans="1:24" ht="15.75" customHeight="1">
      <c r="A767" s="134" t="s">
        <v>3169</v>
      </c>
      <c r="B767" s="91" t="s">
        <v>3170</v>
      </c>
      <c r="C767" s="133" t="s">
        <v>141</v>
      </c>
      <c r="D767" s="134" t="s">
        <v>3171</v>
      </c>
      <c r="E767" s="378" t="s">
        <v>3172</v>
      </c>
      <c r="F767" s="99" t="s">
        <v>1338</v>
      </c>
      <c r="G767" s="379">
        <v>3</v>
      </c>
      <c r="H767" s="379">
        <v>3</v>
      </c>
      <c r="I767" s="379">
        <v>5</v>
      </c>
      <c r="J767" s="272">
        <v>50</v>
      </c>
      <c r="K767" s="114">
        <v>16.670000000000002</v>
      </c>
      <c r="L767" s="216" t="s">
        <v>829</v>
      </c>
      <c r="M767" s="216"/>
      <c r="N767" s="216"/>
      <c r="O767" s="216"/>
      <c r="P767" s="216"/>
      <c r="Q767" s="216"/>
      <c r="R767" s="216"/>
      <c r="S767" s="216"/>
      <c r="T767" s="216"/>
      <c r="U767" s="216"/>
      <c r="V767" s="216"/>
      <c r="W767" s="216"/>
      <c r="X767" s="216"/>
    </row>
    <row r="768" spans="1:24" ht="15.75" customHeight="1">
      <c r="A768" s="134" t="s">
        <v>3173</v>
      </c>
      <c r="B768" s="91" t="s">
        <v>3174</v>
      </c>
      <c r="C768" s="133" t="s">
        <v>141</v>
      </c>
      <c r="D768" s="134" t="s">
        <v>3171</v>
      </c>
      <c r="E768" s="378" t="s">
        <v>3172</v>
      </c>
      <c r="F768" s="99" t="s">
        <v>1338</v>
      </c>
      <c r="G768" s="379">
        <v>2</v>
      </c>
      <c r="H768" s="379">
        <v>2</v>
      </c>
      <c r="I768" s="379">
        <v>5</v>
      </c>
      <c r="J768" s="272">
        <v>50</v>
      </c>
      <c r="K768" s="114">
        <v>25</v>
      </c>
      <c r="L768" s="216" t="s">
        <v>829</v>
      </c>
      <c r="M768" s="216"/>
      <c r="N768" s="216"/>
      <c r="O768" s="216"/>
      <c r="P768" s="216"/>
      <c r="Q768" s="216"/>
      <c r="R768" s="216"/>
      <c r="S768" s="216"/>
      <c r="T768" s="216"/>
      <c r="U768" s="216"/>
      <c r="V768" s="216"/>
      <c r="W768" s="216"/>
      <c r="X768" s="216"/>
    </row>
    <row r="769" spans="1:24" ht="15.75" customHeight="1">
      <c r="A769" s="134" t="s">
        <v>3173</v>
      </c>
      <c r="B769" s="91" t="s">
        <v>3175</v>
      </c>
      <c r="C769" s="133" t="s">
        <v>141</v>
      </c>
      <c r="D769" s="134" t="s">
        <v>3176</v>
      </c>
      <c r="E769" s="378" t="s">
        <v>3177</v>
      </c>
      <c r="F769" s="99" t="s">
        <v>1338</v>
      </c>
      <c r="G769" s="379">
        <v>2</v>
      </c>
      <c r="H769" s="379">
        <v>2</v>
      </c>
      <c r="I769" s="379">
        <v>5</v>
      </c>
      <c r="J769" s="272">
        <v>50</v>
      </c>
      <c r="K769" s="114">
        <v>25</v>
      </c>
      <c r="L769" s="216" t="s">
        <v>829</v>
      </c>
      <c r="M769" s="216"/>
      <c r="N769" s="216"/>
      <c r="O769" s="216"/>
      <c r="P769" s="216"/>
      <c r="Q769" s="216"/>
      <c r="R769" s="216"/>
      <c r="S769" s="216"/>
      <c r="T769" s="216"/>
      <c r="U769" s="216"/>
      <c r="V769" s="216"/>
      <c r="W769" s="216"/>
      <c r="X769" s="216"/>
    </row>
    <row r="770" spans="1:24" ht="15.75" customHeight="1">
      <c r="A770" s="91" t="s">
        <v>3178</v>
      </c>
      <c r="B770" s="256" t="s">
        <v>3170</v>
      </c>
      <c r="C770" s="92" t="s">
        <v>141</v>
      </c>
      <c r="D770" s="134" t="s">
        <v>3179</v>
      </c>
      <c r="E770" s="382" t="s">
        <v>3180</v>
      </c>
      <c r="F770" s="238" t="s">
        <v>1338</v>
      </c>
      <c r="G770" s="94">
        <v>3</v>
      </c>
      <c r="H770" s="94">
        <v>3</v>
      </c>
      <c r="I770" s="94">
        <v>5</v>
      </c>
      <c r="J770" s="385">
        <v>50</v>
      </c>
      <c r="K770" s="114">
        <v>16.670000000000002</v>
      </c>
      <c r="L770" s="216" t="s">
        <v>829</v>
      </c>
      <c r="M770" s="216"/>
      <c r="N770" s="216"/>
      <c r="O770" s="216"/>
      <c r="P770" s="216"/>
      <c r="Q770" s="216"/>
      <c r="R770" s="216"/>
      <c r="S770" s="216"/>
      <c r="T770" s="216"/>
      <c r="U770" s="216"/>
      <c r="V770" s="216"/>
      <c r="W770" s="216"/>
      <c r="X770" s="216"/>
    </row>
    <row r="771" spans="1:24" ht="15.75" customHeight="1">
      <c r="A771" s="134" t="s">
        <v>3181</v>
      </c>
      <c r="B771" s="91" t="s">
        <v>3182</v>
      </c>
      <c r="C771" s="92" t="s">
        <v>141</v>
      </c>
      <c r="D771" s="134" t="s">
        <v>3183</v>
      </c>
      <c r="E771" s="382" t="s">
        <v>3184</v>
      </c>
      <c r="F771" s="238" t="s">
        <v>1338</v>
      </c>
      <c r="G771" s="99">
        <v>5</v>
      </c>
      <c r="H771" s="99">
        <v>5</v>
      </c>
      <c r="I771" s="99">
        <v>5</v>
      </c>
      <c r="J771" s="385">
        <v>50</v>
      </c>
      <c r="K771" s="114">
        <v>10</v>
      </c>
      <c r="L771" s="216" t="s">
        <v>829</v>
      </c>
      <c r="M771" s="216"/>
      <c r="N771" s="216"/>
      <c r="O771" s="216"/>
      <c r="P771" s="216"/>
      <c r="Q771" s="216"/>
      <c r="R771" s="216"/>
      <c r="S771" s="216"/>
      <c r="T771" s="216"/>
      <c r="U771" s="216"/>
      <c r="V771" s="216"/>
      <c r="W771" s="216"/>
      <c r="X771" s="216"/>
    </row>
    <row r="772" spans="1:24" ht="15.75" customHeight="1">
      <c r="A772" s="134" t="s">
        <v>3185</v>
      </c>
      <c r="B772" s="133" t="s">
        <v>3186</v>
      </c>
      <c r="C772" s="99" t="s">
        <v>141</v>
      </c>
      <c r="D772" s="134" t="s">
        <v>3187</v>
      </c>
      <c r="E772" s="382" t="s">
        <v>3188</v>
      </c>
      <c r="F772" s="238" t="s">
        <v>1338</v>
      </c>
      <c r="G772" s="99">
        <v>2</v>
      </c>
      <c r="H772" s="99">
        <v>2</v>
      </c>
      <c r="I772" s="99">
        <v>4</v>
      </c>
      <c r="J772" s="385">
        <v>50</v>
      </c>
      <c r="K772" s="114">
        <v>25</v>
      </c>
      <c r="L772" s="216" t="s">
        <v>829</v>
      </c>
      <c r="M772" s="216"/>
      <c r="N772" s="216"/>
      <c r="O772" s="216"/>
      <c r="P772" s="216"/>
      <c r="Q772" s="216"/>
      <c r="R772" s="216"/>
      <c r="S772" s="216"/>
      <c r="T772" s="216"/>
      <c r="U772" s="216"/>
      <c r="V772" s="216"/>
      <c r="W772" s="216"/>
      <c r="X772" s="216"/>
    </row>
    <row r="773" spans="1:24" ht="15.75" customHeight="1">
      <c r="A773" s="134" t="s">
        <v>3189</v>
      </c>
      <c r="B773" s="134" t="s">
        <v>3190</v>
      </c>
      <c r="C773" s="99" t="s">
        <v>141</v>
      </c>
      <c r="D773" s="134" t="s">
        <v>3191</v>
      </c>
      <c r="E773" s="382" t="s">
        <v>3135</v>
      </c>
      <c r="F773" s="238" t="s">
        <v>1338</v>
      </c>
      <c r="G773" s="99">
        <v>2</v>
      </c>
      <c r="H773" s="99">
        <v>2</v>
      </c>
      <c r="I773" s="99">
        <v>2</v>
      </c>
      <c r="J773" s="385">
        <v>50</v>
      </c>
      <c r="K773" s="114">
        <v>25</v>
      </c>
      <c r="L773" s="216" t="s">
        <v>829</v>
      </c>
      <c r="M773" s="216"/>
      <c r="N773" s="216"/>
      <c r="O773" s="216"/>
      <c r="P773" s="216"/>
      <c r="Q773" s="216"/>
      <c r="R773" s="216"/>
      <c r="S773" s="216"/>
      <c r="T773" s="216"/>
      <c r="U773" s="216"/>
      <c r="V773" s="216"/>
      <c r="W773" s="216"/>
      <c r="X773" s="216"/>
    </row>
    <row r="774" spans="1:24" ht="15.75" customHeight="1">
      <c r="A774" s="134" t="s">
        <v>3192</v>
      </c>
      <c r="B774" s="134" t="s">
        <v>3193</v>
      </c>
      <c r="C774" s="99" t="s">
        <v>141</v>
      </c>
      <c r="D774" s="134" t="s">
        <v>3194</v>
      </c>
      <c r="E774" s="382" t="s">
        <v>3195</v>
      </c>
      <c r="F774" s="238" t="s">
        <v>1338</v>
      </c>
      <c r="G774" s="99">
        <v>4</v>
      </c>
      <c r="H774" s="99">
        <v>4</v>
      </c>
      <c r="I774" s="99">
        <v>4</v>
      </c>
      <c r="J774" s="385">
        <v>50</v>
      </c>
      <c r="K774" s="114">
        <v>12.5</v>
      </c>
      <c r="L774" s="216" t="s">
        <v>829</v>
      </c>
      <c r="M774" s="216"/>
      <c r="N774" s="216"/>
      <c r="O774" s="216"/>
      <c r="P774" s="216"/>
      <c r="Q774" s="216"/>
      <c r="R774" s="216"/>
      <c r="S774" s="216"/>
      <c r="T774" s="216"/>
      <c r="U774" s="216"/>
      <c r="V774" s="216"/>
      <c r="W774" s="216"/>
      <c r="X774" s="216"/>
    </row>
    <row r="775" spans="1:24" ht="15.75" customHeight="1">
      <c r="A775" s="134" t="s">
        <v>3169</v>
      </c>
      <c r="B775" s="134" t="s">
        <v>3170</v>
      </c>
      <c r="C775" s="99" t="s">
        <v>141</v>
      </c>
      <c r="D775" s="134" t="s">
        <v>3196</v>
      </c>
      <c r="E775" s="382" t="s">
        <v>2999</v>
      </c>
      <c r="F775" s="238" t="s">
        <v>1338</v>
      </c>
      <c r="G775" s="99">
        <v>3</v>
      </c>
      <c r="H775" s="99">
        <v>3</v>
      </c>
      <c r="I775" s="99">
        <v>5</v>
      </c>
      <c r="J775" s="385">
        <v>50</v>
      </c>
      <c r="K775" s="114">
        <v>16.670000000000002</v>
      </c>
      <c r="L775" s="216" t="s">
        <v>829</v>
      </c>
      <c r="M775" s="216"/>
      <c r="N775" s="216"/>
      <c r="O775" s="216"/>
      <c r="P775" s="216"/>
      <c r="Q775" s="216"/>
      <c r="R775" s="216"/>
      <c r="S775" s="216"/>
      <c r="T775" s="216"/>
      <c r="U775" s="216"/>
      <c r="V775" s="216"/>
      <c r="W775" s="216"/>
      <c r="X775" s="216"/>
    </row>
    <row r="776" spans="1:24" ht="15.75" customHeight="1">
      <c r="A776" s="438" t="s">
        <v>3156</v>
      </c>
      <c r="B776" s="228" t="s">
        <v>3157</v>
      </c>
      <c r="C776" s="138" t="s">
        <v>141</v>
      </c>
      <c r="D776" s="138" t="s">
        <v>3197</v>
      </c>
      <c r="E776" s="130" t="s">
        <v>3198</v>
      </c>
      <c r="F776" s="138" t="s">
        <v>3199</v>
      </c>
      <c r="G776" s="99">
        <v>3</v>
      </c>
      <c r="H776" s="99">
        <v>3</v>
      </c>
      <c r="I776" s="99">
        <v>5</v>
      </c>
      <c r="J776" s="385">
        <v>50</v>
      </c>
      <c r="K776" s="114">
        <v>16.670000000000002</v>
      </c>
      <c r="L776" s="216" t="s">
        <v>829</v>
      </c>
      <c r="M776" s="216"/>
      <c r="N776" s="216"/>
      <c r="O776" s="216"/>
      <c r="P776" s="216"/>
      <c r="Q776" s="216"/>
      <c r="R776" s="216"/>
      <c r="S776" s="216"/>
      <c r="T776" s="216"/>
      <c r="U776" s="216"/>
      <c r="V776" s="216"/>
      <c r="W776" s="216"/>
      <c r="X776" s="216"/>
    </row>
    <row r="777" spans="1:24" ht="15.75" customHeight="1">
      <c r="A777" s="134" t="s">
        <v>3200</v>
      </c>
      <c r="B777" s="134" t="s">
        <v>3201</v>
      </c>
      <c r="C777" s="99" t="s">
        <v>141</v>
      </c>
      <c r="D777" s="134" t="s">
        <v>3202</v>
      </c>
      <c r="E777" s="382" t="s">
        <v>3068</v>
      </c>
      <c r="F777" s="238" t="s">
        <v>1338</v>
      </c>
      <c r="G777" s="99">
        <v>2</v>
      </c>
      <c r="H777" s="99">
        <v>2</v>
      </c>
      <c r="I777" s="99">
        <v>2</v>
      </c>
      <c r="J777" s="385">
        <v>50</v>
      </c>
      <c r="K777" s="114">
        <v>25</v>
      </c>
      <c r="L777" s="216" t="s">
        <v>829</v>
      </c>
      <c r="M777" s="216"/>
      <c r="N777" s="216"/>
      <c r="O777" s="216"/>
      <c r="P777" s="216"/>
      <c r="Q777" s="216"/>
      <c r="R777" s="216"/>
      <c r="S777" s="216"/>
      <c r="T777" s="216"/>
      <c r="U777" s="216"/>
      <c r="V777" s="216"/>
      <c r="W777" s="216"/>
      <c r="X777" s="216"/>
    </row>
    <row r="778" spans="1:24" ht="15.75" customHeight="1">
      <c r="A778" s="134" t="s">
        <v>3203</v>
      </c>
      <c r="B778" s="134" t="s">
        <v>3204</v>
      </c>
      <c r="C778" s="99" t="s">
        <v>141</v>
      </c>
      <c r="D778" s="134" t="s">
        <v>3205</v>
      </c>
      <c r="E778" s="382" t="s">
        <v>3105</v>
      </c>
      <c r="F778" s="238" t="s">
        <v>1338</v>
      </c>
      <c r="G778" s="99">
        <v>5</v>
      </c>
      <c r="H778" s="99">
        <v>5</v>
      </c>
      <c r="I778" s="99">
        <v>5</v>
      </c>
      <c r="J778" s="385">
        <v>50</v>
      </c>
      <c r="K778" s="114">
        <v>10</v>
      </c>
      <c r="L778" s="216" t="s">
        <v>829</v>
      </c>
      <c r="M778" s="216"/>
      <c r="N778" s="216"/>
      <c r="O778" s="216"/>
      <c r="P778" s="216"/>
      <c r="Q778" s="216"/>
      <c r="R778" s="216"/>
      <c r="S778" s="216"/>
      <c r="T778" s="216"/>
      <c r="U778" s="216"/>
      <c r="V778" s="216"/>
      <c r="W778" s="216"/>
      <c r="X778" s="216"/>
    </row>
    <row r="779" spans="1:24" ht="15.75" customHeight="1">
      <c r="A779" s="134" t="s">
        <v>3206</v>
      </c>
      <c r="B779" s="134" t="s">
        <v>3207</v>
      </c>
      <c r="C779" s="99" t="s">
        <v>141</v>
      </c>
      <c r="D779" s="134" t="s">
        <v>3208</v>
      </c>
      <c r="E779" s="382" t="s">
        <v>2869</v>
      </c>
      <c r="F779" s="238" t="s">
        <v>1338</v>
      </c>
      <c r="G779" s="99">
        <v>2</v>
      </c>
      <c r="H779" s="99">
        <v>2</v>
      </c>
      <c r="I779" s="99">
        <v>2</v>
      </c>
      <c r="J779" s="385">
        <v>50</v>
      </c>
      <c r="K779" s="114">
        <v>25</v>
      </c>
      <c r="L779" s="216" t="s">
        <v>829</v>
      </c>
      <c r="M779" s="216"/>
      <c r="N779" s="216"/>
      <c r="O779" s="216"/>
      <c r="P779" s="216"/>
      <c r="Q779" s="216"/>
      <c r="R779" s="216"/>
      <c r="S779" s="216"/>
      <c r="T779" s="216"/>
      <c r="U779" s="216"/>
      <c r="V779" s="216"/>
      <c r="W779" s="216"/>
      <c r="X779" s="216"/>
    </row>
    <row r="780" spans="1:24" ht="15.75" customHeight="1">
      <c r="A780" s="134" t="s">
        <v>3169</v>
      </c>
      <c r="B780" s="134" t="s">
        <v>3170</v>
      </c>
      <c r="C780" s="99" t="s">
        <v>141</v>
      </c>
      <c r="D780" s="134" t="s">
        <v>3209</v>
      </c>
      <c r="E780" s="382" t="s">
        <v>2995</v>
      </c>
      <c r="F780" s="238" t="s">
        <v>1338</v>
      </c>
      <c r="G780" s="99">
        <v>3</v>
      </c>
      <c r="H780" s="99">
        <v>3</v>
      </c>
      <c r="I780" s="99">
        <v>5</v>
      </c>
      <c r="J780" s="385">
        <v>50</v>
      </c>
      <c r="K780" s="114">
        <v>16.670000000000002</v>
      </c>
      <c r="L780" s="216" t="s">
        <v>829</v>
      </c>
      <c r="M780" s="216"/>
      <c r="N780" s="216"/>
      <c r="O780" s="216"/>
      <c r="P780" s="216"/>
      <c r="Q780" s="216"/>
      <c r="R780" s="216"/>
      <c r="S780" s="216"/>
      <c r="T780" s="216"/>
      <c r="U780" s="216"/>
      <c r="V780" s="216"/>
      <c r="W780" s="216"/>
      <c r="X780" s="216"/>
    </row>
    <row r="781" spans="1:24" ht="15.75" customHeight="1">
      <c r="A781" s="134" t="s">
        <v>833</v>
      </c>
      <c r="B781" s="134" t="s">
        <v>3210</v>
      </c>
      <c r="C781" s="99" t="s">
        <v>141</v>
      </c>
      <c r="D781" s="134" t="s">
        <v>3211</v>
      </c>
      <c r="E781" s="382" t="s">
        <v>2486</v>
      </c>
      <c r="F781" s="238" t="s">
        <v>1338</v>
      </c>
      <c r="G781" s="99">
        <v>5</v>
      </c>
      <c r="H781" s="99">
        <v>5</v>
      </c>
      <c r="I781" s="99">
        <v>5</v>
      </c>
      <c r="J781" s="385">
        <v>50</v>
      </c>
      <c r="K781" s="114">
        <v>10</v>
      </c>
      <c r="L781" s="216" t="s">
        <v>829</v>
      </c>
      <c r="M781" s="216"/>
      <c r="N781" s="216"/>
      <c r="O781" s="216"/>
      <c r="P781" s="216"/>
      <c r="Q781" s="216"/>
      <c r="R781" s="216"/>
      <c r="S781" s="216"/>
      <c r="T781" s="216"/>
      <c r="U781" s="216"/>
      <c r="V781" s="216"/>
      <c r="W781" s="216"/>
      <c r="X781" s="216"/>
    </row>
    <row r="782" spans="1:24" ht="15.75" customHeight="1">
      <c r="A782" s="134" t="s">
        <v>512</v>
      </c>
      <c r="B782" s="134" t="s">
        <v>3212</v>
      </c>
      <c r="C782" s="99" t="s">
        <v>141</v>
      </c>
      <c r="D782" s="134" t="s">
        <v>3211</v>
      </c>
      <c r="E782" s="382" t="s">
        <v>2486</v>
      </c>
      <c r="F782" s="238" t="s">
        <v>1338</v>
      </c>
      <c r="G782" s="99">
        <v>3</v>
      </c>
      <c r="H782" s="99">
        <v>3</v>
      </c>
      <c r="I782" s="99">
        <v>3</v>
      </c>
      <c r="J782" s="385">
        <v>50</v>
      </c>
      <c r="K782" s="114">
        <v>16.670000000000002</v>
      </c>
      <c r="L782" s="216" t="s">
        <v>829</v>
      </c>
      <c r="M782" s="216"/>
      <c r="N782" s="216"/>
      <c r="O782" s="216"/>
      <c r="P782" s="216"/>
      <c r="Q782" s="216"/>
      <c r="R782" s="216"/>
      <c r="S782" s="216"/>
      <c r="T782" s="216"/>
      <c r="U782" s="216"/>
      <c r="V782" s="216"/>
      <c r="W782" s="216"/>
      <c r="X782" s="216"/>
    </row>
    <row r="783" spans="1:24" ht="15.75" customHeight="1">
      <c r="A783" s="134" t="s">
        <v>3144</v>
      </c>
      <c r="B783" s="134" t="s">
        <v>3145</v>
      </c>
      <c r="C783" s="99" t="s">
        <v>141</v>
      </c>
      <c r="D783" s="134" t="s">
        <v>3211</v>
      </c>
      <c r="E783" s="382" t="s">
        <v>2486</v>
      </c>
      <c r="F783" s="238" t="s">
        <v>1338</v>
      </c>
      <c r="G783" s="99">
        <v>3</v>
      </c>
      <c r="H783" s="99">
        <v>3</v>
      </c>
      <c r="I783" s="99">
        <v>3</v>
      </c>
      <c r="J783" s="385">
        <v>50</v>
      </c>
      <c r="K783" s="114">
        <v>16.670000000000002</v>
      </c>
      <c r="L783" s="216" t="s">
        <v>829</v>
      </c>
      <c r="M783" s="216"/>
      <c r="N783" s="216"/>
      <c r="O783" s="216"/>
      <c r="P783" s="216"/>
      <c r="Q783" s="216"/>
      <c r="R783" s="216"/>
      <c r="S783" s="216"/>
      <c r="T783" s="216"/>
      <c r="U783" s="216"/>
      <c r="V783" s="216"/>
      <c r="W783" s="216"/>
      <c r="X783" s="216"/>
    </row>
    <row r="784" spans="1:24" ht="15.75" customHeight="1">
      <c r="A784" s="134" t="s">
        <v>3213</v>
      </c>
      <c r="B784" s="134" t="s">
        <v>3212</v>
      </c>
      <c r="C784" s="99" t="s">
        <v>141</v>
      </c>
      <c r="D784" s="134" t="s">
        <v>3214</v>
      </c>
      <c r="E784" s="382" t="s">
        <v>2488</v>
      </c>
      <c r="F784" s="238" t="s">
        <v>1338</v>
      </c>
      <c r="G784" s="99">
        <v>3</v>
      </c>
      <c r="H784" s="99">
        <v>3</v>
      </c>
      <c r="I784" s="99">
        <v>3</v>
      </c>
      <c r="J784" s="385">
        <v>50</v>
      </c>
      <c r="K784" s="114">
        <v>16.670000000000002</v>
      </c>
      <c r="L784" s="216" t="s">
        <v>829</v>
      </c>
      <c r="M784" s="216"/>
      <c r="N784" s="216"/>
      <c r="O784" s="216"/>
      <c r="P784" s="216"/>
      <c r="Q784" s="216"/>
      <c r="R784" s="216"/>
      <c r="S784" s="216"/>
      <c r="T784" s="216"/>
      <c r="U784" s="216"/>
      <c r="V784" s="216"/>
      <c r="W784" s="216"/>
      <c r="X784" s="216"/>
    </row>
    <row r="785" spans="1:24" ht="15.75" customHeight="1">
      <c r="A785" s="134" t="s">
        <v>3144</v>
      </c>
      <c r="B785" s="134" t="s">
        <v>3145</v>
      </c>
      <c r="C785" s="99" t="s">
        <v>141</v>
      </c>
      <c r="D785" s="134" t="s">
        <v>3215</v>
      </c>
      <c r="E785" s="382" t="s">
        <v>2496</v>
      </c>
      <c r="F785" s="238" t="s">
        <v>1338</v>
      </c>
      <c r="G785" s="99">
        <v>3</v>
      </c>
      <c r="H785" s="99">
        <v>3</v>
      </c>
      <c r="I785" s="99">
        <v>3</v>
      </c>
      <c r="J785" s="385">
        <v>50</v>
      </c>
      <c r="K785" s="114">
        <v>16.670000000000002</v>
      </c>
      <c r="L785" s="216" t="s">
        <v>829</v>
      </c>
      <c r="M785" s="216"/>
      <c r="N785" s="216"/>
      <c r="O785" s="216"/>
      <c r="P785" s="216"/>
      <c r="Q785" s="216"/>
      <c r="R785" s="216"/>
      <c r="S785" s="216"/>
      <c r="T785" s="216"/>
      <c r="U785" s="216"/>
      <c r="V785" s="216"/>
      <c r="W785" s="216"/>
      <c r="X785" s="216"/>
    </row>
    <row r="786" spans="1:24" ht="15.75" customHeight="1">
      <c r="A786" s="134" t="s">
        <v>3216</v>
      </c>
      <c r="B786" s="134" t="s">
        <v>3217</v>
      </c>
      <c r="C786" s="99" t="s">
        <v>141</v>
      </c>
      <c r="D786" s="134" t="s">
        <v>3218</v>
      </c>
      <c r="E786" s="382" t="s">
        <v>2902</v>
      </c>
      <c r="F786" s="238" t="s">
        <v>1338</v>
      </c>
      <c r="G786" s="99">
        <v>2</v>
      </c>
      <c r="H786" s="99">
        <v>2</v>
      </c>
      <c r="I786" s="99">
        <v>2</v>
      </c>
      <c r="J786" s="385">
        <v>50</v>
      </c>
      <c r="K786" s="114">
        <v>25</v>
      </c>
      <c r="L786" s="216" t="s">
        <v>829</v>
      </c>
      <c r="M786" s="216"/>
      <c r="N786" s="216"/>
      <c r="O786" s="216"/>
      <c r="P786" s="216"/>
      <c r="Q786" s="216"/>
      <c r="R786" s="216"/>
      <c r="S786" s="216"/>
      <c r="T786" s="216"/>
      <c r="U786" s="216"/>
      <c r="V786" s="216"/>
      <c r="W786" s="216"/>
      <c r="X786" s="216"/>
    </row>
    <row r="787" spans="1:24" ht="15.75" customHeight="1">
      <c r="A787" s="134" t="s">
        <v>3178</v>
      </c>
      <c r="B787" s="134" t="s">
        <v>3170</v>
      </c>
      <c r="C787" s="99" t="s">
        <v>141</v>
      </c>
      <c r="D787" s="134" t="s">
        <v>3219</v>
      </c>
      <c r="E787" s="382" t="s">
        <v>3220</v>
      </c>
      <c r="F787" s="238" t="s">
        <v>1338</v>
      </c>
      <c r="G787" s="99">
        <v>3</v>
      </c>
      <c r="H787" s="99">
        <v>3</v>
      </c>
      <c r="I787" s="99">
        <v>5</v>
      </c>
      <c r="J787" s="385">
        <v>50</v>
      </c>
      <c r="K787" s="114">
        <v>16.670000000000002</v>
      </c>
      <c r="L787" s="216" t="s">
        <v>829</v>
      </c>
      <c r="M787" s="216"/>
      <c r="N787" s="216"/>
      <c r="O787" s="216"/>
      <c r="P787" s="216"/>
      <c r="Q787" s="216"/>
      <c r="R787" s="216"/>
      <c r="S787" s="216"/>
      <c r="T787" s="216"/>
      <c r="U787" s="216"/>
      <c r="V787" s="216"/>
      <c r="W787" s="216"/>
      <c r="X787" s="216"/>
    </row>
    <row r="788" spans="1:24" ht="15.75" customHeight="1">
      <c r="A788" s="134" t="s">
        <v>3221</v>
      </c>
      <c r="B788" s="134" t="s">
        <v>3222</v>
      </c>
      <c r="C788" s="99" t="s">
        <v>141</v>
      </c>
      <c r="D788" s="134" t="s">
        <v>3223</v>
      </c>
      <c r="E788" s="382" t="s">
        <v>3224</v>
      </c>
      <c r="F788" s="238" t="s">
        <v>1338</v>
      </c>
      <c r="G788" s="99">
        <v>4</v>
      </c>
      <c r="H788" s="99">
        <v>2</v>
      </c>
      <c r="I788" s="99">
        <v>4</v>
      </c>
      <c r="J788" s="385">
        <v>50</v>
      </c>
      <c r="K788" s="114">
        <v>12.5</v>
      </c>
      <c r="L788" s="216" t="s">
        <v>829</v>
      </c>
      <c r="M788" s="216"/>
      <c r="N788" s="216"/>
      <c r="O788" s="216"/>
      <c r="P788" s="216"/>
      <c r="Q788" s="216"/>
      <c r="R788" s="216"/>
      <c r="S788" s="216"/>
      <c r="T788" s="216"/>
      <c r="U788" s="216"/>
      <c r="V788" s="216"/>
      <c r="W788" s="216"/>
      <c r="X788" s="216"/>
    </row>
    <row r="789" spans="1:24" ht="15.75" customHeight="1">
      <c r="A789" s="134" t="s">
        <v>3144</v>
      </c>
      <c r="B789" s="134" t="s">
        <v>3145</v>
      </c>
      <c r="C789" s="99" t="s">
        <v>141</v>
      </c>
      <c r="D789" s="134" t="s">
        <v>3225</v>
      </c>
      <c r="E789" s="382" t="s">
        <v>2494</v>
      </c>
      <c r="F789" s="238" t="s">
        <v>1338</v>
      </c>
      <c r="G789" s="99">
        <v>3</v>
      </c>
      <c r="H789" s="99">
        <v>3</v>
      </c>
      <c r="I789" s="99">
        <v>3</v>
      </c>
      <c r="J789" s="385">
        <v>50</v>
      </c>
      <c r="K789" s="114">
        <v>16.670000000000002</v>
      </c>
      <c r="L789" s="216" t="s">
        <v>829</v>
      </c>
      <c r="M789" s="216"/>
      <c r="N789" s="216"/>
      <c r="O789" s="216"/>
      <c r="P789" s="216"/>
      <c r="Q789" s="216"/>
      <c r="R789" s="216"/>
      <c r="S789" s="216"/>
      <c r="T789" s="216"/>
      <c r="U789" s="216"/>
      <c r="V789" s="216"/>
      <c r="W789" s="216"/>
      <c r="X789" s="216"/>
    </row>
    <row r="790" spans="1:24" ht="15.75" customHeight="1">
      <c r="A790" s="134" t="s">
        <v>3206</v>
      </c>
      <c r="B790" s="134" t="s">
        <v>3217</v>
      </c>
      <c r="C790" s="99" t="s">
        <v>141</v>
      </c>
      <c r="D790" s="134" t="s">
        <v>3226</v>
      </c>
      <c r="E790" s="382" t="s">
        <v>2904</v>
      </c>
      <c r="F790" s="238" t="s">
        <v>1338</v>
      </c>
      <c r="G790" s="99">
        <v>2</v>
      </c>
      <c r="H790" s="99">
        <v>2</v>
      </c>
      <c r="I790" s="99">
        <v>2</v>
      </c>
      <c r="J790" s="385">
        <v>50</v>
      </c>
      <c r="K790" s="114">
        <v>25</v>
      </c>
      <c r="L790" s="216" t="s">
        <v>829</v>
      </c>
      <c r="M790" s="216"/>
      <c r="N790" s="216"/>
      <c r="O790" s="216"/>
      <c r="P790" s="216"/>
      <c r="Q790" s="216"/>
      <c r="R790" s="216"/>
      <c r="S790" s="216"/>
      <c r="T790" s="216"/>
      <c r="U790" s="216"/>
      <c r="V790" s="216"/>
      <c r="W790" s="216"/>
      <c r="X790" s="216"/>
    </row>
    <row r="791" spans="1:24" ht="15.75" customHeight="1">
      <c r="A791" s="134" t="s">
        <v>3173</v>
      </c>
      <c r="B791" s="134" t="s">
        <v>3175</v>
      </c>
      <c r="C791" s="99" t="s">
        <v>141</v>
      </c>
      <c r="D791" s="134" t="s">
        <v>3227</v>
      </c>
      <c r="E791" s="382" t="s">
        <v>3038</v>
      </c>
      <c r="F791" s="238" t="s">
        <v>1338</v>
      </c>
      <c r="G791" s="99">
        <v>2</v>
      </c>
      <c r="H791" s="99">
        <v>2</v>
      </c>
      <c r="I791" s="99">
        <v>5</v>
      </c>
      <c r="J791" s="385">
        <v>50</v>
      </c>
      <c r="K791" s="114">
        <v>25</v>
      </c>
      <c r="L791" s="216" t="s">
        <v>829</v>
      </c>
      <c r="M791" s="216"/>
      <c r="N791" s="216"/>
      <c r="O791" s="216"/>
      <c r="P791" s="216"/>
      <c r="Q791" s="216"/>
      <c r="R791" s="216"/>
      <c r="S791" s="216"/>
      <c r="T791" s="216"/>
      <c r="U791" s="216"/>
      <c r="V791" s="216"/>
      <c r="W791" s="216"/>
      <c r="X791" s="216"/>
    </row>
    <row r="792" spans="1:24" ht="15.75" customHeight="1">
      <c r="A792" s="134" t="s">
        <v>3173</v>
      </c>
      <c r="B792" s="134" t="s">
        <v>3175</v>
      </c>
      <c r="C792" s="99" t="s">
        <v>141</v>
      </c>
      <c r="D792" s="134" t="s">
        <v>3228</v>
      </c>
      <c r="E792" s="382" t="s">
        <v>3034</v>
      </c>
      <c r="F792" s="238" t="s">
        <v>1338</v>
      </c>
      <c r="G792" s="99">
        <v>2</v>
      </c>
      <c r="H792" s="99">
        <v>2</v>
      </c>
      <c r="I792" s="99">
        <v>5</v>
      </c>
      <c r="J792" s="385">
        <v>50</v>
      </c>
      <c r="K792" s="114">
        <v>25</v>
      </c>
      <c r="L792" s="216" t="s">
        <v>829</v>
      </c>
      <c r="M792" s="216"/>
      <c r="N792" s="216"/>
      <c r="O792" s="216"/>
      <c r="P792" s="216"/>
      <c r="Q792" s="216"/>
      <c r="R792" s="216"/>
      <c r="S792" s="216"/>
      <c r="T792" s="216"/>
      <c r="U792" s="216"/>
      <c r="V792" s="216"/>
      <c r="W792" s="216"/>
      <c r="X792" s="216"/>
    </row>
    <row r="793" spans="1:24" ht="15.75" customHeight="1">
      <c r="A793" s="134" t="s">
        <v>3156</v>
      </c>
      <c r="B793" s="134" t="s">
        <v>3229</v>
      </c>
      <c r="C793" s="99" t="s">
        <v>141</v>
      </c>
      <c r="D793" s="134" t="s">
        <v>3230</v>
      </c>
      <c r="E793" s="382" t="s">
        <v>3231</v>
      </c>
      <c r="F793" s="238" t="s">
        <v>1338</v>
      </c>
      <c r="G793" s="99">
        <v>3</v>
      </c>
      <c r="H793" s="99">
        <v>3</v>
      </c>
      <c r="I793" s="99">
        <v>5</v>
      </c>
      <c r="J793" s="385">
        <v>50</v>
      </c>
      <c r="K793" s="114">
        <v>16.670000000000002</v>
      </c>
      <c r="L793" s="216" t="s">
        <v>829</v>
      </c>
      <c r="M793" s="216"/>
      <c r="N793" s="216"/>
      <c r="O793" s="216"/>
      <c r="P793" s="216"/>
      <c r="Q793" s="216"/>
      <c r="R793" s="216"/>
      <c r="S793" s="216"/>
      <c r="T793" s="216"/>
      <c r="U793" s="216"/>
      <c r="V793" s="216"/>
      <c r="W793" s="216"/>
      <c r="X793" s="216"/>
    </row>
    <row r="794" spans="1:24" ht="15.75" customHeight="1">
      <c r="A794" s="134" t="s">
        <v>3232</v>
      </c>
      <c r="B794" s="134" t="s">
        <v>3233</v>
      </c>
      <c r="C794" s="99" t="s">
        <v>141</v>
      </c>
      <c r="D794" s="134" t="s">
        <v>3234</v>
      </c>
      <c r="E794" s="382" t="s">
        <v>3235</v>
      </c>
      <c r="F794" s="238" t="s">
        <v>230</v>
      </c>
      <c r="G794" s="99">
        <v>5</v>
      </c>
      <c r="H794" s="99">
        <v>5</v>
      </c>
      <c r="I794" s="99">
        <v>5</v>
      </c>
      <c r="J794" s="385">
        <v>50</v>
      </c>
      <c r="K794" s="114">
        <v>10</v>
      </c>
      <c r="L794" s="216" t="s">
        <v>829</v>
      </c>
      <c r="M794" s="216"/>
      <c r="N794" s="216"/>
      <c r="O794" s="216"/>
      <c r="P794" s="216"/>
      <c r="Q794" s="216"/>
      <c r="R794" s="216"/>
      <c r="S794" s="216"/>
      <c r="T794" s="216"/>
      <c r="U794" s="216"/>
      <c r="V794" s="216"/>
      <c r="W794" s="216"/>
      <c r="X794" s="216"/>
    </row>
    <row r="795" spans="1:24" ht="15.75" customHeight="1">
      <c r="A795" s="134" t="s">
        <v>3160</v>
      </c>
      <c r="B795" s="134" t="s">
        <v>3161</v>
      </c>
      <c r="C795" s="99" t="s">
        <v>141</v>
      </c>
      <c r="D795" s="134" t="s">
        <v>3236</v>
      </c>
      <c r="E795" s="382" t="s">
        <v>3237</v>
      </c>
      <c r="F795" s="238" t="s">
        <v>3238</v>
      </c>
      <c r="G795" s="99">
        <v>4</v>
      </c>
      <c r="H795" s="99">
        <v>4</v>
      </c>
      <c r="I795" s="99">
        <v>6</v>
      </c>
      <c r="J795" s="385">
        <v>50</v>
      </c>
      <c r="K795" s="114">
        <v>12.5</v>
      </c>
      <c r="L795" s="216" t="s">
        <v>829</v>
      </c>
      <c r="M795" s="216"/>
      <c r="N795" s="216"/>
      <c r="O795" s="216"/>
      <c r="P795" s="216"/>
      <c r="Q795" s="216"/>
      <c r="R795" s="216"/>
      <c r="S795" s="216"/>
      <c r="T795" s="216"/>
      <c r="U795" s="216"/>
      <c r="V795" s="216"/>
      <c r="W795" s="216"/>
      <c r="X795" s="216"/>
    </row>
    <row r="796" spans="1:24" ht="15.75" customHeight="1">
      <c r="A796" s="134" t="s">
        <v>3173</v>
      </c>
      <c r="B796" s="134" t="s">
        <v>3174</v>
      </c>
      <c r="C796" s="99" t="s">
        <v>141</v>
      </c>
      <c r="D796" s="134" t="s">
        <v>3239</v>
      </c>
      <c r="E796" s="382" t="s">
        <v>3040</v>
      </c>
      <c r="F796" s="238" t="s">
        <v>230</v>
      </c>
      <c r="G796" s="99">
        <v>2</v>
      </c>
      <c r="H796" s="99">
        <v>2</v>
      </c>
      <c r="I796" s="99">
        <v>5</v>
      </c>
      <c r="J796" s="385">
        <v>50</v>
      </c>
      <c r="K796" s="114">
        <v>25</v>
      </c>
      <c r="L796" s="216" t="s">
        <v>829</v>
      </c>
      <c r="M796" s="216"/>
      <c r="N796" s="216"/>
      <c r="O796" s="216"/>
      <c r="P796" s="216"/>
      <c r="Q796" s="216"/>
      <c r="R796" s="216"/>
      <c r="S796" s="216"/>
      <c r="T796" s="216"/>
      <c r="U796" s="216"/>
      <c r="V796" s="216"/>
      <c r="W796" s="216"/>
      <c r="X796" s="216"/>
    </row>
    <row r="797" spans="1:24" ht="15.75" customHeight="1">
      <c r="A797" s="134" t="s">
        <v>3169</v>
      </c>
      <c r="B797" s="91" t="s">
        <v>3170</v>
      </c>
      <c r="C797" s="133" t="s">
        <v>141</v>
      </c>
      <c r="D797" s="134" t="s">
        <v>3240</v>
      </c>
      <c r="E797" s="382" t="s">
        <v>2990</v>
      </c>
      <c r="F797" s="238" t="s">
        <v>230</v>
      </c>
      <c r="G797" s="99">
        <v>3</v>
      </c>
      <c r="H797" s="99">
        <v>3</v>
      </c>
      <c r="I797" s="99">
        <v>5</v>
      </c>
      <c r="J797" s="385">
        <v>50</v>
      </c>
      <c r="K797" s="114">
        <v>16.670000000000002</v>
      </c>
      <c r="L797" s="216" t="s">
        <v>829</v>
      </c>
      <c r="M797" s="216"/>
      <c r="N797" s="216"/>
      <c r="O797" s="216"/>
      <c r="P797" s="216"/>
      <c r="Q797" s="216"/>
      <c r="R797" s="216"/>
      <c r="S797" s="216"/>
      <c r="T797" s="216"/>
      <c r="U797" s="216"/>
      <c r="V797" s="216"/>
      <c r="W797" s="216"/>
      <c r="X797" s="216"/>
    </row>
    <row r="798" spans="1:24" ht="15.75" customHeight="1">
      <c r="A798" s="134" t="s">
        <v>841</v>
      </c>
      <c r="B798" s="91" t="s">
        <v>3153</v>
      </c>
      <c r="C798" s="133" t="s">
        <v>141</v>
      </c>
      <c r="D798" s="134" t="s">
        <v>3241</v>
      </c>
      <c r="E798" s="382" t="s">
        <v>3242</v>
      </c>
      <c r="F798" s="238" t="s">
        <v>3238</v>
      </c>
      <c r="G798" s="99">
        <v>6</v>
      </c>
      <c r="H798" s="99">
        <v>6</v>
      </c>
      <c r="I798" s="99">
        <v>6</v>
      </c>
      <c r="J798" s="385">
        <v>50</v>
      </c>
      <c r="K798" s="114">
        <v>8.33</v>
      </c>
      <c r="L798" s="216" t="s">
        <v>829</v>
      </c>
      <c r="M798" s="216"/>
      <c r="N798" s="216"/>
      <c r="O798" s="216"/>
      <c r="P798" s="216"/>
      <c r="Q798" s="216"/>
      <c r="R798" s="216"/>
      <c r="S798" s="216"/>
      <c r="T798" s="216"/>
      <c r="U798" s="216"/>
      <c r="V798" s="216"/>
      <c r="W798" s="216"/>
      <c r="X798" s="216"/>
    </row>
    <row r="799" spans="1:24" ht="15.75" customHeight="1">
      <c r="A799" s="134" t="s">
        <v>512</v>
      </c>
      <c r="B799" s="134" t="s">
        <v>3212</v>
      </c>
      <c r="C799" s="99" t="s">
        <v>141</v>
      </c>
      <c r="D799" s="134" t="s">
        <v>3243</v>
      </c>
      <c r="E799" s="382" t="s">
        <v>2490</v>
      </c>
      <c r="F799" s="238" t="s">
        <v>230</v>
      </c>
      <c r="G799" s="99">
        <v>3</v>
      </c>
      <c r="H799" s="99">
        <v>3</v>
      </c>
      <c r="I799" s="99">
        <v>3</v>
      </c>
      <c r="J799" s="385">
        <v>50</v>
      </c>
      <c r="K799" s="114">
        <v>16.670000000000002</v>
      </c>
      <c r="L799" s="216" t="s">
        <v>829</v>
      </c>
      <c r="M799" s="216"/>
      <c r="N799" s="216"/>
      <c r="O799" s="216"/>
      <c r="P799" s="216"/>
      <c r="Q799" s="216"/>
      <c r="R799" s="216"/>
      <c r="S799" s="216"/>
      <c r="T799" s="216"/>
      <c r="U799" s="216"/>
      <c r="V799" s="216"/>
      <c r="W799" s="216"/>
      <c r="X799" s="216"/>
    </row>
    <row r="800" spans="1:24" ht="15.75" customHeight="1">
      <c r="A800" s="134" t="s">
        <v>3156</v>
      </c>
      <c r="B800" s="91" t="s">
        <v>3157</v>
      </c>
      <c r="C800" s="99" t="s">
        <v>141</v>
      </c>
      <c r="D800" s="134" t="s">
        <v>3244</v>
      </c>
      <c r="E800" s="382" t="s">
        <v>3091</v>
      </c>
      <c r="F800" s="238" t="s">
        <v>1338</v>
      </c>
      <c r="G800" s="99">
        <v>3</v>
      </c>
      <c r="H800" s="99">
        <v>3</v>
      </c>
      <c r="I800" s="99">
        <v>5</v>
      </c>
      <c r="J800" s="385">
        <v>50</v>
      </c>
      <c r="K800" s="114">
        <v>16.670000000000002</v>
      </c>
      <c r="L800" s="216" t="s">
        <v>829</v>
      </c>
      <c r="M800" s="216"/>
      <c r="N800" s="216"/>
      <c r="O800" s="216"/>
      <c r="P800" s="216"/>
      <c r="Q800" s="216"/>
      <c r="R800" s="216"/>
      <c r="S800" s="216"/>
      <c r="T800" s="216"/>
      <c r="U800" s="216"/>
      <c r="V800" s="216"/>
      <c r="W800" s="216"/>
      <c r="X800" s="216"/>
    </row>
    <row r="801" spans="1:24" ht="15.75" customHeight="1">
      <c r="A801" s="134" t="s">
        <v>3173</v>
      </c>
      <c r="B801" s="91" t="s">
        <v>3174</v>
      </c>
      <c r="C801" s="133" t="s">
        <v>141</v>
      </c>
      <c r="D801" s="134" t="s">
        <v>3245</v>
      </c>
      <c r="E801" s="382" t="s">
        <v>3036</v>
      </c>
      <c r="F801" s="238" t="s">
        <v>1338</v>
      </c>
      <c r="G801" s="99">
        <v>2</v>
      </c>
      <c r="H801" s="99">
        <v>2</v>
      </c>
      <c r="I801" s="99">
        <v>5</v>
      </c>
      <c r="J801" s="385">
        <v>50</v>
      </c>
      <c r="K801" s="114">
        <v>16.670000000000002</v>
      </c>
      <c r="L801" s="216" t="s">
        <v>829</v>
      </c>
      <c r="M801" s="216"/>
      <c r="N801" s="216"/>
      <c r="O801" s="216"/>
      <c r="P801" s="216"/>
      <c r="Q801" s="216"/>
      <c r="R801" s="216"/>
      <c r="S801" s="216"/>
      <c r="T801" s="216"/>
      <c r="U801" s="216"/>
      <c r="V801" s="216"/>
      <c r="W801" s="216"/>
      <c r="X801" s="216"/>
    </row>
    <row r="802" spans="1:24" ht="15.75" customHeight="1">
      <c r="A802" s="134" t="s">
        <v>1274</v>
      </c>
      <c r="B802" s="134" t="s">
        <v>3246</v>
      </c>
      <c r="C802" s="99" t="s">
        <v>141</v>
      </c>
      <c r="D802" s="134" t="s">
        <v>3247</v>
      </c>
      <c r="E802" s="382" t="s">
        <v>3248</v>
      </c>
      <c r="F802" s="238" t="s">
        <v>230</v>
      </c>
      <c r="G802" s="99">
        <v>1</v>
      </c>
      <c r="H802" s="99">
        <v>1</v>
      </c>
      <c r="I802" s="99">
        <v>1</v>
      </c>
      <c r="J802" s="385">
        <v>50</v>
      </c>
      <c r="K802" s="114">
        <v>50</v>
      </c>
      <c r="L802" s="216" t="s">
        <v>829</v>
      </c>
      <c r="M802" s="216"/>
      <c r="N802" s="216"/>
      <c r="O802" s="216"/>
      <c r="P802" s="216"/>
      <c r="Q802" s="216"/>
      <c r="R802" s="216"/>
      <c r="S802" s="216"/>
      <c r="T802" s="216"/>
      <c r="U802" s="216"/>
      <c r="V802" s="216"/>
      <c r="W802" s="216"/>
      <c r="X802" s="216"/>
    </row>
    <row r="803" spans="1:24" ht="15.75" customHeight="1">
      <c r="A803" s="134" t="s">
        <v>2958</v>
      </c>
      <c r="B803" s="133" t="s">
        <v>2959</v>
      </c>
      <c r="C803" s="99" t="s">
        <v>141</v>
      </c>
      <c r="D803" s="133" t="s">
        <v>2960</v>
      </c>
      <c r="E803" s="240" t="s">
        <v>2961</v>
      </c>
      <c r="F803" s="99" t="s">
        <v>2133</v>
      </c>
      <c r="G803" s="99">
        <v>3</v>
      </c>
      <c r="H803" s="500">
        <v>3</v>
      </c>
      <c r="I803" s="521">
        <v>3</v>
      </c>
      <c r="J803" s="521">
        <v>50</v>
      </c>
      <c r="K803" s="522">
        <v>16.670000000000002</v>
      </c>
      <c r="L803" s="216" t="s">
        <v>3249</v>
      </c>
      <c r="M803" s="216"/>
      <c r="N803" s="216"/>
      <c r="O803" s="216"/>
      <c r="P803" s="216"/>
      <c r="Q803" s="216"/>
      <c r="R803" s="216"/>
      <c r="S803" s="216"/>
      <c r="T803" s="216"/>
      <c r="U803" s="216"/>
      <c r="V803" s="216"/>
      <c r="W803" s="216"/>
      <c r="X803" s="216"/>
    </row>
    <row r="804" spans="1:24" ht="15.75" customHeight="1">
      <c r="A804" s="134" t="s">
        <v>2958</v>
      </c>
      <c r="B804" s="133" t="s">
        <v>2959</v>
      </c>
      <c r="C804" s="99" t="s">
        <v>141</v>
      </c>
      <c r="D804" s="133" t="s">
        <v>2963</v>
      </c>
      <c r="E804" s="240" t="s">
        <v>2964</v>
      </c>
      <c r="F804" s="99" t="s">
        <v>2133</v>
      </c>
      <c r="G804" s="99">
        <v>3</v>
      </c>
      <c r="H804" s="500">
        <v>3</v>
      </c>
      <c r="I804" s="521">
        <v>3</v>
      </c>
      <c r="J804" s="521">
        <v>50</v>
      </c>
      <c r="K804" s="522">
        <v>16.670000000000002</v>
      </c>
      <c r="L804" s="216" t="s">
        <v>3249</v>
      </c>
      <c r="M804" s="216"/>
      <c r="N804" s="216"/>
      <c r="O804" s="216"/>
      <c r="P804" s="216"/>
      <c r="Q804" s="216"/>
      <c r="R804" s="216"/>
      <c r="S804" s="216"/>
      <c r="T804" s="216"/>
      <c r="U804" s="216"/>
      <c r="V804" s="216"/>
      <c r="W804" s="216"/>
      <c r="X804" s="216"/>
    </row>
    <row r="805" spans="1:24" ht="15.75" customHeight="1">
      <c r="A805" s="134" t="s">
        <v>2958</v>
      </c>
      <c r="B805" s="133" t="s">
        <v>2959</v>
      </c>
      <c r="C805" s="99" t="s">
        <v>141</v>
      </c>
      <c r="D805" s="133" t="s">
        <v>2965</v>
      </c>
      <c r="E805" s="240" t="s">
        <v>2966</v>
      </c>
      <c r="F805" s="99" t="s">
        <v>2133</v>
      </c>
      <c r="G805" s="99">
        <v>3</v>
      </c>
      <c r="H805" s="500">
        <v>3</v>
      </c>
      <c r="I805" s="521">
        <v>3</v>
      </c>
      <c r="J805" s="521">
        <v>50</v>
      </c>
      <c r="K805" s="522">
        <v>16.670000000000002</v>
      </c>
      <c r="L805" s="216" t="s">
        <v>3249</v>
      </c>
      <c r="M805" s="216"/>
      <c r="N805" s="216"/>
      <c r="O805" s="216"/>
      <c r="P805" s="216"/>
      <c r="Q805" s="216"/>
      <c r="R805" s="216"/>
      <c r="S805" s="216"/>
      <c r="T805" s="216"/>
      <c r="U805" s="216"/>
      <c r="V805" s="216"/>
      <c r="W805" s="216"/>
      <c r="X805" s="216"/>
    </row>
    <row r="806" spans="1:24" ht="15.75" customHeight="1">
      <c r="A806" s="134" t="s">
        <v>2958</v>
      </c>
      <c r="B806" s="133" t="s">
        <v>2959</v>
      </c>
      <c r="C806" s="99" t="s">
        <v>141</v>
      </c>
      <c r="D806" s="133" t="s">
        <v>2967</v>
      </c>
      <c r="E806" s="240" t="s">
        <v>2968</v>
      </c>
      <c r="F806" s="99" t="s">
        <v>2133</v>
      </c>
      <c r="G806" s="99">
        <v>3</v>
      </c>
      <c r="H806" s="500">
        <v>3</v>
      </c>
      <c r="I806" s="521">
        <v>3</v>
      </c>
      <c r="J806" s="521">
        <v>50</v>
      </c>
      <c r="K806" s="522">
        <v>16.670000000000002</v>
      </c>
      <c r="L806" s="216" t="s">
        <v>3249</v>
      </c>
      <c r="M806" s="216"/>
      <c r="N806" s="216"/>
      <c r="O806" s="216"/>
      <c r="P806" s="216"/>
      <c r="Q806" s="216"/>
      <c r="R806" s="216"/>
      <c r="S806" s="216"/>
      <c r="T806" s="216"/>
      <c r="U806" s="216"/>
      <c r="V806" s="216"/>
      <c r="W806" s="216"/>
      <c r="X806" s="216"/>
    </row>
    <row r="807" spans="1:24" ht="15.75" customHeight="1">
      <c r="A807" s="134" t="s">
        <v>2958</v>
      </c>
      <c r="B807" s="134" t="s">
        <v>2959</v>
      </c>
      <c r="C807" s="99" t="s">
        <v>141</v>
      </c>
      <c r="D807" s="134" t="s">
        <v>2969</v>
      </c>
      <c r="E807" s="382" t="s">
        <v>2970</v>
      </c>
      <c r="F807" s="238" t="s">
        <v>2133</v>
      </c>
      <c r="G807" s="99">
        <v>3</v>
      </c>
      <c r="H807" s="99">
        <v>3</v>
      </c>
      <c r="I807" s="99">
        <v>3</v>
      </c>
      <c r="J807" s="385">
        <v>50</v>
      </c>
      <c r="K807" s="522">
        <v>16.670000000000002</v>
      </c>
      <c r="L807" s="216" t="s">
        <v>3249</v>
      </c>
      <c r="M807" s="216"/>
      <c r="N807" s="216"/>
      <c r="O807" s="216"/>
      <c r="P807" s="216"/>
      <c r="Q807" s="216"/>
      <c r="R807" s="216"/>
      <c r="S807" s="216"/>
      <c r="T807" s="216"/>
      <c r="U807" s="216"/>
      <c r="V807" s="216"/>
      <c r="W807" s="216"/>
      <c r="X807" s="216"/>
    </row>
    <row r="808" spans="1:24" ht="15.75" customHeight="1">
      <c r="A808" s="134" t="s">
        <v>2958</v>
      </c>
      <c r="B808" s="133" t="s">
        <v>2959</v>
      </c>
      <c r="C808" s="99" t="s">
        <v>141</v>
      </c>
      <c r="D808" s="133" t="s">
        <v>2971</v>
      </c>
      <c r="E808" s="130" t="s">
        <v>2972</v>
      </c>
      <c r="F808" s="99" t="s">
        <v>2133</v>
      </c>
      <c r="G808" s="99">
        <v>3</v>
      </c>
      <c r="H808" s="500">
        <v>3</v>
      </c>
      <c r="I808" s="521">
        <v>3</v>
      </c>
      <c r="J808" s="521">
        <v>50</v>
      </c>
      <c r="K808" s="522">
        <v>16.670000000000002</v>
      </c>
      <c r="L808" s="216" t="s">
        <v>3249</v>
      </c>
      <c r="M808" s="216"/>
      <c r="N808" s="216"/>
      <c r="O808" s="216"/>
      <c r="P808" s="216"/>
      <c r="Q808" s="216"/>
      <c r="R808" s="216"/>
      <c r="S808" s="216"/>
      <c r="T808" s="216"/>
      <c r="U808" s="216"/>
      <c r="V808" s="216"/>
      <c r="W808" s="216"/>
      <c r="X808" s="216"/>
    </row>
    <row r="809" spans="1:24" ht="15.75" customHeight="1">
      <c r="A809" s="134" t="s">
        <v>2973</v>
      </c>
      <c r="B809" s="134" t="s">
        <v>2974</v>
      </c>
      <c r="C809" s="99" t="s">
        <v>141</v>
      </c>
      <c r="D809" s="134" t="s">
        <v>2975</v>
      </c>
      <c r="E809" s="99" t="s">
        <v>2976</v>
      </c>
      <c r="F809" s="238" t="s">
        <v>2133</v>
      </c>
      <c r="G809" s="99">
        <v>4</v>
      </c>
      <c r="H809" s="99">
        <v>4</v>
      </c>
      <c r="I809" s="99">
        <v>4</v>
      </c>
      <c r="J809" s="385">
        <v>50</v>
      </c>
      <c r="K809" s="114">
        <v>12.5</v>
      </c>
      <c r="L809" s="216" t="s">
        <v>3249</v>
      </c>
      <c r="M809" s="216"/>
      <c r="N809" s="216"/>
      <c r="O809" s="216"/>
      <c r="P809" s="216"/>
      <c r="Q809" s="216"/>
      <c r="R809" s="216"/>
      <c r="S809" s="216"/>
      <c r="T809" s="216"/>
      <c r="U809" s="216"/>
      <c r="V809" s="216"/>
      <c r="W809" s="216"/>
      <c r="X809" s="216"/>
    </row>
    <row r="810" spans="1:24" ht="15.75" customHeight="1">
      <c r="A810" s="134" t="s">
        <v>2977</v>
      </c>
      <c r="B810" s="133" t="s">
        <v>2978</v>
      </c>
      <c r="C810" s="99" t="s">
        <v>141</v>
      </c>
      <c r="D810" s="133" t="s">
        <v>2979</v>
      </c>
      <c r="E810" s="133" t="s">
        <v>2980</v>
      </c>
      <c r="F810" s="99" t="s">
        <v>230</v>
      </c>
      <c r="G810" s="99">
        <v>4</v>
      </c>
      <c r="H810" s="500">
        <v>4</v>
      </c>
      <c r="I810" s="521">
        <v>4</v>
      </c>
      <c r="J810" s="521">
        <v>50</v>
      </c>
      <c r="K810" s="522">
        <v>12.5</v>
      </c>
      <c r="L810" s="216" t="s">
        <v>3249</v>
      </c>
      <c r="M810" s="216"/>
      <c r="N810" s="216"/>
      <c r="O810" s="216"/>
      <c r="P810" s="216"/>
      <c r="Q810" s="216"/>
      <c r="R810" s="216"/>
      <c r="S810" s="216"/>
      <c r="T810" s="216"/>
      <c r="U810" s="216"/>
      <c r="V810" s="216"/>
      <c r="W810" s="216"/>
      <c r="X810" s="216"/>
    </row>
    <row r="811" spans="1:24" ht="15.75" customHeight="1">
      <c r="A811" s="134" t="s">
        <v>2981</v>
      </c>
      <c r="B811" s="134" t="s">
        <v>2978</v>
      </c>
      <c r="C811" s="99" t="s">
        <v>141</v>
      </c>
      <c r="D811" s="134" t="s">
        <v>2982</v>
      </c>
      <c r="E811" s="99" t="s">
        <v>2983</v>
      </c>
      <c r="F811" s="238" t="s">
        <v>230</v>
      </c>
      <c r="G811" s="99">
        <v>4</v>
      </c>
      <c r="H811" s="99">
        <v>4</v>
      </c>
      <c r="I811" s="99">
        <v>4</v>
      </c>
      <c r="J811" s="385">
        <v>50</v>
      </c>
      <c r="K811" s="114">
        <v>12.5</v>
      </c>
      <c r="L811" s="216" t="s">
        <v>3249</v>
      </c>
      <c r="M811" s="216"/>
      <c r="N811" s="216"/>
      <c r="O811" s="216"/>
      <c r="P811" s="216"/>
      <c r="Q811" s="216"/>
      <c r="R811" s="216"/>
      <c r="S811" s="216"/>
      <c r="T811" s="216"/>
      <c r="U811" s="216"/>
      <c r="V811" s="216"/>
      <c r="W811" s="216"/>
      <c r="X811" s="216"/>
    </row>
    <row r="812" spans="1:24" ht="15.75" customHeight="1">
      <c r="A812" s="134" t="s">
        <v>2958</v>
      </c>
      <c r="B812" s="133" t="s">
        <v>2984</v>
      </c>
      <c r="C812" s="99" t="s">
        <v>141</v>
      </c>
      <c r="D812" s="133" t="s">
        <v>2985</v>
      </c>
      <c r="E812" s="130" t="s">
        <v>2986</v>
      </c>
      <c r="F812" s="99" t="s">
        <v>2133</v>
      </c>
      <c r="G812" s="99">
        <v>3</v>
      </c>
      <c r="H812" s="500">
        <v>3</v>
      </c>
      <c r="I812" s="521">
        <v>3</v>
      </c>
      <c r="J812" s="521">
        <v>50</v>
      </c>
      <c r="K812" s="522">
        <v>16.670000000000002</v>
      </c>
      <c r="L812" s="216" t="s">
        <v>3249</v>
      </c>
      <c r="M812" s="216"/>
      <c r="N812" s="216"/>
      <c r="O812" s="216"/>
      <c r="P812" s="216"/>
      <c r="Q812" s="216"/>
      <c r="R812" s="216"/>
      <c r="S812" s="216"/>
      <c r="T812" s="216"/>
      <c r="U812" s="216"/>
      <c r="V812" s="216"/>
      <c r="W812" s="216"/>
      <c r="X812" s="216"/>
    </row>
    <row r="813" spans="1:24" ht="15.75" customHeight="1">
      <c r="A813" s="438" t="s">
        <v>3250</v>
      </c>
      <c r="B813" s="228" t="s">
        <v>3251</v>
      </c>
      <c r="C813" s="138" t="s">
        <v>141</v>
      </c>
      <c r="D813" s="133" t="s">
        <v>3252</v>
      </c>
      <c r="E813" s="130" t="s">
        <v>3017</v>
      </c>
      <c r="F813" s="238" t="s">
        <v>230</v>
      </c>
      <c r="G813" s="99">
        <v>3</v>
      </c>
      <c r="H813" s="99">
        <v>3</v>
      </c>
      <c r="I813" s="99">
        <v>3</v>
      </c>
      <c r="J813" s="385">
        <v>50</v>
      </c>
      <c r="K813" s="522">
        <v>16.670000000000002</v>
      </c>
      <c r="L813" s="216" t="s">
        <v>3249</v>
      </c>
      <c r="M813" s="216"/>
      <c r="N813" s="216"/>
      <c r="O813" s="216"/>
      <c r="P813" s="216"/>
      <c r="Q813" s="216"/>
      <c r="R813" s="216"/>
      <c r="S813" s="216"/>
      <c r="T813" s="216"/>
      <c r="U813" s="216"/>
      <c r="V813" s="216"/>
      <c r="W813" s="216"/>
      <c r="X813" s="216"/>
    </row>
    <row r="814" spans="1:24" ht="15.75" customHeight="1">
      <c r="A814" s="134" t="s">
        <v>3003</v>
      </c>
      <c r="B814" s="91" t="s">
        <v>3008</v>
      </c>
      <c r="C814" s="92" t="s">
        <v>3011</v>
      </c>
      <c r="D814" s="134" t="s">
        <v>3012</v>
      </c>
      <c r="E814" s="99" t="s">
        <v>3013</v>
      </c>
      <c r="F814" s="238" t="s">
        <v>635</v>
      </c>
      <c r="G814" s="99">
        <v>4</v>
      </c>
      <c r="H814" s="99">
        <v>3</v>
      </c>
      <c r="I814" s="99">
        <v>4</v>
      </c>
      <c r="J814" s="385">
        <v>50</v>
      </c>
      <c r="K814" s="522">
        <v>16.670000000000002</v>
      </c>
      <c r="L814" s="216" t="s">
        <v>3249</v>
      </c>
      <c r="M814" s="216"/>
      <c r="N814" s="216"/>
      <c r="O814" s="216"/>
      <c r="P814" s="216"/>
      <c r="Q814" s="216"/>
      <c r="R814" s="216"/>
      <c r="S814" s="216"/>
      <c r="T814" s="216"/>
      <c r="U814" s="216"/>
      <c r="V814" s="216"/>
      <c r="W814" s="216"/>
      <c r="X814" s="216"/>
    </row>
    <row r="815" spans="1:24" ht="15.75" customHeight="1">
      <c r="A815" s="134" t="s">
        <v>3003</v>
      </c>
      <c r="B815" s="256" t="s">
        <v>3008</v>
      </c>
      <c r="C815" s="92" t="s">
        <v>141</v>
      </c>
      <c r="D815" s="134" t="s">
        <v>3009</v>
      </c>
      <c r="E815" s="99" t="s">
        <v>3010</v>
      </c>
      <c r="F815" s="238" t="s">
        <v>635</v>
      </c>
      <c r="G815" s="94">
        <v>4</v>
      </c>
      <c r="H815" s="94">
        <v>3</v>
      </c>
      <c r="I815" s="94">
        <v>4</v>
      </c>
      <c r="J815" s="385">
        <v>50</v>
      </c>
      <c r="K815" s="522">
        <v>16.670000000000002</v>
      </c>
      <c r="L815" s="216" t="s">
        <v>3249</v>
      </c>
      <c r="M815" s="216"/>
      <c r="N815" s="216"/>
      <c r="O815" s="216"/>
      <c r="P815" s="216"/>
      <c r="Q815" s="216"/>
      <c r="R815" s="216"/>
      <c r="S815" s="216"/>
      <c r="T815" s="216"/>
      <c r="U815" s="216"/>
      <c r="V815" s="216"/>
      <c r="W815" s="216"/>
      <c r="X815" s="216"/>
    </row>
    <row r="816" spans="1:24" ht="15.75" customHeight="1">
      <c r="A816" s="134" t="s">
        <v>3003</v>
      </c>
      <c r="B816" s="91" t="s">
        <v>3004</v>
      </c>
      <c r="C816" s="133" t="s">
        <v>141</v>
      </c>
      <c r="D816" s="134" t="s">
        <v>3005</v>
      </c>
      <c r="E816" s="134" t="s">
        <v>3006</v>
      </c>
      <c r="F816" s="134" t="s">
        <v>635</v>
      </c>
      <c r="G816" s="379">
        <v>4</v>
      </c>
      <c r="H816" s="379">
        <v>3</v>
      </c>
      <c r="I816" s="379">
        <v>4</v>
      </c>
      <c r="J816" s="272">
        <v>50</v>
      </c>
      <c r="K816" s="522">
        <v>16.670000000000002</v>
      </c>
      <c r="L816" s="216" t="s">
        <v>3249</v>
      </c>
      <c r="M816" s="216"/>
      <c r="N816" s="216"/>
      <c r="O816" s="216"/>
      <c r="P816" s="216"/>
      <c r="Q816" s="216"/>
      <c r="R816" s="216"/>
      <c r="S816" s="216"/>
      <c r="T816" s="216"/>
      <c r="U816" s="216"/>
      <c r="V816" s="216"/>
      <c r="W816" s="216"/>
      <c r="X816" s="216"/>
    </row>
    <row r="817" spans="1:24" ht="15.75" customHeight="1">
      <c r="A817" s="134" t="s">
        <v>3253</v>
      </c>
      <c r="B817" s="91" t="s">
        <v>3254</v>
      </c>
      <c r="C817" s="133" t="s">
        <v>3255</v>
      </c>
      <c r="D817" s="134" t="s">
        <v>3256</v>
      </c>
      <c r="E817" s="378" t="s">
        <v>3257</v>
      </c>
      <c r="F817" s="99" t="s">
        <v>230</v>
      </c>
      <c r="G817" s="119">
        <v>2</v>
      </c>
      <c r="H817" s="379">
        <v>1</v>
      </c>
      <c r="I817" s="379">
        <v>2</v>
      </c>
      <c r="J817" s="272">
        <v>50</v>
      </c>
      <c r="K817" s="134">
        <f>50/2</f>
        <v>25</v>
      </c>
      <c r="L817" s="216" t="s">
        <v>3258</v>
      </c>
      <c r="M817" s="216"/>
      <c r="N817" s="216"/>
      <c r="O817" s="216"/>
      <c r="P817" s="216"/>
      <c r="Q817" s="216"/>
      <c r="R817" s="216"/>
      <c r="S817" s="216"/>
      <c r="T817" s="216"/>
      <c r="U817" s="216"/>
      <c r="V817" s="216"/>
      <c r="W817" s="216"/>
      <c r="X817" s="216"/>
    </row>
    <row r="818" spans="1:24" ht="15.75" customHeight="1">
      <c r="A818" s="91" t="s">
        <v>3259</v>
      </c>
      <c r="B818" s="256" t="s">
        <v>3260</v>
      </c>
      <c r="C818" s="92" t="s">
        <v>3261</v>
      </c>
      <c r="D818" s="134" t="s">
        <v>3262</v>
      </c>
      <c r="E818" s="99" t="s">
        <v>3263</v>
      </c>
      <c r="F818" s="238" t="s">
        <v>230</v>
      </c>
      <c r="G818" s="94">
        <v>5</v>
      </c>
      <c r="H818" s="94">
        <v>1</v>
      </c>
      <c r="I818" s="94">
        <v>5</v>
      </c>
      <c r="J818" s="385">
        <v>50</v>
      </c>
      <c r="K818" s="114">
        <f>50/5</f>
        <v>10</v>
      </c>
      <c r="L818" s="216" t="s">
        <v>3258</v>
      </c>
      <c r="M818" s="216"/>
      <c r="N818" s="216"/>
      <c r="O818" s="216"/>
      <c r="P818" s="216"/>
      <c r="Q818" s="216"/>
      <c r="R818" s="216"/>
      <c r="S818" s="216"/>
      <c r="T818" s="216"/>
      <c r="U818" s="216"/>
      <c r="V818" s="216"/>
      <c r="W818" s="216"/>
      <c r="X818" s="216"/>
    </row>
    <row r="819" spans="1:24" ht="15.75" customHeight="1">
      <c r="A819" s="543" t="s">
        <v>3264</v>
      </c>
      <c r="B819" s="544" t="s">
        <v>3265</v>
      </c>
      <c r="C819" s="92" t="s">
        <v>3266</v>
      </c>
      <c r="D819" s="134" t="s">
        <v>3267</v>
      </c>
      <c r="E819" s="99" t="s">
        <v>3268</v>
      </c>
      <c r="F819" s="238" t="s">
        <v>230</v>
      </c>
      <c r="G819" s="99">
        <v>4</v>
      </c>
      <c r="H819" s="99">
        <v>1</v>
      </c>
      <c r="I819" s="99">
        <v>4</v>
      </c>
      <c r="J819" s="385">
        <v>50</v>
      </c>
      <c r="K819" s="114">
        <f>50/4</f>
        <v>12.5</v>
      </c>
      <c r="L819" s="216" t="s">
        <v>3258</v>
      </c>
      <c r="M819" s="216"/>
      <c r="N819" s="216"/>
      <c r="O819" s="216"/>
      <c r="P819" s="216"/>
      <c r="Q819" s="216"/>
      <c r="R819" s="216"/>
      <c r="S819" s="216"/>
      <c r="T819" s="216"/>
      <c r="U819" s="216"/>
      <c r="V819" s="216"/>
      <c r="W819" s="216"/>
      <c r="X819" s="216"/>
    </row>
    <row r="820" spans="1:24" ht="15.75" customHeight="1">
      <c r="A820" s="134" t="s">
        <v>3269</v>
      </c>
      <c r="B820" s="134" t="s">
        <v>3254</v>
      </c>
      <c r="C820" s="99" t="s">
        <v>3255</v>
      </c>
      <c r="D820" s="134" t="s">
        <v>3270</v>
      </c>
      <c r="E820" s="99" t="s">
        <v>3271</v>
      </c>
      <c r="F820" s="238" t="s">
        <v>230</v>
      </c>
      <c r="G820" s="99">
        <v>2</v>
      </c>
      <c r="H820" s="99">
        <v>1</v>
      </c>
      <c r="I820" s="99">
        <v>2</v>
      </c>
      <c r="J820" s="385">
        <v>50</v>
      </c>
      <c r="K820" s="114">
        <f t="shared" ref="K820:K821" si="36">50/2</f>
        <v>25</v>
      </c>
      <c r="L820" s="216" t="s">
        <v>3258</v>
      </c>
      <c r="M820" s="216"/>
      <c r="N820" s="216"/>
      <c r="O820" s="216"/>
      <c r="P820" s="216"/>
      <c r="Q820" s="216"/>
      <c r="R820" s="216"/>
      <c r="S820" s="216"/>
      <c r="T820" s="216"/>
      <c r="U820" s="216"/>
      <c r="V820" s="216"/>
      <c r="W820" s="216"/>
      <c r="X820" s="216"/>
    </row>
    <row r="821" spans="1:24" ht="15.75" customHeight="1">
      <c r="A821" s="134" t="s">
        <v>3272</v>
      </c>
      <c r="B821" s="134" t="s">
        <v>3254</v>
      </c>
      <c r="C821" s="99" t="s">
        <v>3255</v>
      </c>
      <c r="D821" s="134" t="s">
        <v>3273</v>
      </c>
      <c r="E821" s="99" t="s">
        <v>3274</v>
      </c>
      <c r="F821" s="238" t="s">
        <v>230</v>
      </c>
      <c r="G821" s="99">
        <v>2</v>
      </c>
      <c r="H821" s="99">
        <v>1</v>
      </c>
      <c r="I821" s="99">
        <v>2</v>
      </c>
      <c r="J821" s="385">
        <v>50</v>
      </c>
      <c r="K821" s="114">
        <f t="shared" si="36"/>
        <v>25</v>
      </c>
      <c r="L821" s="216" t="s">
        <v>3258</v>
      </c>
      <c r="M821" s="216"/>
      <c r="N821" s="216"/>
      <c r="O821" s="216"/>
      <c r="P821" s="216"/>
      <c r="Q821" s="216"/>
      <c r="R821" s="216"/>
      <c r="S821" s="216"/>
      <c r="T821" s="216"/>
      <c r="U821" s="216"/>
      <c r="V821" s="216"/>
      <c r="W821" s="216"/>
      <c r="X821" s="216"/>
    </row>
    <row r="822" spans="1:24" ht="15.75" customHeight="1">
      <c r="A822" s="134" t="s">
        <v>3275</v>
      </c>
      <c r="B822" s="544" t="s">
        <v>3276</v>
      </c>
      <c r="C822" s="99" t="s">
        <v>3255</v>
      </c>
      <c r="D822" s="134" t="s">
        <v>3277</v>
      </c>
      <c r="E822" s="99" t="s">
        <v>3278</v>
      </c>
      <c r="F822" s="238" t="s">
        <v>230</v>
      </c>
      <c r="G822" s="99">
        <v>2</v>
      </c>
      <c r="H822" s="99">
        <v>1</v>
      </c>
      <c r="I822" s="99">
        <v>2</v>
      </c>
      <c r="J822" s="385">
        <v>50</v>
      </c>
      <c r="K822" s="114">
        <v>25</v>
      </c>
      <c r="L822" s="216" t="s">
        <v>3258</v>
      </c>
      <c r="M822" s="216"/>
      <c r="N822" s="216"/>
      <c r="O822" s="216"/>
      <c r="P822" s="216"/>
      <c r="Q822" s="216"/>
      <c r="R822" s="216"/>
      <c r="S822" s="216"/>
      <c r="T822" s="216"/>
      <c r="U822" s="216"/>
      <c r="V822" s="216"/>
      <c r="W822" s="216"/>
      <c r="X822" s="216"/>
    </row>
    <row r="823" spans="1:24" ht="15.75" customHeight="1">
      <c r="A823" s="543" t="s">
        <v>3279</v>
      </c>
      <c r="B823" s="543" t="s">
        <v>3280</v>
      </c>
      <c r="C823" s="99" t="s">
        <v>3255</v>
      </c>
      <c r="D823" s="134" t="s">
        <v>3281</v>
      </c>
      <c r="E823" s="99" t="s">
        <v>3278</v>
      </c>
      <c r="F823" s="238" t="s">
        <v>230</v>
      </c>
      <c r="G823" s="99">
        <v>2</v>
      </c>
      <c r="H823" s="99">
        <v>1</v>
      </c>
      <c r="I823" s="99">
        <v>2</v>
      </c>
      <c r="J823" s="385">
        <v>50</v>
      </c>
      <c r="K823" s="114">
        <v>25</v>
      </c>
      <c r="L823" s="216" t="s">
        <v>3258</v>
      </c>
      <c r="M823" s="216"/>
      <c r="N823" s="216"/>
      <c r="O823" s="216"/>
      <c r="P823" s="216"/>
      <c r="Q823" s="216"/>
      <c r="R823" s="216"/>
      <c r="S823" s="216"/>
      <c r="T823" s="216"/>
      <c r="U823" s="216"/>
      <c r="V823" s="216"/>
      <c r="W823" s="216"/>
      <c r="X823" s="216"/>
    </row>
    <row r="824" spans="1:24" ht="15.75" customHeight="1">
      <c r="A824" s="134" t="s">
        <v>3282</v>
      </c>
      <c r="B824" s="134" t="s">
        <v>3254</v>
      </c>
      <c r="C824" s="99" t="s">
        <v>3255</v>
      </c>
      <c r="D824" s="134" t="s">
        <v>3283</v>
      </c>
      <c r="E824" s="99" t="s">
        <v>3284</v>
      </c>
      <c r="F824" s="238" t="s">
        <v>230</v>
      </c>
      <c r="G824" s="99">
        <v>2</v>
      </c>
      <c r="H824" s="99">
        <v>1</v>
      </c>
      <c r="I824" s="99">
        <v>2</v>
      </c>
      <c r="J824" s="125">
        <v>50</v>
      </c>
      <c r="K824" s="114">
        <v>25</v>
      </c>
      <c r="L824" s="216" t="s">
        <v>3258</v>
      </c>
      <c r="M824" s="216"/>
      <c r="N824" s="216"/>
      <c r="O824" s="216"/>
      <c r="P824" s="216"/>
      <c r="Q824" s="216"/>
      <c r="R824" s="216"/>
      <c r="S824" s="216"/>
      <c r="T824" s="216"/>
      <c r="U824" s="216"/>
      <c r="V824" s="216"/>
      <c r="W824" s="216"/>
      <c r="X824" s="216"/>
    </row>
    <row r="825" spans="1:24" ht="15.75" customHeight="1">
      <c r="A825" s="91" t="s">
        <v>2475</v>
      </c>
      <c r="B825" s="256" t="s">
        <v>2476</v>
      </c>
      <c r="C825" s="133" t="s">
        <v>141</v>
      </c>
      <c r="D825" s="134" t="s">
        <v>2477</v>
      </c>
      <c r="E825" s="382" t="s">
        <v>2478</v>
      </c>
      <c r="F825" s="238" t="s">
        <v>230</v>
      </c>
      <c r="G825" s="94">
        <v>2</v>
      </c>
      <c r="H825" s="94">
        <v>2</v>
      </c>
      <c r="I825" s="94">
        <v>2</v>
      </c>
      <c r="J825" s="385">
        <v>50</v>
      </c>
      <c r="K825" s="134">
        <v>25</v>
      </c>
      <c r="L825" s="216" t="s">
        <v>865</v>
      </c>
      <c r="M825" s="216"/>
      <c r="N825" s="216"/>
      <c r="O825" s="216"/>
      <c r="P825" s="216"/>
      <c r="Q825" s="216"/>
      <c r="R825" s="216"/>
      <c r="S825" s="216"/>
      <c r="T825" s="216"/>
      <c r="U825" s="216"/>
      <c r="V825" s="216"/>
      <c r="W825" s="216"/>
      <c r="X825" s="216"/>
    </row>
    <row r="826" spans="1:24" ht="15.75" customHeight="1">
      <c r="A826" s="91" t="s">
        <v>2475</v>
      </c>
      <c r="B826" s="256" t="s">
        <v>2476</v>
      </c>
      <c r="C826" s="133" t="s">
        <v>141</v>
      </c>
      <c r="D826" s="134" t="s">
        <v>3285</v>
      </c>
      <c r="E826" s="382" t="s">
        <v>3286</v>
      </c>
      <c r="F826" s="238" t="s">
        <v>1338</v>
      </c>
      <c r="G826" s="99">
        <v>2</v>
      </c>
      <c r="H826" s="99">
        <v>2</v>
      </c>
      <c r="I826" s="99">
        <v>2</v>
      </c>
      <c r="J826" s="385">
        <v>50</v>
      </c>
      <c r="K826" s="134">
        <v>25</v>
      </c>
      <c r="L826" s="216" t="s">
        <v>865</v>
      </c>
      <c r="M826" s="216"/>
      <c r="N826" s="216"/>
      <c r="O826" s="216"/>
      <c r="P826" s="216"/>
      <c r="Q826" s="216"/>
      <c r="R826" s="216"/>
      <c r="S826" s="216"/>
      <c r="T826" s="216"/>
      <c r="U826" s="216"/>
      <c r="V826" s="216"/>
      <c r="W826" s="216"/>
      <c r="X826" s="216"/>
    </row>
    <row r="827" spans="1:24" ht="15.75" customHeight="1">
      <c r="A827" s="91" t="s">
        <v>2475</v>
      </c>
      <c r="B827" s="256" t="s">
        <v>2476</v>
      </c>
      <c r="C827" s="133" t="s">
        <v>141</v>
      </c>
      <c r="D827" s="134" t="s">
        <v>2481</v>
      </c>
      <c r="E827" s="382" t="s">
        <v>2482</v>
      </c>
      <c r="F827" s="238" t="s">
        <v>1868</v>
      </c>
      <c r="G827" s="99">
        <v>2</v>
      </c>
      <c r="H827" s="99">
        <v>2</v>
      </c>
      <c r="I827" s="99">
        <v>2</v>
      </c>
      <c r="J827" s="385">
        <v>50</v>
      </c>
      <c r="K827" s="134">
        <v>25</v>
      </c>
      <c r="L827" s="216" t="s">
        <v>865</v>
      </c>
      <c r="M827" s="216"/>
      <c r="N827" s="216"/>
      <c r="O827" s="216"/>
      <c r="P827" s="216"/>
      <c r="Q827" s="216"/>
      <c r="R827" s="216"/>
      <c r="S827" s="216"/>
      <c r="T827" s="216"/>
      <c r="U827" s="216"/>
      <c r="V827" s="216"/>
      <c r="W827" s="216"/>
      <c r="X827" s="216"/>
    </row>
    <row r="828" spans="1:24" ht="15.75" customHeight="1">
      <c r="A828" s="134" t="s">
        <v>3287</v>
      </c>
      <c r="B828" s="134" t="s">
        <v>3288</v>
      </c>
      <c r="C828" s="99" t="s">
        <v>141</v>
      </c>
      <c r="D828" s="134" t="s">
        <v>3289</v>
      </c>
      <c r="E828" s="382" t="s">
        <v>3290</v>
      </c>
      <c r="F828" s="238" t="s">
        <v>1338</v>
      </c>
      <c r="G828" s="99">
        <v>1</v>
      </c>
      <c r="H828" s="99">
        <v>1</v>
      </c>
      <c r="I828" s="99">
        <v>3</v>
      </c>
      <c r="J828" s="385">
        <v>50</v>
      </c>
      <c r="K828" s="114">
        <v>25</v>
      </c>
      <c r="L828" s="216" t="s">
        <v>865</v>
      </c>
      <c r="M828" s="216"/>
      <c r="N828" s="216"/>
      <c r="O828" s="216"/>
      <c r="P828" s="216"/>
      <c r="Q828" s="216"/>
      <c r="R828" s="216"/>
      <c r="S828" s="216"/>
      <c r="T828" s="216"/>
      <c r="U828" s="216"/>
      <c r="V828" s="216"/>
      <c r="W828" s="216"/>
      <c r="X828" s="216"/>
    </row>
    <row r="829" spans="1:24" ht="15.75" customHeight="1">
      <c r="A829" s="134" t="s">
        <v>3287</v>
      </c>
      <c r="B829" s="134" t="s">
        <v>3288</v>
      </c>
      <c r="C829" s="99" t="s">
        <v>141</v>
      </c>
      <c r="D829" s="134" t="s">
        <v>3291</v>
      </c>
      <c r="E829" s="382" t="s">
        <v>3292</v>
      </c>
      <c r="F829" s="238" t="s">
        <v>1338</v>
      </c>
      <c r="G829" s="99">
        <v>1</v>
      </c>
      <c r="H829" s="99">
        <v>1</v>
      </c>
      <c r="I829" s="99">
        <v>3</v>
      </c>
      <c r="J829" s="385">
        <v>50</v>
      </c>
      <c r="K829" s="114">
        <v>25</v>
      </c>
      <c r="L829" s="216" t="s">
        <v>865</v>
      </c>
      <c r="M829" s="216"/>
      <c r="N829" s="216"/>
      <c r="O829" s="216"/>
      <c r="P829" s="216"/>
      <c r="Q829" s="216"/>
      <c r="R829" s="216"/>
      <c r="S829" s="216"/>
      <c r="T829" s="216"/>
      <c r="U829" s="216"/>
      <c r="V829" s="216"/>
      <c r="W829" s="216"/>
      <c r="X829" s="216"/>
    </row>
    <row r="830" spans="1:24" ht="15.75" customHeight="1">
      <c r="A830" s="134" t="s">
        <v>3287</v>
      </c>
      <c r="B830" s="134" t="s">
        <v>3288</v>
      </c>
      <c r="C830" s="99" t="s">
        <v>141</v>
      </c>
      <c r="D830" s="134" t="s">
        <v>3293</v>
      </c>
      <c r="E830" s="382" t="s">
        <v>3294</v>
      </c>
      <c r="F830" s="238" t="s">
        <v>1338</v>
      </c>
      <c r="G830" s="99">
        <v>1</v>
      </c>
      <c r="H830" s="99">
        <v>1</v>
      </c>
      <c r="I830" s="99">
        <v>3</v>
      </c>
      <c r="J830" s="385">
        <v>50</v>
      </c>
      <c r="K830" s="114">
        <v>25</v>
      </c>
      <c r="L830" s="216" t="s">
        <v>865</v>
      </c>
      <c r="M830" s="216"/>
      <c r="N830" s="216"/>
      <c r="O830" s="216"/>
      <c r="P830" s="216"/>
      <c r="Q830" s="216"/>
      <c r="R830" s="216"/>
      <c r="S830" s="216"/>
      <c r="T830" s="216"/>
      <c r="U830" s="216"/>
      <c r="V830" s="216"/>
      <c r="W830" s="216"/>
      <c r="X830" s="216"/>
    </row>
    <row r="831" spans="1:24" ht="15.75" customHeight="1">
      <c r="A831" s="134" t="s">
        <v>3287</v>
      </c>
      <c r="B831" s="134" t="s">
        <v>3288</v>
      </c>
      <c r="C831" s="99" t="s">
        <v>141</v>
      </c>
      <c r="D831" s="134" t="s">
        <v>3295</v>
      </c>
      <c r="E831" s="382" t="s">
        <v>3296</v>
      </c>
      <c r="F831" s="238" t="s">
        <v>1338</v>
      </c>
      <c r="G831" s="99">
        <v>1</v>
      </c>
      <c r="H831" s="99">
        <v>1</v>
      </c>
      <c r="I831" s="99">
        <v>3</v>
      </c>
      <c r="J831" s="385">
        <v>50</v>
      </c>
      <c r="K831" s="114">
        <v>25</v>
      </c>
      <c r="L831" s="216" t="s">
        <v>865</v>
      </c>
      <c r="M831" s="216"/>
      <c r="N831" s="216"/>
      <c r="O831" s="216"/>
      <c r="P831" s="216"/>
      <c r="Q831" s="216"/>
      <c r="R831" s="216"/>
      <c r="S831" s="216"/>
      <c r="T831" s="216"/>
      <c r="U831" s="216"/>
      <c r="V831" s="216"/>
      <c r="W831" s="216"/>
      <c r="X831" s="216"/>
    </row>
    <row r="832" spans="1:24" ht="15.75" customHeight="1">
      <c r="A832" s="134" t="s">
        <v>3287</v>
      </c>
      <c r="B832" s="134" t="s">
        <v>3288</v>
      </c>
      <c r="C832" s="99" t="s">
        <v>141</v>
      </c>
      <c r="D832" s="134" t="s">
        <v>3297</v>
      </c>
      <c r="E832" s="382" t="s">
        <v>3298</v>
      </c>
      <c r="F832" s="238" t="s">
        <v>1338</v>
      </c>
      <c r="G832" s="99">
        <v>1</v>
      </c>
      <c r="H832" s="99">
        <v>1</v>
      </c>
      <c r="I832" s="99">
        <v>3</v>
      </c>
      <c r="J832" s="385">
        <v>50</v>
      </c>
      <c r="K832" s="114">
        <v>25</v>
      </c>
      <c r="L832" s="216" t="s">
        <v>865</v>
      </c>
      <c r="M832" s="216"/>
      <c r="N832" s="216"/>
      <c r="O832" s="216"/>
      <c r="P832" s="216"/>
      <c r="Q832" s="216"/>
      <c r="R832" s="216"/>
      <c r="S832" s="216"/>
      <c r="T832" s="216"/>
      <c r="U832" s="216"/>
      <c r="V832" s="216"/>
      <c r="W832" s="216"/>
      <c r="X832" s="216"/>
    </row>
    <row r="833" spans="1:24" ht="15.75" customHeight="1">
      <c r="A833" s="134" t="s">
        <v>3287</v>
      </c>
      <c r="B833" s="134" t="s">
        <v>3288</v>
      </c>
      <c r="C833" s="99" t="s">
        <v>141</v>
      </c>
      <c r="D833" s="134" t="s">
        <v>3299</v>
      </c>
      <c r="E833" s="382" t="s">
        <v>3300</v>
      </c>
      <c r="F833" s="238" t="s">
        <v>1338</v>
      </c>
      <c r="G833" s="99">
        <v>1</v>
      </c>
      <c r="H833" s="99">
        <v>1</v>
      </c>
      <c r="I833" s="99">
        <v>3</v>
      </c>
      <c r="J833" s="385">
        <v>50</v>
      </c>
      <c r="K833" s="114">
        <v>25</v>
      </c>
      <c r="L833" s="216" t="s">
        <v>865</v>
      </c>
      <c r="M833" s="216"/>
      <c r="N833" s="216"/>
      <c r="O833" s="216"/>
      <c r="P833" s="216"/>
      <c r="Q833" s="216"/>
      <c r="R833" s="216"/>
      <c r="S833" s="216"/>
      <c r="T833" s="216"/>
      <c r="U833" s="216"/>
      <c r="V833" s="216"/>
      <c r="W833" s="216"/>
      <c r="X833" s="216"/>
    </row>
    <row r="834" spans="1:24" ht="15.75" customHeight="1">
      <c r="A834" s="134" t="s">
        <v>3287</v>
      </c>
      <c r="B834" s="134" t="s">
        <v>3288</v>
      </c>
      <c r="C834" s="99" t="s">
        <v>141</v>
      </c>
      <c r="D834" s="134" t="s">
        <v>3301</v>
      </c>
      <c r="E834" s="382" t="s">
        <v>3302</v>
      </c>
      <c r="F834" s="238" t="s">
        <v>1338</v>
      </c>
      <c r="G834" s="99">
        <v>1</v>
      </c>
      <c r="H834" s="99">
        <v>1</v>
      </c>
      <c r="I834" s="99">
        <v>3</v>
      </c>
      <c r="J834" s="385">
        <v>50</v>
      </c>
      <c r="K834" s="114">
        <v>25</v>
      </c>
      <c r="L834" s="216" t="s">
        <v>865</v>
      </c>
      <c r="M834" s="216"/>
      <c r="N834" s="216"/>
      <c r="O834" s="216"/>
      <c r="P834" s="216"/>
      <c r="Q834" s="216"/>
      <c r="R834" s="216"/>
      <c r="S834" s="216"/>
      <c r="T834" s="216"/>
      <c r="U834" s="216"/>
      <c r="V834" s="216"/>
      <c r="W834" s="216"/>
      <c r="X834" s="216"/>
    </row>
    <row r="835" spans="1:24" ht="15.75" customHeight="1">
      <c r="A835" s="134" t="s">
        <v>3287</v>
      </c>
      <c r="B835" s="134" t="s">
        <v>3288</v>
      </c>
      <c r="C835" s="99" t="s">
        <v>141</v>
      </c>
      <c r="D835" s="134" t="s">
        <v>3303</v>
      </c>
      <c r="E835" s="382" t="s">
        <v>3304</v>
      </c>
      <c r="F835" s="238" t="s">
        <v>635</v>
      </c>
      <c r="G835" s="99">
        <v>1</v>
      </c>
      <c r="H835" s="99">
        <v>1</v>
      </c>
      <c r="I835" s="99">
        <v>3</v>
      </c>
      <c r="J835" s="385">
        <v>50</v>
      </c>
      <c r="K835" s="114">
        <v>25</v>
      </c>
      <c r="L835" s="216" t="s">
        <v>865</v>
      </c>
      <c r="M835" s="216"/>
      <c r="N835" s="216"/>
      <c r="O835" s="216"/>
      <c r="P835" s="216"/>
      <c r="Q835" s="216"/>
      <c r="R835" s="216"/>
      <c r="S835" s="216"/>
      <c r="T835" s="216"/>
      <c r="U835" s="216"/>
      <c r="V835" s="216"/>
      <c r="W835" s="216"/>
      <c r="X835" s="216"/>
    </row>
    <row r="836" spans="1:24" ht="15.75" customHeight="1">
      <c r="A836" s="134" t="s">
        <v>3287</v>
      </c>
      <c r="B836" s="134" t="s">
        <v>3288</v>
      </c>
      <c r="C836" s="99" t="s">
        <v>141</v>
      </c>
      <c r="D836" s="134" t="s">
        <v>3305</v>
      </c>
      <c r="E836" s="382" t="s">
        <v>3306</v>
      </c>
      <c r="F836" s="238" t="s">
        <v>635</v>
      </c>
      <c r="G836" s="99">
        <v>1</v>
      </c>
      <c r="H836" s="99">
        <v>1</v>
      </c>
      <c r="I836" s="99">
        <v>3</v>
      </c>
      <c r="J836" s="385">
        <v>50</v>
      </c>
      <c r="K836" s="114">
        <v>25</v>
      </c>
      <c r="L836" s="216" t="s">
        <v>865</v>
      </c>
      <c r="M836" s="216"/>
      <c r="N836" s="216"/>
      <c r="O836" s="216"/>
      <c r="P836" s="216"/>
      <c r="Q836" s="216"/>
      <c r="R836" s="216"/>
      <c r="S836" s="216"/>
      <c r="T836" s="216"/>
      <c r="U836" s="216"/>
      <c r="V836" s="216"/>
      <c r="W836" s="216"/>
      <c r="X836" s="216"/>
    </row>
    <row r="837" spans="1:24" ht="15.75" customHeight="1">
      <c r="A837" s="134" t="s">
        <v>3287</v>
      </c>
      <c r="B837" s="134" t="s">
        <v>3288</v>
      </c>
      <c r="C837" s="99" t="s">
        <v>141</v>
      </c>
      <c r="D837" s="134" t="s">
        <v>3307</v>
      </c>
      <c r="E837" s="382" t="s">
        <v>3308</v>
      </c>
      <c r="F837" s="238" t="s">
        <v>635</v>
      </c>
      <c r="G837" s="99">
        <v>1</v>
      </c>
      <c r="H837" s="99">
        <v>1</v>
      </c>
      <c r="I837" s="99">
        <v>3</v>
      </c>
      <c r="J837" s="385">
        <v>50</v>
      </c>
      <c r="K837" s="114">
        <v>25</v>
      </c>
      <c r="L837" s="216" t="s">
        <v>865</v>
      </c>
      <c r="M837" s="216"/>
      <c r="N837" s="216"/>
      <c r="O837" s="216"/>
      <c r="P837" s="216"/>
      <c r="Q837" s="216"/>
      <c r="R837" s="216"/>
      <c r="S837" s="216"/>
      <c r="T837" s="216"/>
      <c r="U837" s="216"/>
      <c r="V837" s="216"/>
      <c r="W837" s="216"/>
      <c r="X837" s="216"/>
    </row>
    <row r="838" spans="1:24" ht="15.75" customHeight="1">
      <c r="A838" s="134" t="s">
        <v>3287</v>
      </c>
      <c r="B838" s="134" t="s">
        <v>3288</v>
      </c>
      <c r="C838" s="99" t="s">
        <v>141</v>
      </c>
      <c r="D838" s="134" t="s">
        <v>3309</v>
      </c>
      <c r="E838" s="382" t="s">
        <v>3310</v>
      </c>
      <c r="F838" s="238" t="s">
        <v>635</v>
      </c>
      <c r="G838" s="99">
        <v>1</v>
      </c>
      <c r="H838" s="99">
        <v>1</v>
      </c>
      <c r="I838" s="99">
        <v>3</v>
      </c>
      <c r="J838" s="385">
        <v>50</v>
      </c>
      <c r="K838" s="114">
        <v>25</v>
      </c>
      <c r="L838" s="216" t="s">
        <v>865</v>
      </c>
      <c r="M838" s="216"/>
      <c r="N838" s="216"/>
      <c r="O838" s="216"/>
      <c r="P838" s="216"/>
      <c r="Q838" s="216"/>
      <c r="R838" s="216"/>
      <c r="S838" s="216"/>
      <c r="T838" s="216"/>
      <c r="U838" s="216"/>
      <c r="V838" s="216"/>
      <c r="W838" s="216"/>
      <c r="X838" s="216"/>
    </row>
    <row r="839" spans="1:24" ht="15.75" customHeight="1">
      <c r="A839" s="134" t="s">
        <v>3287</v>
      </c>
      <c r="B839" s="134" t="s">
        <v>3288</v>
      </c>
      <c r="C839" s="99" t="s">
        <v>141</v>
      </c>
      <c r="D839" s="134" t="s">
        <v>3311</v>
      </c>
      <c r="E839" s="382" t="s">
        <v>3312</v>
      </c>
      <c r="F839" s="238" t="s">
        <v>635</v>
      </c>
      <c r="G839" s="99">
        <v>1</v>
      </c>
      <c r="H839" s="99">
        <v>1</v>
      </c>
      <c r="I839" s="99">
        <v>3</v>
      </c>
      <c r="J839" s="385">
        <v>50</v>
      </c>
      <c r="K839" s="114">
        <v>25</v>
      </c>
      <c r="L839" s="216" t="s">
        <v>865</v>
      </c>
      <c r="M839" s="216"/>
      <c r="N839" s="216"/>
      <c r="O839" s="216"/>
      <c r="P839" s="216"/>
      <c r="Q839" s="216"/>
      <c r="R839" s="216"/>
      <c r="S839" s="216"/>
      <c r="T839" s="216"/>
      <c r="U839" s="216"/>
      <c r="V839" s="216"/>
      <c r="W839" s="216"/>
      <c r="X839" s="216"/>
    </row>
    <row r="840" spans="1:24" ht="15.75" customHeight="1">
      <c r="A840" s="134" t="s">
        <v>3287</v>
      </c>
      <c r="B840" s="134" t="s">
        <v>3288</v>
      </c>
      <c r="C840" s="99" t="s">
        <v>141</v>
      </c>
      <c r="D840" s="134" t="s">
        <v>3313</v>
      </c>
      <c r="E840" s="382" t="s">
        <v>3314</v>
      </c>
      <c r="F840" s="238" t="s">
        <v>635</v>
      </c>
      <c r="G840" s="99">
        <v>1</v>
      </c>
      <c r="H840" s="99">
        <v>1</v>
      </c>
      <c r="I840" s="99">
        <v>3</v>
      </c>
      <c r="J840" s="385">
        <v>50</v>
      </c>
      <c r="K840" s="114">
        <v>25</v>
      </c>
      <c r="L840" s="216" t="s">
        <v>865</v>
      </c>
      <c r="M840" s="216"/>
      <c r="N840" s="216"/>
      <c r="O840" s="216"/>
      <c r="P840" s="216"/>
      <c r="Q840" s="216"/>
      <c r="R840" s="216"/>
      <c r="S840" s="216"/>
      <c r="T840" s="216"/>
      <c r="U840" s="216"/>
      <c r="V840" s="216"/>
      <c r="W840" s="216"/>
      <c r="X840" s="216"/>
    </row>
    <row r="841" spans="1:24" ht="15.75" customHeight="1">
      <c r="A841" s="134" t="s">
        <v>3315</v>
      </c>
      <c r="B841" s="134" t="s">
        <v>3316</v>
      </c>
      <c r="C841" s="99" t="s">
        <v>141</v>
      </c>
      <c r="D841" s="134" t="s">
        <v>3317</v>
      </c>
      <c r="E841" s="382" t="s">
        <v>3318</v>
      </c>
      <c r="F841" s="238" t="s">
        <v>1338</v>
      </c>
      <c r="G841" s="99">
        <v>3</v>
      </c>
      <c r="H841" s="99">
        <v>3</v>
      </c>
      <c r="I841" s="99">
        <v>3</v>
      </c>
      <c r="J841" s="385">
        <v>50</v>
      </c>
      <c r="K841" s="114">
        <v>16.670000000000002</v>
      </c>
      <c r="L841" s="216" t="s">
        <v>865</v>
      </c>
      <c r="M841" s="216"/>
      <c r="N841" s="216"/>
      <c r="O841" s="216"/>
      <c r="P841" s="216"/>
      <c r="Q841" s="216"/>
      <c r="R841" s="216"/>
      <c r="S841" s="216"/>
      <c r="T841" s="216"/>
      <c r="U841" s="216"/>
      <c r="V841" s="216"/>
      <c r="W841" s="216"/>
      <c r="X841" s="216"/>
    </row>
    <row r="842" spans="1:24" ht="15.75" customHeight="1">
      <c r="A842" s="134" t="s">
        <v>3315</v>
      </c>
      <c r="B842" s="134" t="s">
        <v>3316</v>
      </c>
      <c r="C842" s="99" t="s">
        <v>141</v>
      </c>
      <c r="D842" s="134" t="s">
        <v>3319</v>
      </c>
      <c r="E842" s="382" t="s">
        <v>3320</v>
      </c>
      <c r="F842" s="238" t="s">
        <v>1338</v>
      </c>
      <c r="G842" s="99">
        <v>3</v>
      </c>
      <c r="H842" s="99">
        <v>3</v>
      </c>
      <c r="I842" s="99">
        <v>3</v>
      </c>
      <c r="J842" s="385">
        <v>50</v>
      </c>
      <c r="K842" s="114">
        <v>16.670000000000002</v>
      </c>
      <c r="L842" s="216" t="s">
        <v>865</v>
      </c>
      <c r="M842" s="216"/>
      <c r="N842" s="216"/>
      <c r="O842" s="216"/>
      <c r="P842" s="216"/>
      <c r="Q842" s="216"/>
      <c r="R842" s="216"/>
      <c r="S842" s="216"/>
      <c r="T842" s="216"/>
      <c r="U842" s="216"/>
      <c r="V842" s="216"/>
      <c r="W842" s="216"/>
      <c r="X842" s="216"/>
    </row>
    <row r="843" spans="1:24" ht="15.75" customHeight="1">
      <c r="A843" s="134" t="s">
        <v>3315</v>
      </c>
      <c r="B843" s="134" t="s">
        <v>3316</v>
      </c>
      <c r="C843" s="99" t="s">
        <v>141</v>
      </c>
      <c r="D843" s="134" t="s">
        <v>3321</v>
      </c>
      <c r="E843" s="382" t="s">
        <v>3322</v>
      </c>
      <c r="F843" s="238" t="s">
        <v>1338</v>
      </c>
      <c r="G843" s="99">
        <v>3</v>
      </c>
      <c r="H843" s="99">
        <v>3</v>
      </c>
      <c r="I843" s="99">
        <v>3</v>
      </c>
      <c r="J843" s="385">
        <v>50</v>
      </c>
      <c r="K843" s="114">
        <v>16.670000000000002</v>
      </c>
      <c r="L843" s="216" t="s">
        <v>865</v>
      </c>
      <c r="M843" s="216"/>
      <c r="N843" s="216"/>
      <c r="O843" s="216"/>
      <c r="P843" s="216"/>
      <c r="Q843" s="216"/>
      <c r="R843" s="216"/>
      <c r="S843" s="216"/>
      <c r="T843" s="216"/>
      <c r="U843" s="216"/>
      <c r="V843" s="216"/>
      <c r="W843" s="216"/>
      <c r="X843" s="216"/>
    </row>
    <row r="844" spans="1:24" ht="15.75" customHeight="1">
      <c r="A844" s="134" t="s">
        <v>3315</v>
      </c>
      <c r="B844" s="134" t="s">
        <v>3316</v>
      </c>
      <c r="C844" s="99" t="s">
        <v>141</v>
      </c>
      <c r="D844" s="134" t="s">
        <v>3323</v>
      </c>
      <c r="E844" s="382" t="s">
        <v>3324</v>
      </c>
      <c r="F844" s="238" t="s">
        <v>1338</v>
      </c>
      <c r="G844" s="99">
        <v>3</v>
      </c>
      <c r="H844" s="99">
        <v>3</v>
      </c>
      <c r="I844" s="99">
        <v>3</v>
      </c>
      <c r="J844" s="385">
        <v>50</v>
      </c>
      <c r="K844" s="114">
        <v>16.670000000000002</v>
      </c>
      <c r="L844" s="216" t="s">
        <v>865</v>
      </c>
      <c r="M844" s="216"/>
      <c r="N844" s="216"/>
      <c r="O844" s="216"/>
      <c r="P844" s="216"/>
      <c r="Q844" s="216"/>
      <c r="R844" s="216"/>
      <c r="S844" s="216"/>
      <c r="T844" s="216"/>
      <c r="U844" s="216"/>
      <c r="V844" s="216"/>
      <c r="W844" s="216"/>
      <c r="X844" s="216"/>
    </row>
    <row r="845" spans="1:24" ht="15.75" customHeight="1">
      <c r="A845" s="134" t="s">
        <v>3315</v>
      </c>
      <c r="B845" s="134" t="s">
        <v>3316</v>
      </c>
      <c r="C845" s="99" t="s">
        <v>141</v>
      </c>
      <c r="D845" s="134" t="s">
        <v>3325</v>
      </c>
      <c r="E845" s="382" t="s">
        <v>3326</v>
      </c>
      <c r="F845" s="238" t="s">
        <v>1338</v>
      </c>
      <c r="G845" s="99">
        <v>3</v>
      </c>
      <c r="H845" s="99">
        <v>3</v>
      </c>
      <c r="I845" s="99">
        <v>3</v>
      </c>
      <c r="J845" s="385">
        <v>50</v>
      </c>
      <c r="K845" s="114">
        <v>16.670000000000002</v>
      </c>
      <c r="L845" s="216" t="s">
        <v>865</v>
      </c>
      <c r="M845" s="216"/>
      <c r="N845" s="216"/>
      <c r="O845" s="216"/>
      <c r="P845" s="216"/>
      <c r="Q845" s="216"/>
      <c r="R845" s="216"/>
      <c r="S845" s="216"/>
      <c r="T845" s="216"/>
      <c r="U845" s="216"/>
      <c r="V845" s="216"/>
      <c r="W845" s="216"/>
      <c r="X845" s="216"/>
    </row>
    <row r="846" spans="1:24" ht="15.75" customHeight="1">
      <c r="A846" s="134" t="s">
        <v>3315</v>
      </c>
      <c r="B846" s="134" t="s">
        <v>3316</v>
      </c>
      <c r="C846" s="99" t="s">
        <v>141</v>
      </c>
      <c r="D846" s="134" t="s">
        <v>3327</v>
      </c>
      <c r="E846" s="382" t="s">
        <v>3328</v>
      </c>
      <c r="F846" s="238" t="s">
        <v>1338</v>
      </c>
      <c r="G846" s="99">
        <v>3</v>
      </c>
      <c r="H846" s="99">
        <v>3</v>
      </c>
      <c r="I846" s="99">
        <v>3</v>
      </c>
      <c r="J846" s="385">
        <v>50</v>
      </c>
      <c r="K846" s="114">
        <v>16.670000000000002</v>
      </c>
      <c r="L846" s="216" t="s">
        <v>865</v>
      </c>
      <c r="M846" s="216"/>
      <c r="N846" s="216"/>
      <c r="O846" s="216"/>
      <c r="P846" s="216"/>
      <c r="Q846" s="216"/>
      <c r="R846" s="216"/>
      <c r="S846" s="216"/>
      <c r="T846" s="216"/>
      <c r="U846" s="216"/>
      <c r="V846" s="216"/>
      <c r="W846" s="216"/>
      <c r="X846" s="216"/>
    </row>
    <row r="847" spans="1:24" ht="15.75" customHeight="1">
      <c r="A847" s="134" t="s">
        <v>3315</v>
      </c>
      <c r="B847" s="134" t="s">
        <v>3316</v>
      </c>
      <c r="C847" s="99" t="s">
        <v>141</v>
      </c>
      <c r="D847" s="134" t="s">
        <v>3329</v>
      </c>
      <c r="E847" s="382" t="s">
        <v>3330</v>
      </c>
      <c r="F847" s="238" t="s">
        <v>1338</v>
      </c>
      <c r="G847" s="99">
        <v>3</v>
      </c>
      <c r="H847" s="99">
        <v>3</v>
      </c>
      <c r="I847" s="99">
        <v>3</v>
      </c>
      <c r="J847" s="385">
        <v>50</v>
      </c>
      <c r="K847" s="114">
        <v>16.670000000000002</v>
      </c>
      <c r="L847" s="216" t="s">
        <v>865</v>
      </c>
      <c r="M847" s="216"/>
      <c r="N847" s="216"/>
      <c r="O847" s="216"/>
      <c r="P847" s="216"/>
      <c r="Q847" s="216"/>
      <c r="R847" s="216"/>
      <c r="S847" s="216"/>
      <c r="T847" s="216"/>
      <c r="U847" s="216"/>
      <c r="V847" s="216"/>
      <c r="W847" s="216"/>
      <c r="X847" s="216"/>
    </row>
    <row r="848" spans="1:24" ht="15.75" customHeight="1">
      <c r="A848" s="134" t="s">
        <v>3315</v>
      </c>
      <c r="B848" s="134" t="s">
        <v>3316</v>
      </c>
      <c r="C848" s="99" t="s">
        <v>141</v>
      </c>
      <c r="D848" s="134" t="s">
        <v>3331</v>
      </c>
      <c r="E848" s="382" t="s">
        <v>3332</v>
      </c>
      <c r="F848" s="238" t="s">
        <v>1338</v>
      </c>
      <c r="G848" s="99">
        <v>3</v>
      </c>
      <c r="H848" s="99">
        <v>3</v>
      </c>
      <c r="I848" s="99">
        <v>3</v>
      </c>
      <c r="J848" s="385">
        <v>50</v>
      </c>
      <c r="K848" s="114">
        <v>16.670000000000002</v>
      </c>
      <c r="L848" s="216" t="s">
        <v>865</v>
      </c>
      <c r="M848" s="216"/>
      <c r="N848" s="216"/>
      <c r="O848" s="216"/>
      <c r="P848" s="216"/>
      <c r="Q848" s="216"/>
      <c r="R848" s="216"/>
      <c r="S848" s="216"/>
      <c r="T848" s="216"/>
      <c r="U848" s="216"/>
      <c r="V848" s="216"/>
      <c r="W848" s="216"/>
      <c r="X848" s="216"/>
    </row>
    <row r="849" spans="1:24" ht="15.75" customHeight="1">
      <c r="A849" s="134" t="s">
        <v>3315</v>
      </c>
      <c r="B849" s="134" t="s">
        <v>3316</v>
      </c>
      <c r="C849" s="99" t="s">
        <v>141</v>
      </c>
      <c r="D849" s="134" t="s">
        <v>3333</v>
      </c>
      <c r="E849" s="382" t="s">
        <v>3334</v>
      </c>
      <c r="F849" s="238" t="s">
        <v>1338</v>
      </c>
      <c r="G849" s="99">
        <v>3</v>
      </c>
      <c r="H849" s="99">
        <v>3</v>
      </c>
      <c r="I849" s="99">
        <v>3</v>
      </c>
      <c r="J849" s="385">
        <v>50</v>
      </c>
      <c r="K849" s="114">
        <v>16.670000000000002</v>
      </c>
      <c r="L849" s="216" t="s">
        <v>865</v>
      </c>
      <c r="M849" s="216"/>
      <c r="N849" s="216"/>
      <c r="O849" s="216"/>
      <c r="P849" s="216"/>
      <c r="Q849" s="216"/>
      <c r="R849" s="216"/>
      <c r="S849" s="216"/>
      <c r="T849" s="216"/>
      <c r="U849" s="216"/>
      <c r="V849" s="216"/>
      <c r="W849" s="216"/>
      <c r="X849" s="216"/>
    </row>
    <row r="850" spans="1:24" ht="15.75" customHeight="1">
      <c r="A850" s="134" t="s">
        <v>3315</v>
      </c>
      <c r="B850" s="134" t="s">
        <v>3316</v>
      </c>
      <c r="C850" s="99" t="s">
        <v>141</v>
      </c>
      <c r="D850" s="134" t="s">
        <v>3335</v>
      </c>
      <c r="E850" s="382" t="s">
        <v>3336</v>
      </c>
      <c r="F850" s="238" t="s">
        <v>1338</v>
      </c>
      <c r="G850" s="99">
        <v>3</v>
      </c>
      <c r="H850" s="99">
        <v>3</v>
      </c>
      <c r="I850" s="99">
        <v>3</v>
      </c>
      <c r="J850" s="385">
        <v>50</v>
      </c>
      <c r="K850" s="114">
        <v>16.670000000000002</v>
      </c>
      <c r="L850" s="216" t="s">
        <v>865</v>
      </c>
      <c r="M850" s="216"/>
      <c r="N850" s="216"/>
      <c r="O850" s="216"/>
      <c r="P850" s="216"/>
      <c r="Q850" s="216"/>
      <c r="R850" s="216"/>
      <c r="S850" s="216"/>
      <c r="T850" s="216"/>
      <c r="U850" s="216"/>
      <c r="V850" s="216"/>
      <c r="W850" s="216"/>
      <c r="X850" s="216"/>
    </row>
    <row r="851" spans="1:24" ht="15.75" customHeight="1">
      <c r="A851" s="134" t="s">
        <v>3315</v>
      </c>
      <c r="B851" s="134" t="s">
        <v>3316</v>
      </c>
      <c r="C851" s="99" t="s">
        <v>141</v>
      </c>
      <c r="D851" s="134" t="s">
        <v>3337</v>
      </c>
      <c r="E851" s="382" t="s">
        <v>3338</v>
      </c>
      <c r="F851" s="238" t="s">
        <v>1338</v>
      </c>
      <c r="G851" s="99">
        <v>3</v>
      </c>
      <c r="H851" s="99">
        <v>3</v>
      </c>
      <c r="I851" s="99">
        <v>3</v>
      </c>
      <c r="J851" s="385">
        <v>50</v>
      </c>
      <c r="K851" s="114">
        <v>16.670000000000002</v>
      </c>
      <c r="L851" s="216" t="s">
        <v>865</v>
      </c>
      <c r="M851" s="216"/>
      <c r="N851" s="216"/>
      <c r="O851" s="216"/>
      <c r="P851" s="216"/>
      <c r="Q851" s="216"/>
      <c r="R851" s="216"/>
      <c r="S851" s="216"/>
      <c r="T851" s="216"/>
      <c r="U851" s="216"/>
      <c r="V851" s="216"/>
      <c r="W851" s="216"/>
      <c r="X851" s="216"/>
    </row>
    <row r="852" spans="1:24" ht="15.75" customHeight="1">
      <c r="A852" s="134" t="s">
        <v>3315</v>
      </c>
      <c r="B852" s="134" t="s">
        <v>3316</v>
      </c>
      <c r="C852" s="99" t="s">
        <v>141</v>
      </c>
      <c r="D852" s="134" t="s">
        <v>3339</v>
      </c>
      <c r="E852" s="382" t="s">
        <v>3340</v>
      </c>
      <c r="F852" s="238" t="s">
        <v>1338</v>
      </c>
      <c r="G852" s="99">
        <v>3</v>
      </c>
      <c r="H852" s="99">
        <v>3</v>
      </c>
      <c r="I852" s="99">
        <v>3</v>
      </c>
      <c r="J852" s="385">
        <v>50</v>
      </c>
      <c r="K852" s="114">
        <v>16.66</v>
      </c>
      <c r="L852" s="216" t="s">
        <v>865</v>
      </c>
      <c r="M852" s="216"/>
      <c r="N852" s="216"/>
      <c r="O852" s="216"/>
      <c r="P852" s="216"/>
      <c r="Q852" s="216"/>
      <c r="R852" s="216"/>
      <c r="S852" s="216"/>
      <c r="T852" s="216"/>
      <c r="U852" s="216"/>
      <c r="V852" s="216"/>
      <c r="W852" s="216"/>
      <c r="X852" s="216"/>
    </row>
    <row r="853" spans="1:24" ht="15.75" customHeight="1">
      <c r="A853" s="134" t="s">
        <v>3315</v>
      </c>
      <c r="B853" s="134" t="s">
        <v>3316</v>
      </c>
      <c r="C853" s="99" t="s">
        <v>141</v>
      </c>
      <c r="D853" s="134" t="s">
        <v>3341</v>
      </c>
      <c r="E853" s="382" t="s">
        <v>3342</v>
      </c>
      <c r="F853" s="238" t="s">
        <v>635</v>
      </c>
      <c r="G853" s="99">
        <v>3</v>
      </c>
      <c r="H853" s="99">
        <v>3</v>
      </c>
      <c r="I853" s="99">
        <v>3</v>
      </c>
      <c r="J853" s="385">
        <v>50</v>
      </c>
      <c r="K853" s="114">
        <v>16.66</v>
      </c>
      <c r="L853" s="216" t="s">
        <v>865</v>
      </c>
      <c r="M853" s="216"/>
      <c r="N853" s="216"/>
      <c r="O853" s="216"/>
      <c r="P853" s="216"/>
      <c r="Q853" s="216"/>
      <c r="R853" s="216"/>
      <c r="S853" s="216"/>
      <c r="T853" s="216"/>
      <c r="U853" s="216"/>
      <c r="V853" s="216"/>
      <c r="W853" s="216"/>
      <c r="X853" s="216"/>
    </row>
    <row r="854" spans="1:24" ht="15.75" customHeight="1">
      <c r="A854" s="134" t="s">
        <v>3315</v>
      </c>
      <c r="B854" s="134" t="s">
        <v>3316</v>
      </c>
      <c r="C854" s="99" t="s">
        <v>141</v>
      </c>
      <c r="D854" s="134" t="s">
        <v>3343</v>
      </c>
      <c r="E854" s="382" t="s">
        <v>3344</v>
      </c>
      <c r="F854" s="238" t="s">
        <v>635</v>
      </c>
      <c r="G854" s="99">
        <v>3</v>
      </c>
      <c r="H854" s="99">
        <v>3</v>
      </c>
      <c r="I854" s="99">
        <v>3</v>
      </c>
      <c r="J854" s="385">
        <v>50</v>
      </c>
      <c r="K854" s="114">
        <v>16.66</v>
      </c>
      <c r="L854" s="216" t="s">
        <v>865</v>
      </c>
      <c r="M854" s="216"/>
      <c r="N854" s="216"/>
      <c r="O854" s="216"/>
      <c r="P854" s="216"/>
      <c r="Q854" s="216"/>
      <c r="R854" s="216"/>
      <c r="S854" s="216"/>
      <c r="T854" s="216"/>
      <c r="U854" s="216"/>
      <c r="V854" s="216"/>
      <c r="W854" s="216"/>
      <c r="X854" s="216"/>
    </row>
    <row r="855" spans="1:24" ht="15.75" customHeight="1">
      <c r="A855" s="134" t="s">
        <v>3315</v>
      </c>
      <c r="B855" s="134" t="s">
        <v>3316</v>
      </c>
      <c r="C855" s="99" t="s">
        <v>141</v>
      </c>
      <c r="D855" s="134" t="s">
        <v>3345</v>
      </c>
      <c r="E855" s="382" t="s">
        <v>3346</v>
      </c>
      <c r="F855" s="238" t="s">
        <v>635</v>
      </c>
      <c r="G855" s="99">
        <v>3</v>
      </c>
      <c r="H855" s="99">
        <v>3</v>
      </c>
      <c r="I855" s="99">
        <v>3</v>
      </c>
      <c r="J855" s="385">
        <v>50</v>
      </c>
      <c r="K855" s="114">
        <v>16.66</v>
      </c>
      <c r="L855" s="216" t="s">
        <v>865</v>
      </c>
      <c r="M855" s="216"/>
      <c r="N855" s="216"/>
      <c r="O855" s="216"/>
      <c r="P855" s="216"/>
      <c r="Q855" s="216"/>
      <c r="R855" s="216"/>
      <c r="S855" s="216"/>
      <c r="T855" s="216"/>
      <c r="U855" s="216"/>
      <c r="V855" s="216"/>
      <c r="W855" s="216"/>
      <c r="X855" s="216"/>
    </row>
    <row r="856" spans="1:24" ht="15.75" customHeight="1">
      <c r="A856" s="134" t="s">
        <v>3315</v>
      </c>
      <c r="B856" s="134" t="s">
        <v>3316</v>
      </c>
      <c r="C856" s="99" t="s">
        <v>141</v>
      </c>
      <c r="D856" s="134" t="s">
        <v>3347</v>
      </c>
      <c r="E856" s="382" t="s">
        <v>3348</v>
      </c>
      <c r="F856" s="238" t="s">
        <v>635</v>
      </c>
      <c r="G856" s="99">
        <v>3</v>
      </c>
      <c r="H856" s="99">
        <v>3</v>
      </c>
      <c r="I856" s="99">
        <v>3</v>
      </c>
      <c r="J856" s="385">
        <v>50</v>
      </c>
      <c r="K856" s="114">
        <v>16.66</v>
      </c>
      <c r="L856" s="216" t="s">
        <v>865</v>
      </c>
      <c r="M856" s="216"/>
      <c r="N856" s="216"/>
      <c r="O856" s="216"/>
      <c r="P856" s="216"/>
      <c r="Q856" s="216"/>
      <c r="R856" s="216"/>
      <c r="S856" s="216"/>
      <c r="T856" s="216"/>
      <c r="U856" s="216"/>
      <c r="V856" s="216"/>
      <c r="W856" s="216"/>
      <c r="X856" s="216"/>
    </row>
    <row r="857" spans="1:24" ht="15.75" customHeight="1">
      <c r="A857" s="134" t="s">
        <v>841</v>
      </c>
      <c r="B857" s="91" t="s">
        <v>3153</v>
      </c>
      <c r="C857" s="133" t="s">
        <v>141</v>
      </c>
      <c r="D857" s="134" t="s">
        <v>3241</v>
      </c>
      <c r="E857" s="382" t="s">
        <v>3242</v>
      </c>
      <c r="F857" s="238" t="s">
        <v>3238</v>
      </c>
      <c r="G857" s="99">
        <v>6</v>
      </c>
      <c r="H857" s="99">
        <v>6</v>
      </c>
      <c r="I857" s="99">
        <v>6</v>
      </c>
      <c r="J857" s="385">
        <v>50</v>
      </c>
      <c r="K857" s="114">
        <v>8.33</v>
      </c>
      <c r="L857" s="216" t="s">
        <v>865</v>
      </c>
      <c r="M857" s="216"/>
      <c r="N857" s="216"/>
      <c r="O857" s="216"/>
      <c r="P857" s="216"/>
      <c r="Q857" s="216"/>
      <c r="R857" s="216"/>
      <c r="S857" s="216"/>
      <c r="T857" s="216"/>
      <c r="U857" s="216"/>
      <c r="V857" s="216"/>
      <c r="W857" s="216"/>
      <c r="X857" s="216"/>
    </row>
    <row r="858" spans="1:24" ht="15.75" customHeight="1">
      <c r="A858" s="134" t="s">
        <v>3349</v>
      </c>
      <c r="B858" s="91" t="s">
        <v>3350</v>
      </c>
      <c r="C858" s="133" t="s">
        <v>141</v>
      </c>
      <c r="D858" s="134" t="s">
        <v>3309</v>
      </c>
      <c r="E858" s="382" t="s">
        <v>3310</v>
      </c>
      <c r="F858" s="238" t="s">
        <v>635</v>
      </c>
      <c r="G858" s="99">
        <v>1</v>
      </c>
      <c r="H858" s="99">
        <v>1</v>
      </c>
      <c r="I858" s="99">
        <v>4</v>
      </c>
      <c r="J858" s="385">
        <v>50</v>
      </c>
      <c r="K858" s="114">
        <v>25</v>
      </c>
      <c r="L858" s="216" t="s">
        <v>865</v>
      </c>
      <c r="M858" s="216"/>
      <c r="N858" s="216"/>
      <c r="O858" s="216"/>
      <c r="P858" s="216"/>
      <c r="Q858" s="216"/>
      <c r="R858" s="216"/>
      <c r="S858" s="216"/>
      <c r="T858" s="216"/>
      <c r="U858" s="216"/>
      <c r="V858" s="216"/>
      <c r="W858" s="216"/>
      <c r="X858" s="216"/>
    </row>
    <row r="859" spans="1:24" ht="15.75" customHeight="1">
      <c r="A859" s="134" t="s">
        <v>3349</v>
      </c>
      <c r="B859" s="91" t="s">
        <v>3350</v>
      </c>
      <c r="C859" s="133" t="s">
        <v>141</v>
      </c>
      <c r="D859" s="134" t="s">
        <v>3293</v>
      </c>
      <c r="E859" s="382" t="s">
        <v>3294</v>
      </c>
      <c r="F859" s="238" t="s">
        <v>1338</v>
      </c>
      <c r="G859" s="99">
        <v>1</v>
      </c>
      <c r="H859" s="99">
        <v>1</v>
      </c>
      <c r="I859" s="99">
        <v>4</v>
      </c>
      <c r="J859" s="385">
        <v>50</v>
      </c>
      <c r="K859" s="114">
        <v>25</v>
      </c>
      <c r="L859" s="216" t="s">
        <v>865</v>
      </c>
      <c r="M859" s="216"/>
      <c r="N859" s="216"/>
      <c r="O859" s="216"/>
      <c r="P859" s="216"/>
      <c r="Q859" s="216"/>
      <c r="R859" s="216"/>
      <c r="S859" s="216"/>
      <c r="T859" s="216"/>
      <c r="U859" s="216"/>
      <c r="V859" s="216"/>
      <c r="W859" s="216"/>
      <c r="X859" s="216"/>
    </row>
    <row r="860" spans="1:24" ht="15.75" customHeight="1">
      <c r="A860" s="134" t="s">
        <v>3351</v>
      </c>
      <c r="B860" s="91" t="s">
        <v>3352</v>
      </c>
      <c r="C860" s="133" t="s">
        <v>141</v>
      </c>
      <c r="D860" s="134" t="s">
        <v>3353</v>
      </c>
      <c r="E860" s="382" t="s">
        <v>3354</v>
      </c>
      <c r="F860" s="238" t="s">
        <v>1338</v>
      </c>
      <c r="G860" s="99">
        <v>1</v>
      </c>
      <c r="H860" s="99">
        <v>1</v>
      </c>
      <c r="I860" s="99">
        <v>4</v>
      </c>
      <c r="J860" s="385">
        <v>50</v>
      </c>
      <c r="K860" s="114">
        <v>25</v>
      </c>
      <c r="L860" s="216" t="s">
        <v>865</v>
      </c>
      <c r="M860" s="216"/>
      <c r="N860" s="216"/>
      <c r="O860" s="216"/>
      <c r="P860" s="216"/>
      <c r="Q860" s="216"/>
      <c r="R860" s="216"/>
      <c r="S860" s="216"/>
      <c r="T860" s="216"/>
      <c r="U860" s="216"/>
      <c r="V860" s="216"/>
      <c r="W860" s="216"/>
      <c r="X860" s="216"/>
    </row>
    <row r="861" spans="1:24" ht="15.75" customHeight="1">
      <c r="A861" s="134" t="s">
        <v>3351</v>
      </c>
      <c r="B861" s="91" t="s">
        <v>3352</v>
      </c>
      <c r="C861" s="133" t="s">
        <v>141</v>
      </c>
      <c r="D861" s="134" t="s">
        <v>3355</v>
      </c>
      <c r="E861" s="382" t="s">
        <v>3356</v>
      </c>
      <c r="F861" s="238" t="s">
        <v>1338</v>
      </c>
      <c r="G861" s="99">
        <v>1</v>
      </c>
      <c r="H861" s="99">
        <v>1</v>
      </c>
      <c r="I861" s="99">
        <v>4</v>
      </c>
      <c r="J861" s="385">
        <v>50</v>
      </c>
      <c r="K861" s="114">
        <v>25</v>
      </c>
      <c r="L861" s="216" t="s">
        <v>865</v>
      </c>
      <c r="M861" s="216"/>
      <c r="N861" s="216"/>
      <c r="O861" s="216"/>
      <c r="P861" s="216"/>
      <c r="Q861" s="216"/>
      <c r="R861" s="216"/>
      <c r="S861" s="216"/>
      <c r="T861" s="216"/>
      <c r="U861" s="216"/>
      <c r="V861" s="216"/>
      <c r="W861" s="216"/>
      <c r="X861" s="216"/>
    </row>
    <row r="862" spans="1:24" ht="15.75" customHeight="1">
      <c r="A862" s="134" t="s">
        <v>3351</v>
      </c>
      <c r="B862" s="91" t="s">
        <v>3352</v>
      </c>
      <c r="C862" s="133" t="s">
        <v>141</v>
      </c>
      <c r="D862" s="134" t="s">
        <v>3357</v>
      </c>
      <c r="E862" s="382" t="s">
        <v>3358</v>
      </c>
      <c r="F862" s="238" t="s">
        <v>1338</v>
      </c>
      <c r="G862" s="99">
        <v>1</v>
      </c>
      <c r="H862" s="99">
        <v>1</v>
      </c>
      <c r="I862" s="99">
        <v>4</v>
      </c>
      <c r="J862" s="385">
        <v>50</v>
      </c>
      <c r="K862" s="114">
        <v>25</v>
      </c>
      <c r="L862" s="216" t="s">
        <v>865</v>
      </c>
      <c r="M862" s="216"/>
      <c r="N862" s="216"/>
      <c r="O862" s="216"/>
      <c r="P862" s="216"/>
      <c r="Q862" s="216"/>
      <c r="R862" s="216"/>
      <c r="S862" s="216"/>
      <c r="T862" s="216"/>
      <c r="U862" s="216"/>
      <c r="V862" s="216"/>
      <c r="W862" s="216"/>
      <c r="X862" s="216"/>
    </row>
    <row r="863" spans="1:24" ht="15.75" customHeight="1">
      <c r="A863" s="134" t="s">
        <v>3359</v>
      </c>
      <c r="B863" s="91" t="s">
        <v>3360</v>
      </c>
      <c r="C863" s="133" t="s">
        <v>141</v>
      </c>
      <c r="D863" s="134" t="s">
        <v>3361</v>
      </c>
      <c r="E863" s="382" t="s">
        <v>3362</v>
      </c>
      <c r="F863" s="238" t="s">
        <v>1338</v>
      </c>
      <c r="G863" s="99">
        <v>1</v>
      </c>
      <c r="H863" s="99">
        <v>1</v>
      </c>
      <c r="I863" s="99">
        <v>4</v>
      </c>
      <c r="J863" s="385">
        <v>50</v>
      </c>
      <c r="K863" s="114">
        <v>25</v>
      </c>
      <c r="L863" s="216" t="s">
        <v>865</v>
      </c>
      <c r="M863" s="216"/>
      <c r="N863" s="216"/>
      <c r="O863" s="216"/>
      <c r="P863" s="216"/>
      <c r="Q863" s="216"/>
      <c r="R863" s="216"/>
      <c r="S863" s="216"/>
      <c r="T863" s="216"/>
      <c r="U863" s="216"/>
      <c r="V863" s="216"/>
      <c r="W863" s="216"/>
      <c r="X863" s="216"/>
    </row>
    <row r="864" spans="1:24" ht="15.75" customHeight="1">
      <c r="A864" s="134" t="s">
        <v>3363</v>
      </c>
      <c r="B864" s="91" t="s">
        <v>3364</v>
      </c>
      <c r="C864" s="133" t="s">
        <v>141</v>
      </c>
      <c r="D864" s="134" t="s">
        <v>3365</v>
      </c>
      <c r="E864" s="382" t="s">
        <v>3366</v>
      </c>
      <c r="F864" s="238" t="s">
        <v>1338</v>
      </c>
      <c r="G864" s="99">
        <v>3</v>
      </c>
      <c r="H864" s="99">
        <v>3</v>
      </c>
      <c r="I864" s="99">
        <v>3</v>
      </c>
      <c r="J864" s="385">
        <v>50</v>
      </c>
      <c r="K864" s="114">
        <v>16.66</v>
      </c>
      <c r="L864" s="216" t="s">
        <v>865</v>
      </c>
      <c r="M864" s="216"/>
      <c r="N864" s="216"/>
      <c r="O864" s="216"/>
      <c r="P864" s="216"/>
      <c r="Q864" s="216"/>
      <c r="R864" s="216"/>
      <c r="S864" s="216"/>
      <c r="T864" s="216"/>
      <c r="U864" s="216"/>
      <c r="V864" s="216"/>
      <c r="W864" s="216"/>
      <c r="X864" s="216"/>
    </row>
    <row r="865" spans="1:24" ht="15.75" customHeight="1">
      <c r="A865" s="134" t="s">
        <v>3367</v>
      </c>
      <c r="B865" s="91" t="s">
        <v>3368</v>
      </c>
      <c r="C865" s="133" t="s">
        <v>141</v>
      </c>
      <c r="D865" s="134" t="s">
        <v>3369</v>
      </c>
      <c r="E865" s="382" t="s">
        <v>3370</v>
      </c>
      <c r="F865" s="238" t="s">
        <v>1338</v>
      </c>
      <c r="G865" s="99">
        <v>2</v>
      </c>
      <c r="H865" s="99">
        <v>2</v>
      </c>
      <c r="I865" s="99">
        <v>3</v>
      </c>
      <c r="J865" s="385">
        <v>50</v>
      </c>
      <c r="K865" s="114">
        <v>25</v>
      </c>
      <c r="L865" s="216" t="s">
        <v>865</v>
      </c>
      <c r="M865" s="216"/>
      <c r="N865" s="216"/>
      <c r="O865" s="216"/>
      <c r="P865" s="216"/>
      <c r="Q865" s="216"/>
      <c r="R865" s="216"/>
      <c r="S865" s="216"/>
      <c r="T865" s="216"/>
      <c r="U865" s="216"/>
      <c r="V865" s="216"/>
      <c r="W865" s="216"/>
      <c r="X865" s="216"/>
    </row>
    <row r="866" spans="1:24" ht="15.75" customHeight="1">
      <c r="A866" s="134" t="s">
        <v>3367</v>
      </c>
      <c r="B866" s="91" t="s">
        <v>3368</v>
      </c>
      <c r="C866" s="133" t="s">
        <v>141</v>
      </c>
      <c r="D866" s="134" t="s">
        <v>3371</v>
      </c>
      <c r="E866" s="382" t="s">
        <v>3372</v>
      </c>
      <c r="F866" s="238" t="s">
        <v>635</v>
      </c>
      <c r="G866" s="99">
        <v>2</v>
      </c>
      <c r="H866" s="99">
        <v>2</v>
      </c>
      <c r="I866" s="99">
        <v>3</v>
      </c>
      <c r="J866" s="385">
        <v>50</v>
      </c>
      <c r="K866" s="114">
        <v>25</v>
      </c>
      <c r="L866" s="216" t="s">
        <v>865</v>
      </c>
      <c r="M866" s="216"/>
      <c r="N866" s="216"/>
      <c r="O866" s="216"/>
      <c r="P866" s="216"/>
      <c r="Q866" s="216"/>
      <c r="R866" s="216"/>
      <c r="S866" s="216"/>
      <c r="T866" s="216"/>
      <c r="U866" s="216"/>
      <c r="V866" s="216"/>
      <c r="W866" s="216"/>
      <c r="X866" s="216"/>
    </row>
    <row r="867" spans="1:24" ht="15.75" customHeight="1">
      <c r="A867" s="134" t="s">
        <v>3367</v>
      </c>
      <c r="B867" s="91" t="s">
        <v>3368</v>
      </c>
      <c r="C867" s="133" t="s">
        <v>141</v>
      </c>
      <c r="D867" s="134" t="s">
        <v>3373</v>
      </c>
      <c r="E867" s="382" t="s">
        <v>3374</v>
      </c>
      <c r="F867" s="238" t="s">
        <v>635</v>
      </c>
      <c r="G867" s="99">
        <v>2</v>
      </c>
      <c r="H867" s="99">
        <v>2</v>
      </c>
      <c r="I867" s="99">
        <v>3</v>
      </c>
      <c r="J867" s="385">
        <v>50</v>
      </c>
      <c r="K867" s="114">
        <v>25</v>
      </c>
      <c r="L867" s="216" t="s">
        <v>865</v>
      </c>
      <c r="M867" s="216"/>
      <c r="N867" s="216"/>
      <c r="O867" s="216"/>
      <c r="P867" s="216"/>
      <c r="Q867" s="216"/>
      <c r="R867" s="216"/>
      <c r="S867" s="216"/>
      <c r="T867" s="216"/>
      <c r="U867" s="216"/>
      <c r="V867" s="216"/>
      <c r="W867" s="216"/>
      <c r="X867" s="216"/>
    </row>
    <row r="868" spans="1:24" ht="15.75" customHeight="1">
      <c r="A868" s="134" t="s">
        <v>3367</v>
      </c>
      <c r="B868" s="91" t="s">
        <v>3368</v>
      </c>
      <c r="C868" s="133" t="s">
        <v>141</v>
      </c>
      <c r="D868" s="134" t="s">
        <v>3375</v>
      </c>
      <c r="E868" s="382" t="s">
        <v>3376</v>
      </c>
      <c r="F868" s="238" t="s">
        <v>635</v>
      </c>
      <c r="G868" s="99">
        <v>2</v>
      </c>
      <c r="H868" s="99">
        <v>2</v>
      </c>
      <c r="I868" s="99">
        <v>3</v>
      </c>
      <c r="J868" s="385">
        <v>50</v>
      </c>
      <c r="K868" s="114">
        <v>25</v>
      </c>
      <c r="L868" s="216" t="s">
        <v>865</v>
      </c>
      <c r="M868" s="216"/>
      <c r="N868" s="216"/>
      <c r="O868" s="216"/>
      <c r="P868" s="216"/>
      <c r="Q868" s="216"/>
      <c r="R868" s="216"/>
      <c r="S868" s="216"/>
      <c r="T868" s="216"/>
      <c r="U868" s="216"/>
      <c r="V868" s="216"/>
      <c r="W868" s="216"/>
      <c r="X868" s="216"/>
    </row>
    <row r="869" spans="1:24" ht="15.75" customHeight="1">
      <c r="A869" s="134" t="s">
        <v>3377</v>
      </c>
      <c r="B869" s="91" t="s">
        <v>3378</v>
      </c>
      <c r="C869" s="133" t="s">
        <v>141</v>
      </c>
      <c r="D869" s="134" t="s">
        <v>3379</v>
      </c>
      <c r="E869" s="382" t="s">
        <v>2512</v>
      </c>
      <c r="F869" s="238" t="s">
        <v>635</v>
      </c>
      <c r="G869" s="99">
        <v>4</v>
      </c>
      <c r="H869" s="99">
        <v>4</v>
      </c>
      <c r="I869" s="99">
        <v>4</v>
      </c>
      <c r="J869" s="385">
        <v>50</v>
      </c>
      <c r="K869" s="114">
        <v>12.5</v>
      </c>
      <c r="L869" s="216" t="s">
        <v>865</v>
      </c>
      <c r="M869" s="216"/>
      <c r="N869" s="216"/>
      <c r="O869" s="216"/>
      <c r="P869" s="216"/>
      <c r="Q869" s="216"/>
      <c r="R869" s="216"/>
      <c r="S869" s="216"/>
      <c r="T869" s="216"/>
      <c r="U869" s="216"/>
      <c r="V869" s="216"/>
      <c r="W869" s="216"/>
      <c r="X869" s="216"/>
    </row>
    <row r="870" spans="1:24" ht="15.75" customHeight="1">
      <c r="A870" s="134" t="s">
        <v>3380</v>
      </c>
      <c r="B870" s="91" t="s">
        <v>3381</v>
      </c>
      <c r="C870" s="133" t="s">
        <v>141</v>
      </c>
      <c r="D870" s="134" t="s">
        <v>3357</v>
      </c>
      <c r="E870" s="382" t="s">
        <v>3358</v>
      </c>
      <c r="F870" s="238" t="s">
        <v>1338</v>
      </c>
      <c r="G870" s="99">
        <v>1</v>
      </c>
      <c r="H870" s="99">
        <v>1</v>
      </c>
      <c r="I870" s="99">
        <v>9</v>
      </c>
      <c r="J870" s="385">
        <v>50</v>
      </c>
      <c r="K870" s="114">
        <v>50</v>
      </c>
      <c r="L870" s="216" t="s">
        <v>865</v>
      </c>
      <c r="M870" s="216"/>
      <c r="N870" s="216"/>
      <c r="O870" s="216"/>
      <c r="P870" s="216"/>
      <c r="Q870" s="216"/>
      <c r="R870" s="216"/>
      <c r="S870" s="216"/>
      <c r="T870" s="216"/>
      <c r="U870" s="216"/>
      <c r="V870" s="216"/>
      <c r="W870" s="216"/>
      <c r="X870" s="216"/>
    </row>
    <row r="871" spans="1:24" ht="15.75" customHeight="1">
      <c r="A871" s="134" t="s">
        <v>3382</v>
      </c>
      <c r="B871" s="91" t="s">
        <v>3383</v>
      </c>
      <c r="C871" s="133" t="s">
        <v>141</v>
      </c>
      <c r="D871" s="134" t="s">
        <v>3384</v>
      </c>
      <c r="E871" s="378" t="s">
        <v>3385</v>
      </c>
      <c r="F871" s="378" t="s">
        <v>3386</v>
      </c>
      <c r="G871" s="379">
        <v>2</v>
      </c>
      <c r="H871" s="379">
        <v>2</v>
      </c>
      <c r="I871" s="379">
        <v>2</v>
      </c>
      <c r="J871" s="272">
        <v>50</v>
      </c>
      <c r="K871" s="114">
        <v>25</v>
      </c>
      <c r="L871" s="216" t="s">
        <v>890</v>
      </c>
      <c r="M871" s="216"/>
      <c r="N871" s="216"/>
      <c r="O871" s="216"/>
      <c r="P871" s="216"/>
      <c r="Q871" s="216"/>
      <c r="R871" s="216"/>
      <c r="S871" s="216"/>
      <c r="T871" s="216"/>
      <c r="U871" s="216"/>
      <c r="V871" s="216"/>
      <c r="W871" s="216"/>
      <c r="X871" s="216"/>
    </row>
    <row r="872" spans="1:24" ht="15.75" customHeight="1">
      <c r="A872" s="134" t="s">
        <v>3382</v>
      </c>
      <c r="B872" s="91" t="s">
        <v>3383</v>
      </c>
      <c r="C872" s="133" t="s">
        <v>141</v>
      </c>
      <c r="D872" s="134" t="s">
        <v>3387</v>
      </c>
      <c r="E872" s="382" t="s">
        <v>524</v>
      </c>
      <c r="F872" s="405" t="s">
        <v>523</v>
      </c>
      <c r="G872" s="379">
        <v>2</v>
      </c>
      <c r="H872" s="379">
        <v>2</v>
      </c>
      <c r="I872" s="379">
        <v>2</v>
      </c>
      <c r="J872" s="272">
        <v>50</v>
      </c>
      <c r="K872" s="114">
        <v>25</v>
      </c>
      <c r="L872" s="216" t="s">
        <v>890</v>
      </c>
      <c r="M872" s="216"/>
      <c r="N872" s="216"/>
      <c r="O872" s="216"/>
      <c r="P872" s="216"/>
      <c r="Q872" s="216"/>
      <c r="R872" s="216"/>
      <c r="S872" s="216"/>
      <c r="T872" s="216"/>
      <c r="U872" s="216"/>
      <c r="V872" s="216"/>
      <c r="W872" s="216"/>
      <c r="X872" s="216"/>
    </row>
    <row r="873" spans="1:24" ht="15.75" customHeight="1">
      <c r="A873" s="134" t="s">
        <v>3382</v>
      </c>
      <c r="B873" s="91" t="s">
        <v>3383</v>
      </c>
      <c r="C873" s="133" t="s">
        <v>141</v>
      </c>
      <c r="D873" s="134" t="s">
        <v>3388</v>
      </c>
      <c r="E873" s="382" t="s">
        <v>514</v>
      </c>
      <c r="F873" s="405" t="s">
        <v>513</v>
      </c>
      <c r="G873" s="379">
        <v>2</v>
      </c>
      <c r="H873" s="379">
        <v>2</v>
      </c>
      <c r="I873" s="379">
        <v>2</v>
      </c>
      <c r="J873" s="272">
        <v>50</v>
      </c>
      <c r="K873" s="114">
        <v>25</v>
      </c>
      <c r="L873" s="216" t="s">
        <v>890</v>
      </c>
      <c r="M873" s="216"/>
      <c r="N873" s="216"/>
      <c r="O873" s="216"/>
      <c r="P873" s="216"/>
      <c r="Q873" s="216"/>
      <c r="R873" s="216"/>
      <c r="S873" s="216"/>
      <c r="T873" s="216"/>
      <c r="U873" s="216"/>
      <c r="V873" s="216"/>
      <c r="W873" s="216"/>
      <c r="X873" s="216"/>
    </row>
    <row r="874" spans="1:24" ht="15.75" customHeight="1">
      <c r="A874" s="134" t="s">
        <v>3389</v>
      </c>
      <c r="B874" s="91" t="s">
        <v>3390</v>
      </c>
      <c r="C874" s="133" t="s">
        <v>141</v>
      </c>
      <c r="D874" s="134" t="s">
        <v>3391</v>
      </c>
      <c r="E874" s="382" t="s">
        <v>3370</v>
      </c>
      <c r="F874" s="405" t="s">
        <v>3392</v>
      </c>
      <c r="G874" s="379">
        <v>2</v>
      </c>
      <c r="H874" s="379">
        <v>2</v>
      </c>
      <c r="I874" s="379">
        <v>3</v>
      </c>
      <c r="J874" s="272">
        <v>50</v>
      </c>
      <c r="K874" s="114">
        <v>25</v>
      </c>
      <c r="L874" s="216" t="s">
        <v>890</v>
      </c>
      <c r="M874" s="216"/>
      <c r="N874" s="216"/>
      <c r="O874" s="216"/>
      <c r="P874" s="216"/>
      <c r="Q874" s="216"/>
      <c r="R874" s="216"/>
      <c r="S874" s="216"/>
      <c r="T874" s="216"/>
      <c r="U874" s="216"/>
      <c r="V874" s="216"/>
      <c r="W874" s="216"/>
      <c r="X874" s="216"/>
    </row>
    <row r="875" spans="1:24" ht="15.75" customHeight="1">
      <c r="A875" s="134" t="s">
        <v>3389</v>
      </c>
      <c r="B875" s="91" t="s">
        <v>3390</v>
      </c>
      <c r="C875" s="133" t="s">
        <v>141</v>
      </c>
      <c r="D875" s="134" t="s">
        <v>3393</v>
      </c>
      <c r="E875" s="382" t="s">
        <v>3394</v>
      </c>
      <c r="F875" s="405" t="s">
        <v>3395</v>
      </c>
      <c r="G875" s="379">
        <v>2</v>
      </c>
      <c r="H875" s="379">
        <v>2</v>
      </c>
      <c r="I875" s="379">
        <v>3</v>
      </c>
      <c r="J875" s="272">
        <v>50</v>
      </c>
      <c r="K875" s="114">
        <v>25</v>
      </c>
      <c r="L875" s="216" t="s">
        <v>890</v>
      </c>
      <c r="M875" s="216"/>
      <c r="N875" s="216"/>
      <c r="O875" s="216"/>
      <c r="P875" s="216"/>
      <c r="Q875" s="216"/>
      <c r="R875" s="216"/>
      <c r="S875" s="216"/>
      <c r="T875" s="216"/>
      <c r="U875" s="216"/>
      <c r="V875" s="216"/>
      <c r="W875" s="216"/>
      <c r="X875" s="216"/>
    </row>
    <row r="876" spans="1:24" ht="15.75" customHeight="1">
      <c r="A876" s="134" t="s">
        <v>3389</v>
      </c>
      <c r="B876" s="91" t="s">
        <v>3390</v>
      </c>
      <c r="C876" s="133" t="s">
        <v>141</v>
      </c>
      <c r="D876" s="134" t="s">
        <v>3396</v>
      </c>
      <c r="E876" s="382" t="s">
        <v>3374</v>
      </c>
      <c r="F876" s="405" t="s">
        <v>3397</v>
      </c>
      <c r="G876" s="379">
        <v>2</v>
      </c>
      <c r="H876" s="379">
        <v>2</v>
      </c>
      <c r="I876" s="379">
        <v>3</v>
      </c>
      <c r="J876" s="272">
        <v>50</v>
      </c>
      <c r="K876" s="114">
        <v>25</v>
      </c>
      <c r="L876" s="216" t="s">
        <v>890</v>
      </c>
      <c r="M876" s="216"/>
      <c r="N876" s="216"/>
      <c r="O876" s="216"/>
      <c r="P876" s="216"/>
      <c r="Q876" s="216"/>
      <c r="R876" s="216"/>
      <c r="S876" s="216"/>
      <c r="T876" s="216"/>
      <c r="U876" s="216"/>
      <c r="V876" s="216"/>
      <c r="W876" s="216"/>
      <c r="X876" s="216"/>
    </row>
    <row r="877" spans="1:24" ht="15.75" customHeight="1">
      <c r="A877" s="134" t="s">
        <v>3398</v>
      </c>
      <c r="B877" s="134" t="s">
        <v>3399</v>
      </c>
      <c r="C877" s="99" t="s">
        <v>141</v>
      </c>
      <c r="D877" s="134" t="s">
        <v>3388</v>
      </c>
      <c r="E877" s="382" t="s">
        <v>514</v>
      </c>
      <c r="F877" s="405" t="s">
        <v>513</v>
      </c>
      <c r="G877" s="99">
        <v>5</v>
      </c>
      <c r="H877" s="99">
        <v>5</v>
      </c>
      <c r="I877" s="99">
        <v>5</v>
      </c>
      <c r="J877" s="385">
        <v>50</v>
      </c>
      <c r="K877" s="114">
        <v>10</v>
      </c>
      <c r="L877" s="216" t="s">
        <v>890</v>
      </c>
      <c r="M877" s="216"/>
      <c r="N877" s="216"/>
      <c r="O877" s="216"/>
      <c r="P877" s="216"/>
      <c r="Q877" s="216"/>
      <c r="R877" s="216"/>
      <c r="S877" s="216"/>
      <c r="T877" s="216"/>
      <c r="U877" s="216"/>
      <c r="V877" s="216"/>
      <c r="W877" s="216"/>
      <c r="X877" s="216"/>
    </row>
    <row r="878" spans="1:24" ht="15.75" customHeight="1">
      <c r="A878" s="134" t="s">
        <v>3398</v>
      </c>
      <c r="B878" s="134" t="s">
        <v>3399</v>
      </c>
      <c r="C878" s="99" t="s">
        <v>141</v>
      </c>
      <c r="D878" s="134" t="s">
        <v>3400</v>
      </c>
      <c r="E878" s="382" t="s">
        <v>836</v>
      </c>
      <c r="F878" s="405" t="s">
        <v>3401</v>
      </c>
      <c r="G878" s="99">
        <v>5</v>
      </c>
      <c r="H878" s="99">
        <v>5</v>
      </c>
      <c r="I878" s="99">
        <v>5</v>
      </c>
      <c r="J878" s="385">
        <v>50</v>
      </c>
      <c r="K878" s="114">
        <v>10</v>
      </c>
      <c r="L878" s="216" t="s">
        <v>890</v>
      </c>
      <c r="M878" s="216"/>
      <c r="N878" s="216"/>
      <c r="O878" s="216"/>
      <c r="P878" s="216"/>
      <c r="Q878" s="216"/>
      <c r="R878" s="216"/>
      <c r="S878" s="216"/>
      <c r="T878" s="216"/>
      <c r="U878" s="216"/>
      <c r="V878" s="216"/>
      <c r="W878" s="216"/>
      <c r="X878" s="216"/>
    </row>
    <row r="879" spans="1:24" ht="15.75" customHeight="1">
      <c r="A879" s="134" t="s">
        <v>3398</v>
      </c>
      <c r="B879" s="134" t="s">
        <v>3399</v>
      </c>
      <c r="C879" s="99" t="s">
        <v>141</v>
      </c>
      <c r="D879" s="134" t="s">
        <v>3402</v>
      </c>
      <c r="E879" s="382" t="s">
        <v>3403</v>
      </c>
      <c r="F879" s="405" t="s">
        <v>3404</v>
      </c>
      <c r="G879" s="99">
        <v>5</v>
      </c>
      <c r="H879" s="99">
        <v>5</v>
      </c>
      <c r="I879" s="99">
        <v>5</v>
      </c>
      <c r="J879" s="385">
        <v>50</v>
      </c>
      <c r="K879" s="114">
        <v>10</v>
      </c>
      <c r="L879" s="216" t="s">
        <v>890</v>
      </c>
      <c r="M879" s="216"/>
      <c r="N879" s="216"/>
      <c r="O879" s="216"/>
      <c r="P879" s="216"/>
      <c r="Q879" s="216"/>
      <c r="R879" s="216"/>
      <c r="S879" s="216"/>
      <c r="T879" s="216"/>
      <c r="U879" s="216"/>
      <c r="V879" s="216"/>
      <c r="W879" s="216"/>
      <c r="X879" s="216"/>
    </row>
    <row r="880" spans="1:24" ht="15.75" customHeight="1">
      <c r="A880" s="134" t="s">
        <v>3405</v>
      </c>
      <c r="B880" s="134" t="s">
        <v>3406</v>
      </c>
      <c r="C880" s="99" t="s">
        <v>141</v>
      </c>
      <c r="D880" s="134" t="s">
        <v>3407</v>
      </c>
      <c r="E880" s="382" t="s">
        <v>3408</v>
      </c>
      <c r="F880" s="405" t="s">
        <v>3409</v>
      </c>
      <c r="G880" s="99">
        <v>5</v>
      </c>
      <c r="H880" s="99">
        <v>1</v>
      </c>
      <c r="I880" s="99">
        <v>5</v>
      </c>
      <c r="J880" s="385">
        <v>50</v>
      </c>
      <c r="K880" s="114">
        <v>10</v>
      </c>
      <c r="L880" s="216" t="s">
        <v>890</v>
      </c>
      <c r="M880" s="216"/>
      <c r="N880" s="216"/>
      <c r="O880" s="216"/>
      <c r="P880" s="216"/>
      <c r="Q880" s="216"/>
      <c r="R880" s="216"/>
      <c r="S880" s="216"/>
      <c r="T880" s="216"/>
      <c r="U880" s="216"/>
      <c r="V880" s="216"/>
      <c r="W880" s="216"/>
      <c r="X880" s="216"/>
    </row>
    <row r="881" spans="1:24" ht="15.75" customHeight="1">
      <c r="A881" s="134" t="s">
        <v>3410</v>
      </c>
      <c r="B881" s="134" t="s">
        <v>3411</v>
      </c>
      <c r="C881" s="99" t="s">
        <v>141</v>
      </c>
      <c r="D881" s="134" t="s">
        <v>3412</v>
      </c>
      <c r="E881" s="382" t="s">
        <v>3413</v>
      </c>
      <c r="F881" s="405" t="s">
        <v>3414</v>
      </c>
      <c r="G881" s="99">
        <v>2</v>
      </c>
      <c r="H881" s="99">
        <v>1</v>
      </c>
      <c r="I881" s="99">
        <v>2</v>
      </c>
      <c r="J881" s="385">
        <v>50</v>
      </c>
      <c r="K881" s="114">
        <v>25</v>
      </c>
      <c r="L881" s="216" t="s">
        <v>890</v>
      </c>
      <c r="M881" s="216"/>
      <c r="N881" s="216"/>
      <c r="O881" s="216"/>
      <c r="P881" s="216"/>
      <c r="Q881" s="216"/>
      <c r="R881" s="216"/>
      <c r="S881" s="216"/>
      <c r="T881" s="216"/>
      <c r="U881" s="216"/>
      <c r="V881" s="216"/>
      <c r="W881" s="216"/>
      <c r="X881" s="216"/>
    </row>
    <row r="882" spans="1:24" ht="15.75" customHeight="1">
      <c r="A882" s="302" t="s">
        <v>2812</v>
      </c>
      <c r="B882" s="290" t="s">
        <v>2813</v>
      </c>
      <c r="C882" s="228" t="s">
        <v>141</v>
      </c>
      <c r="D882" s="290" t="s">
        <v>2814</v>
      </c>
      <c r="E882" s="490" t="s">
        <v>2815</v>
      </c>
      <c r="F882" s="493" t="s">
        <v>230</v>
      </c>
      <c r="G882" s="379">
        <v>2</v>
      </c>
      <c r="H882" s="379">
        <v>2</v>
      </c>
      <c r="I882" s="379">
        <v>2</v>
      </c>
      <c r="J882" s="272">
        <v>50</v>
      </c>
      <c r="K882" s="134">
        <v>25</v>
      </c>
      <c r="L882" s="216" t="s">
        <v>3415</v>
      </c>
      <c r="M882" s="216"/>
      <c r="N882" s="216"/>
      <c r="O882" s="216"/>
      <c r="P882" s="216"/>
      <c r="Q882" s="216"/>
      <c r="R882" s="216"/>
      <c r="S882" s="216"/>
      <c r="T882" s="216"/>
      <c r="U882" s="216"/>
      <c r="V882" s="216"/>
      <c r="W882" s="216"/>
      <c r="X882" s="216"/>
    </row>
    <row r="883" spans="1:24" ht="15.75" customHeight="1">
      <c r="A883" s="302" t="s">
        <v>2812</v>
      </c>
      <c r="B883" s="290" t="s">
        <v>2813</v>
      </c>
      <c r="C883" s="228" t="s">
        <v>141</v>
      </c>
      <c r="D883" s="290" t="s">
        <v>3416</v>
      </c>
      <c r="E883" s="490" t="s">
        <v>2817</v>
      </c>
      <c r="F883" s="493" t="s">
        <v>230</v>
      </c>
      <c r="G883" s="379">
        <v>2</v>
      </c>
      <c r="H883" s="379">
        <v>2</v>
      </c>
      <c r="I883" s="379">
        <v>2</v>
      </c>
      <c r="J883" s="272">
        <v>50</v>
      </c>
      <c r="K883" s="134">
        <v>25</v>
      </c>
      <c r="L883" s="216" t="s">
        <v>3415</v>
      </c>
      <c r="M883" s="216"/>
      <c r="N883" s="216"/>
      <c r="O883" s="216"/>
      <c r="P883" s="216"/>
      <c r="Q883" s="216"/>
      <c r="R883" s="216"/>
      <c r="S883" s="216"/>
      <c r="T883" s="216"/>
      <c r="U883" s="216"/>
      <c r="V883" s="216"/>
      <c r="W883" s="216"/>
      <c r="X883" s="216"/>
    </row>
    <row r="884" spans="1:24" ht="15.75" customHeight="1">
      <c r="A884" s="301" t="s">
        <v>2883</v>
      </c>
      <c r="B884" s="515" t="s">
        <v>2884</v>
      </c>
      <c r="C884" s="301" t="s">
        <v>141</v>
      </c>
      <c r="D884" s="515" t="s">
        <v>2885</v>
      </c>
      <c r="E884" s="301" t="s">
        <v>2886</v>
      </c>
      <c r="F884" s="516" t="s">
        <v>1338</v>
      </c>
      <c r="G884" s="519">
        <v>12</v>
      </c>
      <c r="H884" s="519">
        <v>8</v>
      </c>
      <c r="I884" s="519">
        <v>14</v>
      </c>
      <c r="J884" s="519">
        <v>50</v>
      </c>
      <c r="K884" s="517">
        <v>4.17</v>
      </c>
      <c r="L884" s="216" t="s">
        <v>3417</v>
      </c>
      <c r="M884" s="216"/>
      <c r="N884" s="216"/>
      <c r="O884" s="216"/>
      <c r="P884" s="216"/>
      <c r="Q884" s="216"/>
      <c r="R884" s="216"/>
      <c r="S884" s="216"/>
      <c r="T884" s="216"/>
      <c r="U884" s="216"/>
      <c r="V884" s="216"/>
      <c r="W884" s="216"/>
      <c r="X884" s="216"/>
    </row>
    <row r="885" spans="1:24" ht="15.75" customHeight="1">
      <c r="A885" s="301" t="s">
        <v>2883</v>
      </c>
      <c r="B885" s="515" t="s">
        <v>2884</v>
      </c>
      <c r="C885" s="301" t="s">
        <v>141</v>
      </c>
      <c r="D885" s="515" t="s">
        <v>2887</v>
      </c>
      <c r="E885" s="515" t="s">
        <v>2888</v>
      </c>
      <c r="F885" s="516" t="s">
        <v>1338</v>
      </c>
      <c r="G885" s="519">
        <v>12</v>
      </c>
      <c r="H885" s="519">
        <v>8</v>
      </c>
      <c r="I885" s="519">
        <v>14</v>
      </c>
      <c r="J885" s="519">
        <v>50</v>
      </c>
      <c r="K885" s="517">
        <v>4.17</v>
      </c>
      <c r="L885" s="216" t="s">
        <v>3417</v>
      </c>
      <c r="M885" s="216"/>
      <c r="N885" s="216"/>
      <c r="O885" s="216"/>
      <c r="P885" s="216"/>
      <c r="Q885" s="216"/>
      <c r="R885" s="216"/>
      <c r="S885" s="216"/>
      <c r="T885" s="216"/>
      <c r="U885" s="216"/>
      <c r="V885" s="216"/>
      <c r="W885" s="216"/>
      <c r="X885" s="216"/>
    </row>
    <row r="886" spans="1:24" ht="15.75" customHeight="1">
      <c r="A886" s="301" t="s">
        <v>2883</v>
      </c>
      <c r="B886" s="515" t="s">
        <v>2884</v>
      </c>
      <c r="C886" s="301" t="s">
        <v>141</v>
      </c>
      <c r="D886" s="515" t="s">
        <v>2889</v>
      </c>
      <c r="E886" s="301" t="s">
        <v>2890</v>
      </c>
      <c r="F886" s="516" t="s">
        <v>1338</v>
      </c>
      <c r="G886" s="519">
        <v>12</v>
      </c>
      <c r="H886" s="519">
        <v>8</v>
      </c>
      <c r="I886" s="519">
        <v>14</v>
      </c>
      <c r="J886" s="519">
        <v>50</v>
      </c>
      <c r="K886" s="517">
        <v>4.17</v>
      </c>
      <c r="L886" s="216" t="s">
        <v>3417</v>
      </c>
      <c r="M886" s="216"/>
      <c r="N886" s="216"/>
      <c r="O886" s="216"/>
      <c r="P886" s="216"/>
      <c r="Q886" s="216"/>
      <c r="R886" s="216"/>
      <c r="S886" s="216"/>
      <c r="T886" s="216"/>
      <c r="U886" s="216"/>
      <c r="V886" s="216"/>
      <c r="W886" s="216"/>
      <c r="X886" s="216"/>
    </row>
    <row r="887" spans="1:24" ht="15.75" customHeight="1">
      <c r="A887" s="301" t="s">
        <v>2883</v>
      </c>
      <c r="B887" s="515" t="s">
        <v>2884</v>
      </c>
      <c r="C887" s="301" t="s">
        <v>141</v>
      </c>
      <c r="D887" s="515" t="s">
        <v>2891</v>
      </c>
      <c r="E887" s="301" t="s">
        <v>2892</v>
      </c>
      <c r="F887" s="516" t="s">
        <v>1338</v>
      </c>
      <c r="G887" s="519">
        <v>12</v>
      </c>
      <c r="H887" s="519">
        <v>8</v>
      </c>
      <c r="I887" s="519">
        <v>14</v>
      </c>
      <c r="J887" s="519">
        <v>50</v>
      </c>
      <c r="K887" s="517">
        <v>4.17</v>
      </c>
      <c r="L887" s="216" t="s">
        <v>3417</v>
      </c>
      <c r="M887" s="216"/>
      <c r="N887" s="216"/>
      <c r="O887" s="216"/>
      <c r="P887" s="216"/>
      <c r="Q887" s="216"/>
      <c r="R887" s="216"/>
      <c r="S887" s="216"/>
      <c r="T887" s="216"/>
      <c r="U887" s="216"/>
      <c r="V887" s="216"/>
      <c r="W887" s="216"/>
      <c r="X887" s="216"/>
    </row>
    <row r="888" spans="1:24" ht="15.75" customHeight="1">
      <c r="A888" s="301" t="s">
        <v>2883</v>
      </c>
      <c r="B888" s="515" t="s">
        <v>2884</v>
      </c>
      <c r="C888" s="301" t="s">
        <v>141</v>
      </c>
      <c r="D888" s="515" t="s">
        <v>2893</v>
      </c>
      <c r="E888" s="301" t="s">
        <v>2894</v>
      </c>
      <c r="F888" s="519" t="s">
        <v>1338</v>
      </c>
      <c r="G888" s="519">
        <v>12</v>
      </c>
      <c r="H888" s="519">
        <v>8</v>
      </c>
      <c r="I888" s="519">
        <v>14</v>
      </c>
      <c r="J888" s="519">
        <v>50</v>
      </c>
      <c r="K888" s="517">
        <v>4.16</v>
      </c>
      <c r="L888" s="216" t="s">
        <v>3417</v>
      </c>
      <c r="M888" s="216"/>
      <c r="N888" s="216"/>
      <c r="O888" s="216"/>
      <c r="P888" s="216"/>
      <c r="Q888" s="216"/>
      <c r="R888" s="216"/>
      <c r="S888" s="216"/>
      <c r="T888" s="216"/>
      <c r="U888" s="216"/>
      <c r="V888" s="216"/>
      <c r="W888" s="216"/>
      <c r="X888" s="216"/>
    </row>
    <row r="889" spans="1:24" ht="15.75" customHeight="1">
      <c r="A889" s="134" t="s">
        <v>3418</v>
      </c>
      <c r="B889" s="91" t="s">
        <v>3419</v>
      </c>
      <c r="C889" s="92" t="s">
        <v>141</v>
      </c>
      <c r="D889" s="134" t="s">
        <v>3420</v>
      </c>
      <c r="E889" s="545" t="s">
        <v>3421</v>
      </c>
      <c r="F889" s="99" t="s">
        <v>3422</v>
      </c>
      <c r="G889" s="119">
        <v>7</v>
      </c>
      <c r="H889" s="119">
        <v>1</v>
      </c>
      <c r="I889" s="119">
        <v>7</v>
      </c>
      <c r="J889" s="119">
        <v>50</v>
      </c>
      <c r="K889" s="528">
        <v>7.14</v>
      </c>
      <c r="L889" s="216" t="s">
        <v>906</v>
      </c>
      <c r="M889" s="216"/>
      <c r="N889" s="216"/>
      <c r="O889" s="216"/>
      <c r="P889" s="216"/>
      <c r="Q889" s="216"/>
      <c r="R889" s="216"/>
      <c r="S889" s="216"/>
      <c r="T889" s="216"/>
      <c r="U889" s="216"/>
      <c r="V889" s="216"/>
      <c r="W889" s="216"/>
      <c r="X889" s="216"/>
    </row>
    <row r="890" spans="1:24" ht="15.75" customHeight="1">
      <c r="A890" s="134" t="s">
        <v>3423</v>
      </c>
      <c r="B890" s="134" t="s">
        <v>3424</v>
      </c>
      <c r="C890" s="92" t="s">
        <v>141</v>
      </c>
      <c r="D890" s="134" t="s">
        <v>3425</v>
      </c>
      <c r="E890" s="546" t="s">
        <v>3426</v>
      </c>
      <c r="F890" s="99" t="s">
        <v>635</v>
      </c>
      <c r="G890" s="99">
        <v>5</v>
      </c>
      <c r="H890" s="99">
        <v>1</v>
      </c>
      <c r="I890" s="99">
        <v>5</v>
      </c>
      <c r="J890" s="383">
        <v>50</v>
      </c>
      <c r="K890" s="547">
        <v>10</v>
      </c>
      <c r="L890" s="216" t="s">
        <v>906</v>
      </c>
      <c r="M890" s="216"/>
      <c r="N890" s="216"/>
      <c r="O890" s="216"/>
      <c r="P890" s="216"/>
      <c r="Q890" s="216"/>
      <c r="R890" s="216"/>
      <c r="S890" s="216"/>
      <c r="T890" s="216"/>
      <c r="U890" s="216"/>
      <c r="V890" s="216"/>
      <c r="W890" s="216"/>
      <c r="X890" s="216"/>
    </row>
    <row r="891" spans="1:24" ht="15.75" customHeight="1">
      <c r="A891" s="134" t="s">
        <v>3427</v>
      </c>
      <c r="B891" s="91" t="s">
        <v>3428</v>
      </c>
      <c r="C891" s="92" t="s">
        <v>141</v>
      </c>
      <c r="D891" s="134" t="s">
        <v>3429</v>
      </c>
      <c r="E891" s="382" t="s">
        <v>3430</v>
      </c>
      <c r="F891" s="99" t="s">
        <v>3422</v>
      </c>
      <c r="G891" s="99">
        <v>3</v>
      </c>
      <c r="H891" s="99">
        <v>3</v>
      </c>
      <c r="I891" s="99">
        <v>3</v>
      </c>
      <c r="J891" s="383">
        <v>50</v>
      </c>
      <c r="K891" s="114">
        <v>16.670000000000002</v>
      </c>
      <c r="L891" s="216" t="s">
        <v>906</v>
      </c>
      <c r="M891" s="216"/>
      <c r="N891" s="216"/>
      <c r="O891" s="216"/>
      <c r="P891" s="216"/>
      <c r="Q891" s="216"/>
      <c r="R891" s="216"/>
      <c r="S891" s="216"/>
      <c r="T891" s="216"/>
      <c r="U891" s="216"/>
      <c r="V891" s="216"/>
      <c r="W891" s="216"/>
      <c r="X891" s="216"/>
    </row>
    <row r="892" spans="1:24" ht="15.75" customHeight="1">
      <c r="A892" s="134" t="s">
        <v>3431</v>
      </c>
      <c r="B892" s="134" t="s">
        <v>3432</v>
      </c>
      <c r="C892" s="92" t="s">
        <v>141</v>
      </c>
      <c r="D892" s="134" t="s">
        <v>3433</v>
      </c>
      <c r="E892" s="382" t="s">
        <v>3434</v>
      </c>
      <c r="F892" s="99" t="s">
        <v>3422</v>
      </c>
      <c r="G892" s="99">
        <v>5</v>
      </c>
      <c r="H892" s="99">
        <v>1</v>
      </c>
      <c r="I892" s="99">
        <v>5</v>
      </c>
      <c r="J892" s="383">
        <v>50</v>
      </c>
      <c r="K892" s="547">
        <v>10</v>
      </c>
      <c r="L892" s="216" t="s">
        <v>906</v>
      </c>
      <c r="M892" s="216"/>
      <c r="N892" s="216"/>
      <c r="O892" s="216"/>
      <c r="P892" s="216"/>
      <c r="Q892" s="216"/>
      <c r="R892" s="216"/>
      <c r="S892" s="216"/>
      <c r="T892" s="216"/>
      <c r="U892" s="216"/>
      <c r="V892" s="216"/>
      <c r="W892" s="216"/>
      <c r="X892" s="216"/>
    </row>
    <row r="893" spans="1:24" ht="15.75" customHeight="1">
      <c r="A893" s="134" t="s">
        <v>3435</v>
      </c>
      <c r="B893" s="134" t="s">
        <v>3436</v>
      </c>
      <c r="C893" s="92" t="s">
        <v>141</v>
      </c>
      <c r="D893" s="134" t="s">
        <v>3437</v>
      </c>
      <c r="E893" s="548" t="s">
        <v>3438</v>
      </c>
      <c r="F893" s="99" t="s">
        <v>635</v>
      </c>
      <c r="G893" s="99">
        <v>3</v>
      </c>
      <c r="H893" s="99">
        <v>3</v>
      </c>
      <c r="I893" s="99">
        <v>3</v>
      </c>
      <c r="J893" s="383">
        <v>50</v>
      </c>
      <c r="K893" s="114">
        <v>16.670000000000002</v>
      </c>
      <c r="L893" s="216" t="s">
        <v>906</v>
      </c>
      <c r="M893" s="216"/>
      <c r="N893" s="216"/>
      <c r="O893" s="216"/>
      <c r="P893" s="216"/>
      <c r="Q893" s="216"/>
      <c r="R893" s="216"/>
      <c r="S893" s="216"/>
      <c r="T893" s="216"/>
      <c r="U893" s="216"/>
      <c r="V893" s="216"/>
      <c r="W893" s="216"/>
      <c r="X893" s="216"/>
    </row>
    <row r="894" spans="1:24" ht="15.75" customHeight="1">
      <c r="A894" s="134" t="s">
        <v>3431</v>
      </c>
      <c r="B894" s="134" t="s">
        <v>3432</v>
      </c>
      <c r="C894" s="92" t="s">
        <v>141</v>
      </c>
      <c r="D894" s="134" t="s">
        <v>3439</v>
      </c>
      <c r="E894" s="382" t="s">
        <v>3440</v>
      </c>
      <c r="F894" s="99" t="s">
        <v>635</v>
      </c>
      <c r="G894" s="99">
        <v>5</v>
      </c>
      <c r="H894" s="99">
        <v>1</v>
      </c>
      <c r="I894" s="99">
        <v>5</v>
      </c>
      <c r="J894" s="383">
        <v>50</v>
      </c>
      <c r="K894" s="547">
        <v>10</v>
      </c>
      <c r="L894" s="216" t="s">
        <v>906</v>
      </c>
      <c r="M894" s="216"/>
      <c r="N894" s="216"/>
      <c r="O894" s="216"/>
      <c r="P894" s="216"/>
      <c r="Q894" s="216"/>
      <c r="R894" s="216"/>
      <c r="S894" s="216"/>
      <c r="T894" s="216"/>
      <c r="U894" s="216"/>
      <c r="V894" s="216"/>
      <c r="W894" s="216"/>
      <c r="X894" s="216"/>
    </row>
    <row r="895" spans="1:24" ht="15.75" customHeight="1">
      <c r="A895" s="134" t="s">
        <v>3441</v>
      </c>
      <c r="B895" s="134" t="s">
        <v>3442</v>
      </c>
      <c r="C895" s="92" t="s">
        <v>141</v>
      </c>
      <c r="D895" s="549" t="s">
        <v>3443</v>
      </c>
      <c r="E895" s="550" t="s">
        <v>3444</v>
      </c>
      <c r="F895" s="99" t="s">
        <v>3445</v>
      </c>
      <c r="G895" s="99">
        <v>3</v>
      </c>
      <c r="H895" s="99">
        <v>3</v>
      </c>
      <c r="I895" s="99">
        <v>3</v>
      </c>
      <c r="J895" s="383">
        <v>50</v>
      </c>
      <c r="K895" s="114">
        <v>16.670000000000002</v>
      </c>
      <c r="L895" s="216" t="s">
        <v>906</v>
      </c>
      <c r="M895" s="216"/>
      <c r="N895" s="216"/>
      <c r="O895" s="216"/>
      <c r="P895" s="216"/>
      <c r="Q895" s="216"/>
      <c r="R895" s="216"/>
      <c r="S895" s="216"/>
      <c r="T895" s="216"/>
      <c r="U895" s="216"/>
      <c r="V895" s="216"/>
      <c r="W895" s="216"/>
      <c r="X895" s="216"/>
    </row>
    <row r="896" spans="1:24" ht="15.75" customHeight="1">
      <c r="A896" s="134" t="s">
        <v>3446</v>
      </c>
      <c r="B896" s="99" t="s">
        <v>3447</v>
      </c>
      <c r="C896" s="99" t="s">
        <v>141</v>
      </c>
      <c r="D896" s="133" t="s">
        <v>3448</v>
      </c>
      <c r="E896" s="133" t="s">
        <v>3449</v>
      </c>
      <c r="F896" s="133" t="s">
        <v>2133</v>
      </c>
      <c r="G896" s="379">
        <v>1</v>
      </c>
      <c r="H896" s="379">
        <v>1</v>
      </c>
      <c r="I896" s="379">
        <v>3</v>
      </c>
      <c r="J896" s="272">
        <v>50</v>
      </c>
      <c r="K896" s="134">
        <v>50</v>
      </c>
      <c r="L896" s="216" t="s">
        <v>3450</v>
      </c>
      <c r="M896" s="216"/>
      <c r="N896" s="216"/>
      <c r="O896" s="216"/>
      <c r="P896" s="216"/>
      <c r="Q896" s="216"/>
      <c r="R896" s="216"/>
      <c r="S896" s="216"/>
      <c r="T896" s="216"/>
      <c r="U896" s="216"/>
      <c r="V896" s="216"/>
      <c r="W896" s="216"/>
      <c r="X896" s="216"/>
    </row>
    <row r="897" spans="1:24" ht="15.75" customHeight="1">
      <c r="A897" s="134" t="s">
        <v>3451</v>
      </c>
      <c r="B897" s="99" t="s">
        <v>3452</v>
      </c>
      <c r="C897" s="99" t="s">
        <v>141</v>
      </c>
      <c r="D897" s="131" t="s">
        <v>3448</v>
      </c>
      <c r="E897" s="131" t="s">
        <v>3453</v>
      </c>
      <c r="F897" s="133" t="s">
        <v>2133</v>
      </c>
      <c r="G897" s="99">
        <v>1</v>
      </c>
      <c r="H897" s="500">
        <v>1</v>
      </c>
      <c r="I897" s="521">
        <v>3</v>
      </c>
      <c r="J897" s="521">
        <v>50</v>
      </c>
      <c r="K897" s="522">
        <v>50</v>
      </c>
      <c r="L897" s="216" t="s">
        <v>3450</v>
      </c>
      <c r="M897" s="216"/>
      <c r="N897" s="216"/>
      <c r="O897" s="216"/>
      <c r="P897" s="216"/>
      <c r="Q897" s="216"/>
      <c r="R897" s="216"/>
      <c r="S897" s="216"/>
      <c r="T897" s="216"/>
      <c r="U897" s="216"/>
      <c r="V897" s="216"/>
      <c r="W897" s="216"/>
      <c r="X897" s="216"/>
    </row>
    <row r="898" spans="1:24" ht="15.75" customHeight="1">
      <c r="A898" s="551" t="s">
        <v>3454</v>
      </c>
      <c r="B898" s="401" t="s">
        <v>3455</v>
      </c>
      <c r="C898" s="228" t="s">
        <v>141</v>
      </c>
      <c r="D898" s="552" t="s">
        <v>3456</v>
      </c>
      <c r="E898" s="544" t="s">
        <v>3457</v>
      </c>
      <c r="F898" s="138" t="s">
        <v>230</v>
      </c>
      <c r="G898" s="99">
        <v>4</v>
      </c>
      <c r="H898" s="500">
        <v>4</v>
      </c>
      <c r="I898" s="521">
        <v>4</v>
      </c>
      <c r="J898" s="521">
        <v>50</v>
      </c>
      <c r="K898" s="522">
        <v>12.5</v>
      </c>
      <c r="L898" s="216" t="s">
        <v>1204</v>
      </c>
      <c r="M898" s="216"/>
      <c r="N898" s="216"/>
      <c r="O898" s="216"/>
      <c r="P898" s="216"/>
      <c r="Q898" s="216"/>
      <c r="R898" s="216"/>
      <c r="S898" s="216"/>
      <c r="T898" s="216"/>
      <c r="U898" s="216"/>
      <c r="V898" s="216"/>
      <c r="W898" s="216"/>
      <c r="X898" s="216"/>
    </row>
    <row r="899" spans="1:24" ht="15.75" customHeight="1">
      <c r="A899" s="553" t="s">
        <v>2973</v>
      </c>
      <c r="B899" s="554" t="s">
        <v>2974</v>
      </c>
      <c r="C899" s="555" t="s">
        <v>141</v>
      </c>
      <c r="D899" s="554" t="s">
        <v>2975</v>
      </c>
      <c r="E899" s="555" t="s">
        <v>2976</v>
      </c>
      <c r="F899" s="555" t="s">
        <v>2133</v>
      </c>
      <c r="G899" s="555">
        <v>4</v>
      </c>
      <c r="H899" s="555">
        <v>4</v>
      </c>
      <c r="I899" s="555">
        <v>4</v>
      </c>
      <c r="J899" s="556">
        <v>50</v>
      </c>
      <c r="K899" s="556">
        <v>12.5</v>
      </c>
      <c r="L899" s="216" t="s">
        <v>1204</v>
      </c>
      <c r="M899" s="216"/>
      <c r="N899" s="216"/>
      <c r="O899" s="216"/>
      <c r="P899" s="216"/>
      <c r="Q899" s="216"/>
      <c r="R899" s="216"/>
      <c r="S899" s="216"/>
      <c r="T899" s="216"/>
      <c r="U899" s="216"/>
      <c r="V899" s="216"/>
      <c r="W899" s="216"/>
      <c r="X899" s="216"/>
    </row>
    <row r="900" spans="1:24" ht="15.75" customHeight="1">
      <c r="A900" s="557" t="s">
        <v>2977</v>
      </c>
      <c r="B900" s="558" t="s">
        <v>2978</v>
      </c>
      <c r="C900" s="559" t="s">
        <v>141</v>
      </c>
      <c r="D900" s="558" t="s">
        <v>2979</v>
      </c>
      <c r="E900" s="558" t="s">
        <v>2980</v>
      </c>
      <c r="F900" s="559" t="s">
        <v>230</v>
      </c>
      <c r="G900" s="559">
        <v>4</v>
      </c>
      <c r="H900" s="559">
        <v>4</v>
      </c>
      <c r="I900" s="560">
        <v>4</v>
      </c>
      <c r="J900" s="560">
        <v>50</v>
      </c>
      <c r="K900" s="560">
        <v>12.5</v>
      </c>
      <c r="L900" s="216" t="s">
        <v>1204</v>
      </c>
      <c r="M900" s="216"/>
      <c r="N900" s="216"/>
      <c r="O900" s="216"/>
      <c r="P900" s="216"/>
      <c r="Q900" s="216"/>
      <c r="R900" s="216"/>
      <c r="S900" s="216"/>
      <c r="T900" s="216"/>
      <c r="U900" s="216"/>
      <c r="V900" s="216"/>
      <c r="W900" s="216"/>
      <c r="X900" s="216"/>
    </row>
    <row r="901" spans="1:24" ht="15.75" customHeight="1">
      <c r="A901" s="553" t="s">
        <v>2981</v>
      </c>
      <c r="B901" s="554" t="s">
        <v>2978</v>
      </c>
      <c r="C901" s="555" t="s">
        <v>141</v>
      </c>
      <c r="D901" s="554" t="s">
        <v>2982</v>
      </c>
      <c r="E901" s="555" t="s">
        <v>2983</v>
      </c>
      <c r="F901" s="555" t="s">
        <v>230</v>
      </c>
      <c r="G901" s="555">
        <v>4</v>
      </c>
      <c r="H901" s="555">
        <v>4</v>
      </c>
      <c r="I901" s="555">
        <v>4</v>
      </c>
      <c r="J901" s="556">
        <v>50</v>
      </c>
      <c r="K901" s="556">
        <v>12.5</v>
      </c>
      <c r="L901" s="216" t="s">
        <v>1204</v>
      </c>
      <c r="M901" s="216"/>
      <c r="N901" s="216"/>
      <c r="O901" s="216"/>
      <c r="P901" s="216"/>
      <c r="Q901" s="216"/>
      <c r="R901" s="216"/>
      <c r="S901" s="216"/>
      <c r="T901" s="216"/>
      <c r="U901" s="216"/>
      <c r="V901" s="216"/>
      <c r="W901" s="216"/>
      <c r="X901" s="216"/>
    </row>
    <row r="902" spans="1:24" ht="15.75" customHeight="1">
      <c r="A902" s="134" t="s">
        <v>3458</v>
      </c>
      <c r="B902" s="91" t="s">
        <v>3459</v>
      </c>
      <c r="C902" s="92" t="s">
        <v>141</v>
      </c>
      <c r="D902" s="134" t="s">
        <v>3460</v>
      </c>
      <c r="E902" s="99" t="s">
        <v>3461</v>
      </c>
      <c r="F902" s="238" t="s">
        <v>1338</v>
      </c>
      <c r="G902" s="99">
        <v>8</v>
      </c>
      <c r="H902" s="99">
        <v>1</v>
      </c>
      <c r="I902" s="99">
        <v>8</v>
      </c>
      <c r="J902" s="385">
        <v>50</v>
      </c>
      <c r="K902" s="561">
        <v>6.25</v>
      </c>
      <c r="L902" s="216" t="s">
        <v>147</v>
      </c>
      <c r="M902" s="216"/>
      <c r="N902" s="216"/>
      <c r="O902" s="216"/>
      <c r="P902" s="216"/>
      <c r="Q902" s="216"/>
      <c r="R902" s="216"/>
      <c r="S902" s="216"/>
      <c r="T902" s="216"/>
      <c r="U902" s="216"/>
      <c r="V902" s="216"/>
      <c r="W902" s="216"/>
      <c r="X902" s="216"/>
    </row>
    <row r="903" spans="1:24" ht="15.75" customHeight="1">
      <c r="A903" s="134" t="s">
        <v>3458</v>
      </c>
      <c r="B903" s="91" t="s">
        <v>3459</v>
      </c>
      <c r="C903" s="92" t="s">
        <v>141</v>
      </c>
      <c r="D903" s="134" t="s">
        <v>3462</v>
      </c>
      <c r="E903" s="99" t="s">
        <v>3463</v>
      </c>
      <c r="F903" s="238" t="s">
        <v>1338</v>
      </c>
      <c r="G903" s="99">
        <v>8</v>
      </c>
      <c r="H903" s="99">
        <v>1</v>
      </c>
      <c r="I903" s="99">
        <v>8</v>
      </c>
      <c r="J903" s="385">
        <v>50</v>
      </c>
      <c r="K903" s="562">
        <v>6.25</v>
      </c>
      <c r="L903" s="216" t="s">
        <v>147</v>
      </c>
      <c r="M903" s="216"/>
      <c r="N903" s="216"/>
      <c r="O903" s="216"/>
      <c r="P903" s="216"/>
      <c r="Q903" s="216"/>
      <c r="R903" s="216"/>
      <c r="S903" s="216"/>
      <c r="T903" s="216"/>
      <c r="U903" s="216"/>
      <c r="V903" s="216"/>
      <c r="W903" s="216"/>
      <c r="X903" s="216"/>
    </row>
    <row r="904" spans="1:24" ht="15.75" customHeight="1">
      <c r="A904" s="134" t="s">
        <v>3458</v>
      </c>
      <c r="B904" s="91" t="s">
        <v>3459</v>
      </c>
      <c r="C904" s="92" t="s">
        <v>141</v>
      </c>
      <c r="D904" s="134" t="s">
        <v>3464</v>
      </c>
      <c r="E904" s="99" t="s">
        <v>3465</v>
      </c>
      <c r="F904" s="238" t="s">
        <v>1338</v>
      </c>
      <c r="G904" s="99">
        <v>8</v>
      </c>
      <c r="H904" s="99">
        <v>1</v>
      </c>
      <c r="I904" s="99">
        <v>8</v>
      </c>
      <c r="J904" s="385">
        <v>50</v>
      </c>
      <c r="K904" s="562">
        <v>6.25</v>
      </c>
      <c r="L904" s="216" t="s">
        <v>147</v>
      </c>
      <c r="M904" s="216"/>
      <c r="N904" s="216"/>
      <c r="O904" s="216"/>
      <c r="P904" s="216"/>
      <c r="Q904" s="216"/>
      <c r="R904" s="216"/>
      <c r="S904" s="216"/>
      <c r="T904" s="216"/>
      <c r="U904" s="216"/>
      <c r="V904" s="216"/>
      <c r="W904" s="216"/>
      <c r="X904" s="216"/>
    </row>
    <row r="905" spans="1:24" ht="15.75" customHeight="1">
      <c r="A905" s="134" t="s">
        <v>3458</v>
      </c>
      <c r="B905" s="91" t="s">
        <v>3459</v>
      </c>
      <c r="C905" s="92" t="s">
        <v>141</v>
      </c>
      <c r="D905" s="134" t="s">
        <v>3466</v>
      </c>
      <c r="E905" s="99" t="s">
        <v>3467</v>
      </c>
      <c r="F905" s="238" t="s">
        <v>1338</v>
      </c>
      <c r="G905" s="99">
        <v>8</v>
      </c>
      <c r="H905" s="99">
        <v>1</v>
      </c>
      <c r="I905" s="99">
        <v>8</v>
      </c>
      <c r="J905" s="385">
        <v>50</v>
      </c>
      <c r="K905" s="562">
        <v>6.25</v>
      </c>
      <c r="L905" s="216" t="s">
        <v>147</v>
      </c>
      <c r="M905" s="216"/>
      <c r="N905" s="216"/>
      <c r="O905" s="216"/>
      <c r="P905" s="216"/>
      <c r="Q905" s="216"/>
      <c r="R905" s="216"/>
      <c r="S905" s="216"/>
      <c r="T905" s="216"/>
      <c r="U905" s="216"/>
      <c r="V905" s="216"/>
      <c r="W905" s="216"/>
      <c r="X905" s="216"/>
    </row>
    <row r="906" spans="1:24" ht="15.75" customHeight="1">
      <c r="A906" s="134" t="s">
        <v>3458</v>
      </c>
      <c r="B906" s="91" t="s">
        <v>3459</v>
      </c>
      <c r="C906" s="92" t="s">
        <v>141</v>
      </c>
      <c r="D906" s="134" t="s">
        <v>3468</v>
      </c>
      <c r="E906" s="99" t="s">
        <v>3469</v>
      </c>
      <c r="F906" s="238" t="s">
        <v>1338</v>
      </c>
      <c r="G906" s="99">
        <v>8</v>
      </c>
      <c r="H906" s="99">
        <v>1</v>
      </c>
      <c r="I906" s="99">
        <v>8</v>
      </c>
      <c r="J906" s="385">
        <v>50</v>
      </c>
      <c r="K906" s="562">
        <v>6.25</v>
      </c>
      <c r="L906" s="216" t="s">
        <v>147</v>
      </c>
      <c r="M906" s="216"/>
      <c r="N906" s="216"/>
      <c r="O906" s="216"/>
      <c r="P906" s="216"/>
      <c r="Q906" s="216"/>
      <c r="R906" s="216"/>
      <c r="S906" s="216"/>
      <c r="T906" s="216"/>
      <c r="U906" s="216"/>
      <c r="V906" s="216"/>
      <c r="W906" s="216"/>
      <c r="X906" s="216"/>
    </row>
    <row r="907" spans="1:24" ht="15.75" customHeight="1">
      <c r="A907" s="134" t="s">
        <v>3458</v>
      </c>
      <c r="B907" s="91" t="s">
        <v>3459</v>
      </c>
      <c r="C907" s="92" t="s">
        <v>141</v>
      </c>
      <c r="D907" s="134" t="s">
        <v>3470</v>
      </c>
      <c r="E907" s="99" t="s">
        <v>3471</v>
      </c>
      <c r="F907" s="238" t="s">
        <v>1338</v>
      </c>
      <c r="G907" s="99">
        <v>8</v>
      </c>
      <c r="H907" s="99">
        <v>1</v>
      </c>
      <c r="I907" s="99">
        <v>8</v>
      </c>
      <c r="J907" s="385">
        <v>50</v>
      </c>
      <c r="K907" s="562">
        <v>6.25</v>
      </c>
      <c r="L907" s="216" t="s">
        <v>147</v>
      </c>
      <c r="M907" s="216"/>
      <c r="N907" s="216"/>
      <c r="O907" s="216"/>
      <c r="P907" s="216"/>
      <c r="Q907" s="216"/>
      <c r="R907" s="216"/>
      <c r="S907" s="216"/>
      <c r="T907" s="216"/>
      <c r="U907" s="216"/>
      <c r="V907" s="216"/>
      <c r="W907" s="216"/>
      <c r="X907" s="216"/>
    </row>
    <row r="908" spans="1:24" ht="15.75" customHeight="1">
      <c r="A908" s="134" t="s">
        <v>3458</v>
      </c>
      <c r="B908" s="91" t="s">
        <v>3459</v>
      </c>
      <c r="C908" s="92" t="s">
        <v>141</v>
      </c>
      <c r="D908" s="134" t="s">
        <v>3472</v>
      </c>
      <c r="E908" s="99" t="s">
        <v>3473</v>
      </c>
      <c r="F908" s="238" t="s">
        <v>1338</v>
      </c>
      <c r="G908" s="99">
        <v>8</v>
      </c>
      <c r="H908" s="99">
        <v>1</v>
      </c>
      <c r="I908" s="99">
        <v>8</v>
      </c>
      <c r="J908" s="385">
        <v>50</v>
      </c>
      <c r="K908" s="562">
        <v>6.25</v>
      </c>
      <c r="L908" s="216" t="s">
        <v>147</v>
      </c>
      <c r="M908" s="216"/>
      <c r="N908" s="216"/>
      <c r="O908" s="216"/>
      <c r="P908" s="216"/>
      <c r="Q908" s="216"/>
      <c r="R908" s="216"/>
      <c r="S908" s="216"/>
      <c r="T908" s="216"/>
      <c r="U908" s="216"/>
      <c r="V908" s="216"/>
      <c r="W908" s="216"/>
      <c r="X908" s="216"/>
    </row>
    <row r="909" spans="1:24" ht="15.75" customHeight="1">
      <c r="A909" s="134" t="s">
        <v>3458</v>
      </c>
      <c r="B909" s="134" t="s">
        <v>3459</v>
      </c>
      <c r="C909" s="99" t="s">
        <v>141</v>
      </c>
      <c r="D909" s="134" t="s">
        <v>3474</v>
      </c>
      <c r="E909" s="99" t="s">
        <v>3475</v>
      </c>
      <c r="F909" s="238" t="s">
        <v>1338</v>
      </c>
      <c r="G909" s="99">
        <v>8</v>
      </c>
      <c r="H909" s="99">
        <v>1</v>
      </c>
      <c r="I909" s="99">
        <v>8</v>
      </c>
      <c r="J909" s="385">
        <v>50</v>
      </c>
      <c r="K909" s="562">
        <v>6.25</v>
      </c>
      <c r="L909" s="216" t="s">
        <v>147</v>
      </c>
      <c r="M909" s="216"/>
      <c r="N909" s="216"/>
      <c r="O909" s="216"/>
      <c r="P909" s="216"/>
      <c r="Q909" s="216"/>
      <c r="R909" s="216"/>
      <c r="S909" s="216"/>
      <c r="T909" s="216"/>
      <c r="U909" s="216"/>
      <c r="V909" s="216"/>
      <c r="W909" s="216"/>
      <c r="X909" s="216"/>
    </row>
    <row r="910" spans="1:24" ht="15.75" customHeight="1">
      <c r="A910" s="134" t="s">
        <v>3458</v>
      </c>
      <c r="B910" s="134" t="s">
        <v>3459</v>
      </c>
      <c r="C910" s="99" t="s">
        <v>141</v>
      </c>
      <c r="D910" s="134" t="s">
        <v>3476</v>
      </c>
      <c r="E910" s="99" t="s">
        <v>3477</v>
      </c>
      <c r="F910" s="238" t="s">
        <v>1338</v>
      </c>
      <c r="G910" s="99">
        <v>8</v>
      </c>
      <c r="H910" s="99">
        <v>1</v>
      </c>
      <c r="I910" s="99">
        <v>8</v>
      </c>
      <c r="J910" s="385">
        <v>50</v>
      </c>
      <c r="K910" s="562">
        <v>6.25</v>
      </c>
      <c r="L910" s="216" t="s">
        <v>147</v>
      </c>
      <c r="M910" s="216"/>
      <c r="N910" s="216"/>
      <c r="O910" s="216"/>
      <c r="P910" s="216"/>
      <c r="Q910" s="216"/>
      <c r="R910" s="216"/>
      <c r="S910" s="216"/>
      <c r="T910" s="216"/>
      <c r="U910" s="216"/>
      <c r="V910" s="216"/>
      <c r="W910" s="216"/>
      <c r="X910" s="216"/>
    </row>
    <row r="911" spans="1:24" ht="15.75" customHeight="1">
      <c r="A911" s="134" t="s">
        <v>3458</v>
      </c>
      <c r="B911" s="134" t="s">
        <v>3459</v>
      </c>
      <c r="C911" s="99" t="s">
        <v>141</v>
      </c>
      <c r="D911" s="134" t="s">
        <v>3478</v>
      </c>
      <c r="E911" s="99" t="s">
        <v>3479</v>
      </c>
      <c r="F911" s="238" t="s">
        <v>1338</v>
      </c>
      <c r="G911" s="99">
        <v>8</v>
      </c>
      <c r="H911" s="99">
        <v>1</v>
      </c>
      <c r="I911" s="99">
        <v>8</v>
      </c>
      <c r="J911" s="385">
        <v>50</v>
      </c>
      <c r="K911" s="562">
        <v>6.25</v>
      </c>
      <c r="L911" s="216" t="s">
        <v>147</v>
      </c>
      <c r="M911" s="216"/>
      <c r="N911" s="216"/>
      <c r="O911" s="216"/>
      <c r="P911" s="216"/>
      <c r="Q911" s="216"/>
      <c r="R911" s="216"/>
      <c r="S911" s="216"/>
      <c r="T911" s="216"/>
      <c r="U911" s="216"/>
      <c r="V911" s="216"/>
      <c r="W911" s="216"/>
      <c r="X911" s="216"/>
    </row>
    <row r="912" spans="1:24" ht="15.75" customHeight="1">
      <c r="A912" s="134" t="s">
        <v>3458</v>
      </c>
      <c r="B912" s="134" t="s">
        <v>3459</v>
      </c>
      <c r="C912" s="99" t="s">
        <v>141</v>
      </c>
      <c r="D912" s="134" t="s">
        <v>3480</v>
      </c>
      <c r="E912" s="99" t="s">
        <v>3481</v>
      </c>
      <c r="F912" s="238" t="s">
        <v>1338</v>
      </c>
      <c r="G912" s="99">
        <v>8</v>
      </c>
      <c r="H912" s="99">
        <v>1</v>
      </c>
      <c r="I912" s="99">
        <v>8</v>
      </c>
      <c r="J912" s="385">
        <v>50</v>
      </c>
      <c r="K912" s="562">
        <v>6.25</v>
      </c>
      <c r="L912" s="216" t="s">
        <v>147</v>
      </c>
      <c r="M912" s="216"/>
      <c r="N912" s="216"/>
      <c r="O912" s="216"/>
      <c r="P912" s="216"/>
      <c r="Q912" s="216"/>
      <c r="R912" s="216"/>
      <c r="S912" s="216"/>
      <c r="T912" s="216"/>
      <c r="U912" s="216"/>
      <c r="V912" s="216"/>
      <c r="W912" s="216"/>
      <c r="X912" s="216"/>
    </row>
    <row r="913" spans="1:24" ht="15.75" customHeight="1">
      <c r="A913" s="134" t="s">
        <v>3458</v>
      </c>
      <c r="B913" s="91" t="s">
        <v>3459</v>
      </c>
      <c r="C913" s="92" t="s">
        <v>141</v>
      </c>
      <c r="D913" s="134" t="s">
        <v>3482</v>
      </c>
      <c r="E913" s="99" t="s">
        <v>3483</v>
      </c>
      <c r="F913" s="238" t="s">
        <v>1338</v>
      </c>
      <c r="G913" s="99">
        <v>8</v>
      </c>
      <c r="H913" s="99">
        <v>1</v>
      </c>
      <c r="I913" s="99">
        <v>8</v>
      </c>
      <c r="J913" s="385">
        <v>50</v>
      </c>
      <c r="K913" s="562">
        <v>6.25</v>
      </c>
      <c r="L913" s="216" t="s">
        <v>147</v>
      </c>
      <c r="M913" s="216"/>
      <c r="N913" s="216"/>
      <c r="O913" s="216"/>
      <c r="P913" s="216"/>
      <c r="Q913" s="216"/>
      <c r="R913" s="216"/>
      <c r="S913" s="216"/>
      <c r="T913" s="216"/>
      <c r="U913" s="216"/>
      <c r="V913" s="216"/>
      <c r="W913" s="216"/>
      <c r="X913" s="216"/>
    </row>
    <row r="914" spans="1:24" ht="15.75" customHeight="1">
      <c r="A914" s="134" t="s">
        <v>3458</v>
      </c>
      <c r="B914" s="91" t="s">
        <v>3459</v>
      </c>
      <c r="C914" s="92" t="s">
        <v>141</v>
      </c>
      <c r="D914" s="134" t="s">
        <v>3484</v>
      </c>
      <c r="E914" s="99" t="s">
        <v>3485</v>
      </c>
      <c r="F914" s="238" t="s">
        <v>1338</v>
      </c>
      <c r="G914" s="99">
        <v>8</v>
      </c>
      <c r="H914" s="99">
        <v>1</v>
      </c>
      <c r="I914" s="99">
        <v>8</v>
      </c>
      <c r="J914" s="385">
        <v>50</v>
      </c>
      <c r="K914" s="562">
        <v>6.25</v>
      </c>
      <c r="L914" s="216" t="s">
        <v>147</v>
      </c>
      <c r="M914" s="216"/>
      <c r="N914" s="216"/>
      <c r="O914" s="216"/>
      <c r="P914" s="216"/>
      <c r="Q914" s="216"/>
      <c r="R914" s="216"/>
      <c r="S914" s="216"/>
      <c r="T914" s="216"/>
      <c r="U914" s="216"/>
      <c r="V914" s="216"/>
      <c r="W914" s="216"/>
      <c r="X914" s="216"/>
    </row>
    <row r="915" spans="1:24" ht="15.75" customHeight="1">
      <c r="A915" s="134" t="s">
        <v>3458</v>
      </c>
      <c r="B915" s="91" t="s">
        <v>3459</v>
      </c>
      <c r="C915" s="92" t="s">
        <v>141</v>
      </c>
      <c r="D915" s="134" t="s">
        <v>3486</v>
      </c>
      <c r="E915" s="99" t="s">
        <v>3487</v>
      </c>
      <c r="F915" s="238" t="s">
        <v>1338</v>
      </c>
      <c r="G915" s="99">
        <v>8</v>
      </c>
      <c r="H915" s="99">
        <v>1</v>
      </c>
      <c r="I915" s="99">
        <v>8</v>
      </c>
      <c r="J915" s="385">
        <v>50</v>
      </c>
      <c r="K915" s="562">
        <v>6.25</v>
      </c>
      <c r="L915" s="216" t="s">
        <v>147</v>
      </c>
      <c r="M915" s="216"/>
      <c r="N915" s="216"/>
      <c r="O915" s="216"/>
      <c r="P915" s="216"/>
      <c r="Q915" s="216"/>
      <c r="R915" s="216"/>
      <c r="S915" s="216"/>
      <c r="T915" s="216"/>
      <c r="U915" s="216"/>
      <c r="V915" s="216"/>
      <c r="W915" s="216"/>
      <c r="X915" s="216"/>
    </row>
    <row r="916" spans="1:24" ht="15.75" customHeight="1">
      <c r="A916" s="134" t="s">
        <v>3458</v>
      </c>
      <c r="B916" s="91" t="s">
        <v>3459</v>
      </c>
      <c r="C916" s="92" t="s">
        <v>141</v>
      </c>
      <c r="D916" s="134" t="s">
        <v>3488</v>
      </c>
      <c r="E916" s="99" t="s">
        <v>3489</v>
      </c>
      <c r="F916" s="238" t="s">
        <v>1338</v>
      </c>
      <c r="G916" s="99">
        <v>8</v>
      </c>
      <c r="H916" s="99">
        <v>1</v>
      </c>
      <c r="I916" s="99">
        <v>8</v>
      </c>
      <c r="J916" s="385">
        <v>50</v>
      </c>
      <c r="K916" s="562">
        <v>6.25</v>
      </c>
      <c r="L916" s="216" t="s">
        <v>147</v>
      </c>
      <c r="M916" s="216"/>
      <c r="N916" s="216"/>
      <c r="O916" s="216"/>
      <c r="P916" s="216"/>
      <c r="Q916" s="216"/>
      <c r="R916" s="216"/>
      <c r="S916" s="216"/>
      <c r="T916" s="216"/>
      <c r="U916" s="216"/>
      <c r="V916" s="216"/>
      <c r="W916" s="216"/>
      <c r="X916" s="216"/>
    </row>
    <row r="917" spans="1:24" ht="15.75" customHeight="1">
      <c r="A917" s="134" t="s">
        <v>3458</v>
      </c>
      <c r="B917" s="91" t="s">
        <v>3459</v>
      </c>
      <c r="C917" s="92" t="s">
        <v>141</v>
      </c>
      <c r="D917" s="134" t="s">
        <v>3490</v>
      </c>
      <c r="E917" s="99" t="s">
        <v>3489</v>
      </c>
      <c r="F917" s="238" t="s">
        <v>1338</v>
      </c>
      <c r="G917" s="99">
        <v>8</v>
      </c>
      <c r="H917" s="99">
        <v>1</v>
      </c>
      <c r="I917" s="99">
        <v>8</v>
      </c>
      <c r="J917" s="385">
        <v>50</v>
      </c>
      <c r="K917" s="562">
        <v>6.25</v>
      </c>
      <c r="L917" s="216" t="s">
        <v>147</v>
      </c>
      <c r="M917" s="216"/>
      <c r="N917" s="216"/>
      <c r="O917" s="216"/>
      <c r="P917" s="216"/>
      <c r="Q917" s="216"/>
      <c r="R917" s="216"/>
      <c r="S917" s="216"/>
      <c r="T917" s="216"/>
      <c r="U917" s="216"/>
      <c r="V917" s="216"/>
      <c r="W917" s="216"/>
      <c r="X917" s="216"/>
    </row>
    <row r="918" spans="1:24" ht="15.75" customHeight="1">
      <c r="A918" s="134" t="s">
        <v>3458</v>
      </c>
      <c r="B918" s="91" t="s">
        <v>3459</v>
      </c>
      <c r="C918" s="92" t="s">
        <v>141</v>
      </c>
      <c r="D918" s="134" t="s">
        <v>3491</v>
      </c>
      <c r="E918" s="99" t="s">
        <v>3492</v>
      </c>
      <c r="F918" s="238" t="s">
        <v>1338</v>
      </c>
      <c r="G918" s="99">
        <v>8</v>
      </c>
      <c r="H918" s="99">
        <v>1</v>
      </c>
      <c r="I918" s="99">
        <v>8</v>
      </c>
      <c r="J918" s="385">
        <v>50</v>
      </c>
      <c r="K918" s="562">
        <v>6.25</v>
      </c>
      <c r="L918" s="216" t="s">
        <v>147</v>
      </c>
      <c r="M918" s="216"/>
      <c r="N918" s="216"/>
      <c r="O918" s="216"/>
      <c r="P918" s="216"/>
      <c r="Q918" s="216"/>
      <c r="R918" s="216"/>
      <c r="S918" s="216"/>
      <c r="T918" s="216"/>
      <c r="U918" s="216"/>
      <c r="V918" s="216"/>
      <c r="W918" s="216"/>
      <c r="X918" s="216"/>
    </row>
    <row r="919" spans="1:24" ht="15.75" customHeight="1">
      <c r="A919" s="134" t="s">
        <v>3493</v>
      </c>
      <c r="B919" s="91" t="s">
        <v>3494</v>
      </c>
      <c r="C919" s="92" t="s">
        <v>141</v>
      </c>
      <c r="D919" s="134" t="s">
        <v>3495</v>
      </c>
      <c r="E919" s="99" t="s">
        <v>3496</v>
      </c>
      <c r="F919" s="238" t="s">
        <v>1338</v>
      </c>
      <c r="G919" s="99">
        <v>5</v>
      </c>
      <c r="H919" s="99">
        <v>1</v>
      </c>
      <c r="I919" s="99">
        <v>5</v>
      </c>
      <c r="J919" s="385">
        <v>50</v>
      </c>
      <c r="K919" s="562">
        <v>10</v>
      </c>
      <c r="L919" s="216" t="s">
        <v>147</v>
      </c>
      <c r="M919" s="216"/>
      <c r="N919" s="216"/>
      <c r="O919" s="216"/>
      <c r="P919" s="216"/>
      <c r="Q919" s="216"/>
      <c r="R919" s="216"/>
      <c r="S919" s="216"/>
      <c r="T919" s="216"/>
      <c r="U919" s="216"/>
      <c r="V919" s="216"/>
      <c r="W919" s="216"/>
      <c r="X919" s="216"/>
    </row>
    <row r="920" spans="1:24" ht="15.75" customHeight="1">
      <c r="A920" s="134" t="s">
        <v>3497</v>
      </c>
      <c r="B920" s="91" t="s">
        <v>3498</v>
      </c>
      <c r="C920" s="92" t="s">
        <v>141</v>
      </c>
      <c r="D920" s="134" t="s">
        <v>3499</v>
      </c>
      <c r="E920" s="99" t="s">
        <v>3500</v>
      </c>
      <c r="F920" s="238" t="s">
        <v>1338</v>
      </c>
      <c r="G920" s="99">
        <v>4</v>
      </c>
      <c r="H920" s="99">
        <v>4</v>
      </c>
      <c r="I920" s="99">
        <v>4</v>
      </c>
      <c r="J920" s="385">
        <v>50</v>
      </c>
      <c r="K920" s="562">
        <v>12.5</v>
      </c>
      <c r="L920" s="216" t="s">
        <v>147</v>
      </c>
      <c r="M920" s="216"/>
      <c r="N920" s="216"/>
      <c r="O920" s="216"/>
      <c r="P920" s="216"/>
      <c r="Q920" s="216"/>
      <c r="R920" s="216"/>
      <c r="S920" s="216"/>
      <c r="T920" s="216"/>
      <c r="U920" s="216"/>
      <c r="V920" s="216"/>
      <c r="W920" s="216"/>
      <c r="X920" s="216"/>
    </row>
    <row r="921" spans="1:24" ht="15.75" customHeight="1">
      <c r="A921" s="134" t="s">
        <v>3501</v>
      </c>
      <c r="B921" s="134" t="s">
        <v>3502</v>
      </c>
      <c r="C921" s="99" t="s">
        <v>141</v>
      </c>
      <c r="D921" s="134" t="s">
        <v>3503</v>
      </c>
      <c r="E921" s="99" t="s">
        <v>3504</v>
      </c>
      <c r="F921" s="238" t="s">
        <v>1338</v>
      </c>
      <c r="G921" s="99">
        <v>6</v>
      </c>
      <c r="H921" s="99">
        <v>1</v>
      </c>
      <c r="I921" s="99">
        <v>6</v>
      </c>
      <c r="J921" s="385">
        <v>50</v>
      </c>
      <c r="K921" s="562">
        <v>8.33</v>
      </c>
      <c r="L921" s="216" t="s">
        <v>147</v>
      </c>
      <c r="M921" s="216"/>
      <c r="N921" s="216"/>
      <c r="O921" s="216"/>
      <c r="P921" s="216"/>
      <c r="Q921" s="216"/>
      <c r="R921" s="216"/>
      <c r="S921" s="216"/>
      <c r="T921" s="216"/>
      <c r="U921" s="216"/>
      <c r="V921" s="216"/>
      <c r="W921" s="216"/>
      <c r="X921" s="216"/>
    </row>
    <row r="922" spans="1:24" ht="15.75" customHeight="1">
      <c r="A922" s="134" t="s">
        <v>3505</v>
      </c>
      <c r="B922" s="134" t="s">
        <v>3506</v>
      </c>
      <c r="C922" s="99" t="s">
        <v>141</v>
      </c>
      <c r="D922" s="134" t="s">
        <v>3507</v>
      </c>
      <c r="E922" s="99" t="s">
        <v>3508</v>
      </c>
      <c r="F922" s="238" t="s">
        <v>1338</v>
      </c>
      <c r="G922" s="99">
        <v>4</v>
      </c>
      <c r="H922" s="99">
        <v>1</v>
      </c>
      <c r="I922" s="99">
        <v>4</v>
      </c>
      <c r="J922" s="385">
        <v>50</v>
      </c>
      <c r="K922" s="562">
        <v>12.5</v>
      </c>
      <c r="L922" s="216" t="s">
        <v>147</v>
      </c>
      <c r="M922" s="216"/>
      <c r="N922" s="216"/>
      <c r="O922" s="216"/>
      <c r="P922" s="216"/>
      <c r="Q922" s="216"/>
      <c r="R922" s="216"/>
      <c r="S922" s="216"/>
      <c r="T922" s="216"/>
      <c r="U922" s="216"/>
      <c r="V922" s="216"/>
      <c r="W922" s="216"/>
      <c r="X922" s="216"/>
    </row>
    <row r="923" spans="1:24" ht="15.75" customHeight="1">
      <c r="A923" s="134" t="s">
        <v>3509</v>
      </c>
      <c r="B923" s="134" t="s">
        <v>3510</v>
      </c>
      <c r="C923" s="99" t="s">
        <v>141</v>
      </c>
      <c r="D923" s="134" t="s">
        <v>3511</v>
      </c>
      <c r="E923" s="99" t="s">
        <v>3512</v>
      </c>
      <c r="F923" s="238" t="s">
        <v>1338</v>
      </c>
      <c r="G923" s="99">
        <v>4</v>
      </c>
      <c r="H923" s="99">
        <v>4</v>
      </c>
      <c r="I923" s="99">
        <v>4</v>
      </c>
      <c r="J923" s="385">
        <v>50</v>
      </c>
      <c r="K923" s="563">
        <v>12.5</v>
      </c>
      <c r="L923" s="216" t="s">
        <v>147</v>
      </c>
      <c r="M923" s="216"/>
      <c r="N923" s="216"/>
      <c r="O923" s="216"/>
      <c r="P923" s="216"/>
      <c r="Q923" s="216"/>
      <c r="R923" s="216"/>
      <c r="S923" s="216"/>
      <c r="T923" s="216"/>
      <c r="U923" s="216"/>
      <c r="V923" s="216"/>
      <c r="W923" s="216"/>
      <c r="X923" s="216"/>
    </row>
    <row r="924" spans="1:24" ht="15" customHeight="1">
      <c r="A924" s="134" t="s">
        <v>3513</v>
      </c>
      <c r="B924" s="91" t="s">
        <v>2225</v>
      </c>
      <c r="C924" s="133" t="s">
        <v>105</v>
      </c>
      <c r="D924" s="134" t="s">
        <v>3514</v>
      </c>
      <c r="E924" s="378" t="s">
        <v>3515</v>
      </c>
      <c r="F924" s="134" t="s">
        <v>635</v>
      </c>
      <c r="G924" s="379">
        <v>2</v>
      </c>
      <c r="H924" s="379">
        <v>2</v>
      </c>
      <c r="I924" s="379">
        <v>2</v>
      </c>
      <c r="J924" s="272">
        <v>50</v>
      </c>
      <c r="K924" s="134">
        <f t="shared" ref="K924:K942" si="37">J924/I924</f>
        <v>25</v>
      </c>
      <c r="L924" s="338" t="s">
        <v>114</v>
      </c>
      <c r="M924" s="216"/>
      <c r="N924" s="216"/>
      <c r="O924" s="216"/>
      <c r="P924" s="216"/>
      <c r="Q924" s="216"/>
      <c r="R924" s="216"/>
      <c r="S924" s="216"/>
      <c r="T924" s="216"/>
      <c r="U924" s="216"/>
      <c r="V924" s="216"/>
      <c r="W924" s="216"/>
      <c r="X924" s="216"/>
    </row>
    <row r="925" spans="1:24" ht="15" customHeight="1">
      <c r="A925" s="91" t="s">
        <v>3516</v>
      </c>
      <c r="B925" s="256" t="s">
        <v>3517</v>
      </c>
      <c r="C925" s="133" t="s">
        <v>105</v>
      </c>
      <c r="D925" s="134" t="s">
        <v>3518</v>
      </c>
      <c r="E925" s="382" t="s">
        <v>3519</v>
      </c>
      <c r="F925" s="134" t="s">
        <v>635</v>
      </c>
      <c r="G925" s="379">
        <v>4</v>
      </c>
      <c r="H925" s="379">
        <v>3</v>
      </c>
      <c r="I925" s="379">
        <v>4</v>
      </c>
      <c r="J925" s="272">
        <v>50</v>
      </c>
      <c r="K925" s="134">
        <f t="shared" si="37"/>
        <v>12.5</v>
      </c>
      <c r="L925" s="338" t="s">
        <v>114</v>
      </c>
      <c r="M925" s="216"/>
      <c r="N925" s="216"/>
      <c r="O925" s="216"/>
      <c r="P925" s="216"/>
      <c r="Q925" s="216"/>
      <c r="R925" s="216"/>
      <c r="S925" s="216"/>
      <c r="T925" s="216"/>
      <c r="U925" s="216"/>
      <c r="V925" s="216"/>
      <c r="W925" s="216"/>
      <c r="X925" s="216"/>
    </row>
    <row r="926" spans="1:24" ht="15" customHeight="1">
      <c r="A926" s="134" t="s">
        <v>3520</v>
      </c>
      <c r="B926" s="91" t="s">
        <v>3521</v>
      </c>
      <c r="C926" s="133" t="s">
        <v>105</v>
      </c>
      <c r="D926" s="134" t="s">
        <v>3522</v>
      </c>
      <c r="E926" s="382" t="s">
        <v>3523</v>
      </c>
      <c r="F926" s="134" t="s">
        <v>635</v>
      </c>
      <c r="G926" s="379">
        <v>3</v>
      </c>
      <c r="H926" s="379">
        <v>3</v>
      </c>
      <c r="I926" s="379">
        <v>3</v>
      </c>
      <c r="J926" s="272">
        <v>50</v>
      </c>
      <c r="K926" s="564">
        <f t="shared" si="37"/>
        <v>16.666666666666668</v>
      </c>
      <c r="L926" s="338" t="s">
        <v>114</v>
      </c>
      <c r="M926" s="216"/>
      <c r="N926" s="216"/>
      <c r="O926" s="216"/>
      <c r="P926" s="216"/>
      <c r="Q926" s="216"/>
      <c r="R926" s="216"/>
      <c r="S926" s="216"/>
      <c r="T926" s="216"/>
      <c r="U926" s="216"/>
      <c r="V926" s="216"/>
      <c r="W926" s="216"/>
      <c r="X926" s="216"/>
    </row>
    <row r="927" spans="1:24" ht="15" customHeight="1">
      <c r="A927" s="134" t="s">
        <v>3524</v>
      </c>
      <c r="B927" s="134" t="s">
        <v>3525</v>
      </c>
      <c r="C927" s="133" t="s">
        <v>105</v>
      </c>
      <c r="D927" s="134" t="s">
        <v>3522</v>
      </c>
      <c r="E927" s="382" t="s">
        <v>3523</v>
      </c>
      <c r="F927" s="134" t="s">
        <v>635</v>
      </c>
      <c r="G927" s="379">
        <v>1</v>
      </c>
      <c r="H927" s="379">
        <v>1</v>
      </c>
      <c r="I927" s="379">
        <v>1</v>
      </c>
      <c r="J927" s="272">
        <v>50</v>
      </c>
      <c r="K927" s="134">
        <f t="shared" si="37"/>
        <v>50</v>
      </c>
      <c r="L927" s="338" t="s">
        <v>114</v>
      </c>
      <c r="M927" s="216"/>
      <c r="N927" s="216"/>
      <c r="O927" s="216"/>
      <c r="P927" s="216"/>
      <c r="Q927" s="216"/>
      <c r="R927" s="216"/>
      <c r="S927" s="216"/>
      <c r="T927" s="216"/>
      <c r="U927" s="216"/>
      <c r="V927" s="216"/>
      <c r="W927" s="216"/>
      <c r="X927" s="216"/>
    </row>
    <row r="928" spans="1:24" ht="15" customHeight="1">
      <c r="A928" s="134" t="s">
        <v>3513</v>
      </c>
      <c r="B928" s="91" t="s">
        <v>2225</v>
      </c>
      <c r="C928" s="133" t="s">
        <v>105</v>
      </c>
      <c r="D928" s="134" t="s">
        <v>3526</v>
      </c>
      <c r="E928" s="382" t="s">
        <v>3527</v>
      </c>
      <c r="F928" s="134" t="s">
        <v>635</v>
      </c>
      <c r="G928" s="379">
        <v>2</v>
      </c>
      <c r="H928" s="379">
        <v>2</v>
      </c>
      <c r="I928" s="379">
        <v>2</v>
      </c>
      <c r="J928" s="272">
        <v>50</v>
      </c>
      <c r="K928" s="134">
        <f t="shared" si="37"/>
        <v>25</v>
      </c>
      <c r="L928" s="338" t="s">
        <v>114</v>
      </c>
      <c r="M928" s="216"/>
      <c r="N928" s="216"/>
      <c r="O928" s="216"/>
      <c r="P928" s="216"/>
      <c r="Q928" s="216"/>
      <c r="R928" s="216"/>
      <c r="S928" s="216"/>
      <c r="T928" s="216"/>
      <c r="U928" s="216"/>
      <c r="V928" s="216"/>
      <c r="W928" s="216"/>
      <c r="X928" s="216"/>
    </row>
    <row r="929" spans="1:24" ht="15" customHeight="1">
      <c r="A929" s="134" t="s">
        <v>3520</v>
      </c>
      <c r="B929" s="91" t="s">
        <v>3521</v>
      </c>
      <c r="C929" s="133" t="s">
        <v>105</v>
      </c>
      <c r="D929" s="134" t="s">
        <v>3528</v>
      </c>
      <c r="E929" s="382" t="s">
        <v>3529</v>
      </c>
      <c r="F929" s="134" t="s">
        <v>635</v>
      </c>
      <c r="G929" s="379">
        <v>3</v>
      </c>
      <c r="H929" s="379">
        <v>3</v>
      </c>
      <c r="I929" s="379">
        <v>3</v>
      </c>
      <c r="J929" s="272">
        <v>50</v>
      </c>
      <c r="K929" s="564">
        <f t="shared" si="37"/>
        <v>16.666666666666668</v>
      </c>
      <c r="L929" s="338" t="s">
        <v>114</v>
      </c>
      <c r="M929" s="216"/>
      <c r="N929" s="216"/>
      <c r="O929" s="216"/>
      <c r="P929" s="216"/>
      <c r="Q929" s="216"/>
      <c r="R929" s="216"/>
      <c r="S929" s="216"/>
      <c r="T929" s="216"/>
      <c r="U929" s="216"/>
      <c r="V929" s="216"/>
      <c r="W929" s="216"/>
      <c r="X929" s="216"/>
    </row>
    <row r="930" spans="1:24" ht="15" customHeight="1">
      <c r="A930" s="134" t="s">
        <v>3530</v>
      </c>
      <c r="B930" s="134" t="s">
        <v>3531</v>
      </c>
      <c r="C930" s="99"/>
      <c r="D930" s="134" t="s">
        <v>3532</v>
      </c>
      <c r="E930" s="382" t="s">
        <v>3533</v>
      </c>
      <c r="F930" s="238" t="s">
        <v>3534</v>
      </c>
      <c r="G930" s="99">
        <v>6</v>
      </c>
      <c r="H930" s="99">
        <v>6</v>
      </c>
      <c r="I930" s="99">
        <v>6</v>
      </c>
      <c r="J930" s="272">
        <v>50</v>
      </c>
      <c r="K930" s="564">
        <f t="shared" si="37"/>
        <v>8.3333333333333339</v>
      </c>
      <c r="L930" s="338" t="s">
        <v>114</v>
      </c>
      <c r="M930" s="216"/>
      <c r="N930" s="216"/>
      <c r="O930" s="216"/>
      <c r="P930" s="216"/>
      <c r="Q930" s="216"/>
      <c r="R930" s="216"/>
      <c r="S930" s="216"/>
      <c r="T930" s="216"/>
      <c r="U930" s="216"/>
      <c r="V930" s="216"/>
      <c r="W930" s="216"/>
      <c r="X930" s="216"/>
    </row>
    <row r="931" spans="1:24" ht="15" customHeight="1">
      <c r="A931" s="302" t="s">
        <v>3535</v>
      </c>
      <c r="B931" s="302" t="s">
        <v>3536</v>
      </c>
      <c r="C931" s="301" t="s">
        <v>105</v>
      </c>
      <c r="D931" s="302" t="s">
        <v>3537</v>
      </c>
      <c r="E931" s="565" t="s">
        <v>1016</v>
      </c>
      <c r="F931" s="302" t="s">
        <v>1338</v>
      </c>
      <c r="G931" s="566">
        <v>4</v>
      </c>
      <c r="H931" s="566">
        <v>4</v>
      </c>
      <c r="I931" s="566">
        <v>4</v>
      </c>
      <c r="J931" s="512">
        <v>50</v>
      </c>
      <c r="K931" s="302">
        <f t="shared" si="37"/>
        <v>12.5</v>
      </c>
      <c r="L931" s="338" t="s">
        <v>931</v>
      </c>
      <c r="M931" s="216"/>
      <c r="N931" s="216"/>
      <c r="O931" s="216"/>
      <c r="P931" s="216"/>
      <c r="Q931" s="216"/>
      <c r="R931" s="216"/>
      <c r="S931" s="216"/>
      <c r="T931" s="216"/>
      <c r="U931" s="216"/>
      <c r="V931" s="216"/>
      <c r="W931" s="216"/>
      <c r="X931" s="216"/>
    </row>
    <row r="932" spans="1:24" ht="15" customHeight="1">
      <c r="A932" s="302" t="s">
        <v>3538</v>
      </c>
      <c r="B932" s="504" t="s">
        <v>3539</v>
      </c>
      <c r="C932" s="301" t="s">
        <v>105</v>
      </c>
      <c r="D932" s="302" t="s">
        <v>3540</v>
      </c>
      <c r="E932" s="490" t="s">
        <v>3541</v>
      </c>
      <c r="F932" s="302" t="s">
        <v>1338</v>
      </c>
      <c r="G932" s="566">
        <v>4</v>
      </c>
      <c r="H932" s="566">
        <v>4</v>
      </c>
      <c r="I932" s="566">
        <v>4</v>
      </c>
      <c r="J932" s="512">
        <v>50</v>
      </c>
      <c r="K932" s="302">
        <f t="shared" si="37"/>
        <v>12.5</v>
      </c>
      <c r="L932" s="338" t="s">
        <v>931</v>
      </c>
      <c r="M932" s="216"/>
      <c r="N932" s="216"/>
      <c r="O932" s="216"/>
      <c r="P932" s="216"/>
      <c r="Q932" s="216"/>
      <c r="R932" s="216"/>
      <c r="S932" s="216"/>
      <c r="T932" s="216"/>
      <c r="U932" s="216"/>
      <c r="V932" s="216"/>
      <c r="W932" s="216"/>
      <c r="X932" s="216"/>
    </row>
    <row r="933" spans="1:24" ht="15" customHeight="1">
      <c r="A933" s="302" t="s">
        <v>3542</v>
      </c>
      <c r="B933" s="302" t="s">
        <v>3543</v>
      </c>
      <c r="C933" s="301" t="s">
        <v>105</v>
      </c>
      <c r="D933" s="302" t="s">
        <v>3544</v>
      </c>
      <c r="E933" s="490" t="s">
        <v>3545</v>
      </c>
      <c r="F933" s="302" t="s">
        <v>1338</v>
      </c>
      <c r="G933" s="566">
        <v>4</v>
      </c>
      <c r="H933" s="566">
        <v>3</v>
      </c>
      <c r="I933" s="566">
        <v>4</v>
      </c>
      <c r="J933" s="512">
        <v>50</v>
      </c>
      <c r="K933" s="302">
        <f t="shared" si="37"/>
        <v>12.5</v>
      </c>
      <c r="L933" s="338" t="s">
        <v>931</v>
      </c>
      <c r="M933" s="216"/>
      <c r="N933" s="216"/>
      <c r="O933" s="216"/>
      <c r="P933" s="216"/>
      <c r="Q933" s="216"/>
      <c r="R933" s="216"/>
      <c r="S933" s="216"/>
      <c r="T933" s="216"/>
      <c r="U933" s="216"/>
      <c r="V933" s="216"/>
      <c r="W933" s="216"/>
      <c r="X933" s="216"/>
    </row>
    <row r="934" spans="1:24" ht="15" customHeight="1">
      <c r="A934" s="302" t="s">
        <v>3546</v>
      </c>
      <c r="B934" s="302" t="s">
        <v>3547</v>
      </c>
      <c r="C934" s="301" t="s">
        <v>105</v>
      </c>
      <c r="D934" s="302" t="s">
        <v>3548</v>
      </c>
      <c r="E934" s="490" t="s">
        <v>3549</v>
      </c>
      <c r="F934" s="302" t="s">
        <v>1338</v>
      </c>
      <c r="G934" s="566">
        <v>4</v>
      </c>
      <c r="H934" s="566">
        <v>4</v>
      </c>
      <c r="I934" s="566">
        <v>4</v>
      </c>
      <c r="J934" s="512">
        <v>50</v>
      </c>
      <c r="K934" s="302">
        <f t="shared" si="37"/>
        <v>12.5</v>
      </c>
      <c r="L934" s="338" t="s">
        <v>931</v>
      </c>
      <c r="M934" s="216"/>
      <c r="N934" s="216"/>
      <c r="O934" s="216"/>
      <c r="P934" s="216"/>
      <c r="Q934" s="216"/>
      <c r="R934" s="216"/>
      <c r="S934" s="216"/>
      <c r="T934" s="216"/>
      <c r="U934" s="216"/>
      <c r="V934" s="216"/>
      <c r="W934" s="216"/>
      <c r="X934" s="216"/>
    </row>
    <row r="935" spans="1:24" ht="15" customHeight="1">
      <c r="A935" s="302" t="s">
        <v>3550</v>
      </c>
      <c r="B935" s="301" t="s">
        <v>3551</v>
      </c>
      <c r="C935" s="567" t="s">
        <v>105</v>
      </c>
      <c r="D935" s="568" t="s">
        <v>3552</v>
      </c>
      <c r="E935" s="490" t="s">
        <v>3553</v>
      </c>
      <c r="F935" s="302" t="s">
        <v>1338</v>
      </c>
      <c r="G935" s="566">
        <v>1</v>
      </c>
      <c r="H935" s="566">
        <v>1</v>
      </c>
      <c r="I935" s="566">
        <v>1</v>
      </c>
      <c r="J935" s="569">
        <v>50</v>
      </c>
      <c r="K935" s="302">
        <f t="shared" si="37"/>
        <v>50</v>
      </c>
      <c r="L935" s="338" t="s">
        <v>931</v>
      </c>
      <c r="M935" s="216"/>
      <c r="N935" s="216"/>
      <c r="O935" s="216"/>
      <c r="P935" s="216"/>
      <c r="Q935" s="216"/>
      <c r="R935" s="216"/>
      <c r="S935" s="216"/>
      <c r="T935" s="216"/>
      <c r="U935" s="216"/>
      <c r="V935" s="216"/>
      <c r="W935" s="216"/>
      <c r="X935" s="216"/>
    </row>
    <row r="936" spans="1:24" ht="15" customHeight="1">
      <c r="A936" s="570" t="s">
        <v>3554</v>
      </c>
      <c r="B936" s="571" t="s">
        <v>3551</v>
      </c>
      <c r="C936" s="567" t="s">
        <v>105</v>
      </c>
      <c r="D936" s="568" t="s">
        <v>3555</v>
      </c>
      <c r="E936" s="490" t="s">
        <v>3556</v>
      </c>
      <c r="F936" s="572" t="s">
        <v>635</v>
      </c>
      <c r="G936" s="566">
        <v>1</v>
      </c>
      <c r="H936" s="566">
        <v>1</v>
      </c>
      <c r="I936" s="566">
        <v>1</v>
      </c>
      <c r="J936" s="569">
        <v>50</v>
      </c>
      <c r="K936" s="302">
        <f t="shared" si="37"/>
        <v>50</v>
      </c>
      <c r="L936" s="338" t="s">
        <v>931</v>
      </c>
      <c r="M936" s="216"/>
      <c r="N936" s="216"/>
      <c r="O936" s="216"/>
      <c r="P936" s="216"/>
      <c r="Q936" s="216"/>
      <c r="R936" s="216"/>
      <c r="S936" s="216"/>
      <c r="T936" s="216"/>
      <c r="U936" s="216"/>
      <c r="V936" s="216"/>
      <c r="W936" s="216"/>
      <c r="X936" s="216"/>
    </row>
    <row r="937" spans="1:24" ht="15" customHeight="1">
      <c r="A937" s="570" t="s">
        <v>3554</v>
      </c>
      <c r="B937" s="571" t="s">
        <v>3551</v>
      </c>
      <c r="C937" s="567" t="s">
        <v>105</v>
      </c>
      <c r="D937" s="301" t="s">
        <v>3557</v>
      </c>
      <c r="E937" s="573" t="s">
        <v>3558</v>
      </c>
      <c r="F937" s="574" t="s">
        <v>635</v>
      </c>
      <c r="G937" s="575">
        <v>1</v>
      </c>
      <c r="H937" s="566">
        <v>1</v>
      </c>
      <c r="I937" s="566">
        <v>1</v>
      </c>
      <c r="J937" s="569">
        <v>50</v>
      </c>
      <c r="K937" s="302">
        <f t="shared" si="37"/>
        <v>50</v>
      </c>
      <c r="L937" s="338" t="s">
        <v>931</v>
      </c>
      <c r="M937" s="216"/>
      <c r="N937" s="216"/>
      <c r="O937" s="216"/>
      <c r="P937" s="216"/>
      <c r="Q937" s="216"/>
      <c r="R937" s="216"/>
      <c r="S937" s="216"/>
      <c r="T937" s="216"/>
      <c r="U937" s="216"/>
      <c r="V937" s="216"/>
      <c r="W937" s="216"/>
      <c r="X937" s="216"/>
    </row>
    <row r="938" spans="1:24" ht="15" customHeight="1">
      <c r="A938" s="514" t="s">
        <v>3559</v>
      </c>
      <c r="B938" s="519" t="s">
        <v>3560</v>
      </c>
      <c r="C938" s="515" t="s">
        <v>105</v>
      </c>
      <c r="D938" s="301" t="s">
        <v>3561</v>
      </c>
      <c r="E938" s="576" t="s">
        <v>3562</v>
      </c>
      <c r="F938" s="301" t="s">
        <v>635</v>
      </c>
      <c r="G938" s="575">
        <v>4</v>
      </c>
      <c r="H938" s="566">
        <v>4</v>
      </c>
      <c r="I938" s="566">
        <v>4</v>
      </c>
      <c r="J938" s="569">
        <v>50</v>
      </c>
      <c r="K938" s="302">
        <f t="shared" si="37"/>
        <v>12.5</v>
      </c>
      <c r="L938" s="338" t="s">
        <v>931</v>
      </c>
      <c r="M938" s="216"/>
      <c r="N938" s="216"/>
      <c r="O938" s="216"/>
      <c r="P938" s="216"/>
      <c r="Q938" s="216"/>
      <c r="R938" s="216"/>
      <c r="S938" s="216"/>
      <c r="T938" s="216"/>
      <c r="U938" s="216"/>
      <c r="V938" s="216"/>
      <c r="W938" s="216"/>
      <c r="X938" s="216"/>
    </row>
    <row r="939" spans="1:24" ht="15" customHeight="1">
      <c r="A939" s="134" t="s">
        <v>3563</v>
      </c>
      <c r="B939" s="91" t="s">
        <v>3564</v>
      </c>
      <c r="C939" s="133" t="s">
        <v>105</v>
      </c>
      <c r="D939" s="134" t="s">
        <v>3565</v>
      </c>
      <c r="E939" s="421" t="s">
        <v>3566</v>
      </c>
      <c r="F939" s="99" t="s">
        <v>635</v>
      </c>
      <c r="G939" s="379">
        <v>4</v>
      </c>
      <c r="H939" s="379">
        <v>4</v>
      </c>
      <c r="I939" s="379">
        <v>4</v>
      </c>
      <c r="J939" s="272">
        <v>50</v>
      </c>
      <c r="K939" s="134">
        <f t="shared" si="37"/>
        <v>12.5</v>
      </c>
      <c r="L939" s="338" t="s">
        <v>952</v>
      </c>
      <c r="M939" s="216"/>
      <c r="N939" s="216"/>
      <c r="O939" s="216"/>
      <c r="P939" s="216"/>
      <c r="Q939" s="216"/>
      <c r="R939" s="216"/>
      <c r="S939" s="216"/>
      <c r="T939" s="216"/>
      <c r="U939" s="216"/>
      <c r="V939" s="216"/>
      <c r="W939" s="216"/>
      <c r="X939" s="216"/>
    </row>
    <row r="940" spans="1:24" ht="15" customHeight="1">
      <c r="A940" s="577" t="s">
        <v>3567</v>
      </c>
      <c r="B940" s="256" t="s">
        <v>3568</v>
      </c>
      <c r="C940" s="469" t="s">
        <v>105</v>
      </c>
      <c r="D940" s="256" t="s">
        <v>3569</v>
      </c>
      <c r="E940" s="99" t="s">
        <v>3570</v>
      </c>
      <c r="F940" s="578" t="s">
        <v>3571</v>
      </c>
      <c r="G940" s="94">
        <v>2</v>
      </c>
      <c r="H940" s="94">
        <v>2</v>
      </c>
      <c r="I940" s="94">
        <v>2</v>
      </c>
      <c r="J940" s="385">
        <v>50</v>
      </c>
      <c r="K940" s="114">
        <f t="shared" si="37"/>
        <v>25</v>
      </c>
      <c r="L940" s="338" t="s">
        <v>952</v>
      </c>
      <c r="M940" s="216"/>
      <c r="N940" s="216"/>
      <c r="O940" s="216"/>
      <c r="P940" s="216"/>
      <c r="Q940" s="216"/>
      <c r="R940" s="216"/>
      <c r="S940" s="216"/>
      <c r="T940" s="216"/>
      <c r="U940" s="216"/>
      <c r="V940" s="216"/>
      <c r="W940" s="216"/>
      <c r="X940" s="216"/>
    </row>
    <row r="941" spans="1:24" ht="15" customHeight="1">
      <c r="A941" s="134" t="s">
        <v>3572</v>
      </c>
      <c r="B941" s="471" t="s">
        <v>3573</v>
      </c>
      <c r="C941" s="133" t="s">
        <v>105</v>
      </c>
      <c r="D941" s="134" t="s">
        <v>3574</v>
      </c>
      <c r="E941" s="579" t="s">
        <v>3575</v>
      </c>
      <c r="F941" s="578" t="s">
        <v>3576</v>
      </c>
      <c r="G941" s="99">
        <v>3</v>
      </c>
      <c r="H941" s="99">
        <v>1</v>
      </c>
      <c r="I941" s="99">
        <v>3</v>
      </c>
      <c r="J941" s="385">
        <v>50</v>
      </c>
      <c r="K941" s="114">
        <f t="shared" si="37"/>
        <v>16.666666666666668</v>
      </c>
      <c r="L941" s="338" t="s">
        <v>952</v>
      </c>
      <c r="M941" s="216"/>
      <c r="N941" s="216"/>
      <c r="O941" s="216"/>
      <c r="P941" s="216"/>
      <c r="Q941" s="216"/>
      <c r="R941" s="216"/>
      <c r="S941" s="216"/>
      <c r="T941" s="216"/>
      <c r="U941" s="216"/>
      <c r="V941" s="216"/>
      <c r="W941" s="216"/>
      <c r="X941" s="216"/>
    </row>
    <row r="942" spans="1:24" ht="15" customHeight="1">
      <c r="A942" s="284" t="s">
        <v>3577</v>
      </c>
      <c r="B942" s="284" t="s">
        <v>3578</v>
      </c>
      <c r="C942" s="133" t="s">
        <v>105</v>
      </c>
      <c r="D942" s="284" t="s">
        <v>3579</v>
      </c>
      <c r="E942" s="488" t="s">
        <v>3580</v>
      </c>
      <c r="F942" s="238" t="s">
        <v>635</v>
      </c>
      <c r="G942" s="99">
        <v>4</v>
      </c>
      <c r="H942" s="99">
        <v>4</v>
      </c>
      <c r="I942" s="99">
        <v>4</v>
      </c>
      <c r="J942" s="385">
        <v>50</v>
      </c>
      <c r="K942" s="114">
        <f t="shared" si="37"/>
        <v>12.5</v>
      </c>
      <c r="L942" s="338" t="s">
        <v>952</v>
      </c>
      <c r="M942" s="216"/>
      <c r="N942" s="216"/>
      <c r="O942" s="216"/>
      <c r="P942" s="216"/>
      <c r="Q942" s="216"/>
      <c r="R942" s="216"/>
      <c r="S942" s="216"/>
      <c r="T942" s="216"/>
      <c r="U942" s="216"/>
      <c r="V942" s="216"/>
      <c r="W942" s="216"/>
      <c r="X942" s="216"/>
    </row>
    <row r="943" spans="1:24" ht="15" customHeight="1">
      <c r="A943" s="580" t="s">
        <v>3581</v>
      </c>
      <c r="B943" s="284" t="s">
        <v>3582</v>
      </c>
      <c r="C943" s="133" t="s">
        <v>105</v>
      </c>
      <c r="D943" s="284" t="s">
        <v>3583</v>
      </c>
      <c r="E943" s="488" t="s">
        <v>3584</v>
      </c>
      <c r="F943" s="238" t="s">
        <v>635</v>
      </c>
      <c r="G943" s="99">
        <v>6</v>
      </c>
      <c r="H943" s="99">
        <v>6</v>
      </c>
      <c r="I943" s="99">
        <v>6</v>
      </c>
      <c r="J943" s="385">
        <v>50</v>
      </c>
      <c r="K943" s="114">
        <f>50/6</f>
        <v>8.3333333333333339</v>
      </c>
      <c r="L943" s="338" t="s">
        <v>952</v>
      </c>
      <c r="M943" s="216"/>
      <c r="N943" s="216"/>
      <c r="O943" s="216"/>
      <c r="P943" s="216"/>
      <c r="Q943" s="216"/>
      <c r="R943" s="216"/>
      <c r="S943" s="216"/>
      <c r="T943" s="216"/>
      <c r="U943" s="216"/>
      <c r="V943" s="216"/>
      <c r="W943" s="216"/>
      <c r="X943" s="216"/>
    </row>
    <row r="944" spans="1:24" ht="15" customHeight="1">
      <c r="A944" s="284" t="s">
        <v>3585</v>
      </c>
      <c r="B944" s="284" t="s">
        <v>3586</v>
      </c>
      <c r="C944" s="133" t="s">
        <v>105</v>
      </c>
      <c r="D944" s="284" t="s">
        <v>3587</v>
      </c>
      <c r="E944" s="488" t="s">
        <v>3588</v>
      </c>
      <c r="F944" s="238" t="s">
        <v>635</v>
      </c>
      <c r="G944" s="99">
        <v>4</v>
      </c>
      <c r="H944" s="99">
        <v>4</v>
      </c>
      <c r="I944" s="99">
        <v>4</v>
      </c>
      <c r="J944" s="385">
        <v>50</v>
      </c>
      <c r="K944" s="114">
        <f t="shared" ref="K944:K952" si="38">J944/I944</f>
        <v>12.5</v>
      </c>
      <c r="L944" s="338" t="s">
        <v>952</v>
      </c>
      <c r="M944" s="216"/>
      <c r="N944" s="216"/>
      <c r="O944" s="216"/>
      <c r="P944" s="216"/>
      <c r="Q944" s="216"/>
      <c r="R944" s="216"/>
      <c r="S944" s="216"/>
      <c r="T944" s="216"/>
      <c r="U944" s="216"/>
      <c r="V944" s="216"/>
      <c r="W944" s="216"/>
      <c r="X944" s="216"/>
    </row>
    <row r="945" spans="1:24" ht="15" customHeight="1">
      <c r="A945" s="284" t="s">
        <v>3585</v>
      </c>
      <c r="B945" s="284" t="s">
        <v>3586</v>
      </c>
      <c r="C945" s="133" t="s">
        <v>105</v>
      </c>
      <c r="D945" s="284" t="s">
        <v>3589</v>
      </c>
      <c r="E945" s="488" t="s">
        <v>3590</v>
      </c>
      <c r="F945" s="238" t="s">
        <v>635</v>
      </c>
      <c r="G945" s="99">
        <v>4</v>
      </c>
      <c r="H945" s="99">
        <v>4</v>
      </c>
      <c r="I945" s="99">
        <v>4</v>
      </c>
      <c r="J945" s="385">
        <v>50</v>
      </c>
      <c r="K945" s="114">
        <f t="shared" si="38"/>
        <v>12.5</v>
      </c>
      <c r="L945" s="338" t="s">
        <v>952</v>
      </c>
      <c r="M945" s="216"/>
      <c r="N945" s="216"/>
      <c r="O945" s="216"/>
      <c r="P945" s="216"/>
      <c r="Q945" s="216"/>
      <c r="R945" s="216"/>
      <c r="S945" s="216"/>
      <c r="T945" s="216"/>
      <c r="U945" s="216"/>
      <c r="V945" s="216"/>
      <c r="W945" s="216"/>
      <c r="X945" s="216"/>
    </row>
    <row r="946" spans="1:24" ht="15" customHeight="1">
      <c r="A946" s="284" t="s">
        <v>3591</v>
      </c>
      <c r="B946" s="284" t="s">
        <v>3592</v>
      </c>
      <c r="C946" s="133" t="s">
        <v>105</v>
      </c>
      <c r="D946" s="284" t="s">
        <v>3593</v>
      </c>
      <c r="E946" s="488" t="s">
        <v>3594</v>
      </c>
      <c r="F946" s="238" t="s">
        <v>3595</v>
      </c>
      <c r="G946" s="99">
        <v>7</v>
      </c>
      <c r="H946" s="99">
        <v>7</v>
      </c>
      <c r="I946" s="99">
        <v>7</v>
      </c>
      <c r="J946" s="385">
        <v>50</v>
      </c>
      <c r="K946" s="114">
        <f t="shared" si="38"/>
        <v>7.1428571428571432</v>
      </c>
      <c r="L946" s="338" t="s">
        <v>952</v>
      </c>
      <c r="M946" s="216"/>
      <c r="N946" s="216"/>
      <c r="O946" s="216"/>
      <c r="P946" s="216"/>
      <c r="Q946" s="216"/>
      <c r="R946" s="216"/>
      <c r="S946" s="216"/>
      <c r="T946" s="216"/>
      <c r="U946" s="216"/>
      <c r="V946" s="216"/>
      <c r="W946" s="216"/>
      <c r="X946" s="216"/>
    </row>
    <row r="947" spans="1:24" ht="15" customHeight="1">
      <c r="A947" s="134" t="s">
        <v>3591</v>
      </c>
      <c r="B947" s="134" t="s">
        <v>3592</v>
      </c>
      <c r="C947" s="133" t="s">
        <v>105</v>
      </c>
      <c r="D947" s="134" t="s">
        <v>3579</v>
      </c>
      <c r="E947" s="488" t="s">
        <v>3596</v>
      </c>
      <c r="F947" s="238" t="s">
        <v>1338</v>
      </c>
      <c r="G947" s="99">
        <v>7</v>
      </c>
      <c r="H947" s="99">
        <v>7</v>
      </c>
      <c r="I947" s="99">
        <v>7</v>
      </c>
      <c r="J947" s="385">
        <v>50</v>
      </c>
      <c r="K947" s="114">
        <f t="shared" si="38"/>
        <v>7.1428571428571432</v>
      </c>
      <c r="L947" s="338" t="s">
        <v>952</v>
      </c>
      <c r="M947" s="216"/>
      <c r="N947" s="216"/>
      <c r="O947" s="216"/>
      <c r="P947" s="216"/>
      <c r="Q947" s="216"/>
      <c r="R947" s="216"/>
      <c r="S947" s="216"/>
      <c r="T947" s="216"/>
      <c r="U947" s="216"/>
      <c r="V947" s="216"/>
      <c r="W947" s="216"/>
      <c r="X947" s="216"/>
    </row>
    <row r="948" spans="1:24" ht="15" customHeight="1">
      <c r="A948" s="134" t="s">
        <v>3591</v>
      </c>
      <c r="B948" s="134" t="s">
        <v>3592</v>
      </c>
      <c r="C948" s="133" t="s">
        <v>105</v>
      </c>
      <c r="D948" s="134" t="s">
        <v>3597</v>
      </c>
      <c r="E948" s="488" t="s">
        <v>3598</v>
      </c>
      <c r="F948" s="238" t="s">
        <v>3599</v>
      </c>
      <c r="G948" s="99">
        <v>7</v>
      </c>
      <c r="H948" s="99">
        <v>7</v>
      </c>
      <c r="I948" s="99">
        <v>7</v>
      </c>
      <c r="J948" s="385">
        <v>50</v>
      </c>
      <c r="K948" s="114">
        <f t="shared" si="38"/>
        <v>7.1428571428571432</v>
      </c>
      <c r="L948" s="338" t="s">
        <v>952</v>
      </c>
      <c r="M948" s="216"/>
      <c r="N948" s="216"/>
      <c r="O948" s="216"/>
      <c r="P948" s="216"/>
      <c r="Q948" s="216"/>
      <c r="R948" s="216"/>
      <c r="S948" s="216"/>
      <c r="T948" s="216"/>
      <c r="U948" s="216"/>
      <c r="V948" s="216"/>
      <c r="W948" s="216"/>
      <c r="X948" s="216"/>
    </row>
    <row r="949" spans="1:24" ht="15" customHeight="1">
      <c r="A949" s="302" t="s">
        <v>3600</v>
      </c>
      <c r="B949" s="302" t="s">
        <v>3601</v>
      </c>
      <c r="C949" s="301" t="s">
        <v>105</v>
      </c>
      <c r="D949" s="302" t="s">
        <v>3602</v>
      </c>
      <c r="E949" s="490" t="s">
        <v>3603</v>
      </c>
      <c r="F949" s="290" t="s">
        <v>1338</v>
      </c>
      <c r="G949" s="566">
        <v>7</v>
      </c>
      <c r="H949" s="566">
        <v>7</v>
      </c>
      <c r="I949" s="566">
        <v>7</v>
      </c>
      <c r="J949" s="581">
        <v>50</v>
      </c>
      <c r="K949" s="582">
        <f t="shared" si="38"/>
        <v>7.1428571428571432</v>
      </c>
      <c r="L949" s="338" t="s">
        <v>952</v>
      </c>
      <c r="M949" s="216"/>
      <c r="N949" s="216"/>
      <c r="O949" s="216"/>
      <c r="P949" s="216"/>
      <c r="Q949" s="216"/>
      <c r="R949" s="216"/>
      <c r="S949" s="216"/>
      <c r="T949" s="216"/>
      <c r="U949" s="216"/>
      <c r="V949" s="216"/>
      <c r="W949" s="216"/>
      <c r="X949" s="216"/>
    </row>
    <row r="950" spans="1:24" ht="15" customHeight="1">
      <c r="A950" s="256" t="s">
        <v>3604</v>
      </c>
      <c r="B950" s="469" t="s">
        <v>3605</v>
      </c>
      <c r="C950" s="469" t="s">
        <v>105</v>
      </c>
      <c r="D950" s="583" t="s">
        <v>3606</v>
      </c>
      <c r="E950" s="584" t="s">
        <v>3607</v>
      </c>
      <c r="F950" s="424" t="s">
        <v>635</v>
      </c>
      <c r="G950" s="177">
        <v>5</v>
      </c>
      <c r="H950" s="177">
        <v>5</v>
      </c>
      <c r="I950" s="177">
        <v>5</v>
      </c>
      <c r="J950" s="467">
        <v>50</v>
      </c>
      <c r="K950" s="179">
        <f t="shared" si="38"/>
        <v>10</v>
      </c>
      <c r="L950" s="338" t="s">
        <v>952</v>
      </c>
      <c r="M950" s="216"/>
      <c r="N950" s="216"/>
      <c r="O950" s="216"/>
      <c r="P950" s="216"/>
      <c r="Q950" s="216"/>
      <c r="R950" s="216"/>
      <c r="S950" s="216"/>
      <c r="T950" s="216"/>
      <c r="U950" s="216"/>
      <c r="V950" s="216"/>
      <c r="W950" s="216"/>
      <c r="X950" s="216"/>
    </row>
    <row r="951" spans="1:24" ht="15" customHeight="1">
      <c r="A951" s="134" t="s">
        <v>3608</v>
      </c>
      <c r="B951" s="133" t="s">
        <v>3609</v>
      </c>
      <c r="C951" s="133" t="s">
        <v>105</v>
      </c>
      <c r="D951" s="131" t="s">
        <v>3610</v>
      </c>
      <c r="E951" s="585" t="s">
        <v>3611</v>
      </c>
      <c r="F951" s="238" t="s">
        <v>635</v>
      </c>
      <c r="G951" s="99">
        <v>3</v>
      </c>
      <c r="H951" s="99">
        <v>3</v>
      </c>
      <c r="I951" s="99">
        <v>3</v>
      </c>
      <c r="J951" s="385">
        <v>50</v>
      </c>
      <c r="K951" s="114">
        <f t="shared" si="38"/>
        <v>16.666666666666668</v>
      </c>
      <c r="L951" s="338" t="s">
        <v>952</v>
      </c>
      <c r="M951" s="216"/>
      <c r="N951" s="216"/>
      <c r="O951" s="216"/>
      <c r="P951" s="216"/>
      <c r="Q951" s="216"/>
      <c r="R951" s="216"/>
      <c r="S951" s="216"/>
      <c r="T951" s="216"/>
      <c r="U951" s="216"/>
      <c r="V951" s="216"/>
      <c r="W951" s="216"/>
      <c r="X951" s="216"/>
    </row>
    <row r="952" spans="1:24" ht="15" customHeight="1">
      <c r="A952" s="134" t="s">
        <v>3608</v>
      </c>
      <c r="B952" s="133" t="s">
        <v>3609</v>
      </c>
      <c r="C952" s="133" t="s">
        <v>105</v>
      </c>
      <c r="D952" s="134" t="s">
        <v>3612</v>
      </c>
      <c r="E952" s="550" t="s">
        <v>3613</v>
      </c>
      <c r="F952" s="238" t="s">
        <v>635</v>
      </c>
      <c r="G952" s="99">
        <v>3</v>
      </c>
      <c r="H952" s="99">
        <v>3</v>
      </c>
      <c r="I952" s="99">
        <v>3</v>
      </c>
      <c r="J952" s="385">
        <v>50</v>
      </c>
      <c r="K952" s="114">
        <f t="shared" si="38"/>
        <v>16.666666666666668</v>
      </c>
      <c r="L952" s="338" t="s">
        <v>952</v>
      </c>
      <c r="M952" s="216"/>
      <c r="N952" s="216"/>
      <c r="O952" s="216"/>
      <c r="P952" s="216"/>
      <c r="Q952" s="216"/>
      <c r="R952" s="216"/>
      <c r="S952" s="216"/>
      <c r="T952" s="216"/>
      <c r="U952" s="216"/>
      <c r="V952" s="216"/>
      <c r="W952" s="216"/>
      <c r="X952" s="216"/>
    </row>
    <row r="953" spans="1:24" ht="15" customHeight="1">
      <c r="A953" s="302" t="s">
        <v>2840</v>
      </c>
      <c r="B953" s="301" t="s">
        <v>2841</v>
      </c>
      <c r="C953" s="290" t="s">
        <v>105</v>
      </c>
      <c r="D953" s="301" t="s">
        <v>2842</v>
      </c>
      <c r="E953" s="301" t="s">
        <v>2843</v>
      </c>
      <c r="F953" s="290" t="s">
        <v>1338</v>
      </c>
      <c r="G953" s="290">
        <v>2</v>
      </c>
      <c r="H953" s="290">
        <v>2</v>
      </c>
      <c r="I953" s="512">
        <v>3</v>
      </c>
      <c r="J953" s="512">
        <v>50</v>
      </c>
      <c r="K953" s="513">
        <f>50/2</f>
        <v>25</v>
      </c>
      <c r="L953" s="338" t="s">
        <v>123</v>
      </c>
      <c r="M953" s="216"/>
      <c r="N953" s="216"/>
      <c r="O953" s="216"/>
      <c r="P953" s="216"/>
      <c r="Q953" s="216"/>
      <c r="R953" s="216"/>
      <c r="S953" s="216"/>
      <c r="T953" s="216"/>
      <c r="U953" s="216"/>
      <c r="V953" s="216"/>
      <c r="W953" s="216"/>
      <c r="X953" s="216"/>
    </row>
    <row r="954" spans="1:24" ht="15" customHeight="1">
      <c r="A954" s="514" t="s">
        <v>2844</v>
      </c>
      <c r="B954" s="515" t="s">
        <v>2845</v>
      </c>
      <c r="C954" s="290" t="s">
        <v>105</v>
      </c>
      <c r="D954" s="301" t="s">
        <v>2846</v>
      </c>
      <c r="E954" s="301" t="s">
        <v>2847</v>
      </c>
      <c r="F954" s="290" t="s">
        <v>1338</v>
      </c>
      <c r="G954" s="304">
        <v>3</v>
      </c>
      <c r="H954" s="290">
        <v>3</v>
      </c>
      <c r="I954" s="290">
        <v>3</v>
      </c>
      <c r="J954" s="512">
        <v>50</v>
      </c>
      <c r="K954" s="513">
        <f t="shared" ref="K954:K955" si="39">50/3</f>
        <v>16.666666666666668</v>
      </c>
      <c r="L954" s="338" t="s">
        <v>123</v>
      </c>
      <c r="M954" s="216"/>
      <c r="N954" s="216"/>
      <c r="O954" s="216"/>
      <c r="P954" s="216"/>
      <c r="Q954" s="216"/>
      <c r="R954" s="216"/>
      <c r="S954" s="216"/>
      <c r="T954" s="216"/>
      <c r="U954" s="216"/>
      <c r="V954" s="216"/>
      <c r="W954" s="216"/>
      <c r="X954" s="216"/>
    </row>
    <row r="955" spans="1:24" ht="15" customHeight="1">
      <c r="A955" s="301" t="s">
        <v>2848</v>
      </c>
      <c r="B955" s="301" t="s">
        <v>2849</v>
      </c>
      <c r="C955" s="290" t="s">
        <v>105</v>
      </c>
      <c r="D955" s="301" t="s">
        <v>2850</v>
      </c>
      <c r="E955" s="301" t="s">
        <v>2851</v>
      </c>
      <c r="F955" s="290" t="s">
        <v>1338</v>
      </c>
      <c r="G955" s="304">
        <v>3</v>
      </c>
      <c r="H955" s="290">
        <v>3</v>
      </c>
      <c r="I955" s="290">
        <v>3</v>
      </c>
      <c r="J955" s="512">
        <v>50</v>
      </c>
      <c r="K955" s="513">
        <f t="shared" si="39"/>
        <v>16.666666666666668</v>
      </c>
      <c r="L955" s="338" t="s">
        <v>123</v>
      </c>
      <c r="M955" s="216"/>
      <c r="N955" s="216"/>
      <c r="O955" s="216"/>
      <c r="P955" s="216"/>
      <c r="Q955" s="216"/>
      <c r="R955" s="216"/>
      <c r="S955" s="216"/>
      <c r="T955" s="216"/>
      <c r="U955" s="216"/>
      <c r="V955" s="216"/>
      <c r="W955" s="216"/>
      <c r="X955" s="216"/>
    </row>
    <row r="956" spans="1:24" ht="15" customHeight="1">
      <c r="A956" s="302" t="s">
        <v>2852</v>
      </c>
      <c r="B956" s="301" t="s">
        <v>2853</v>
      </c>
      <c r="C956" s="290" t="s">
        <v>105</v>
      </c>
      <c r="D956" s="302" t="s">
        <v>2854</v>
      </c>
      <c r="E956" s="301" t="s">
        <v>2855</v>
      </c>
      <c r="F956" s="290" t="s">
        <v>1338</v>
      </c>
      <c r="G956" s="290">
        <v>2</v>
      </c>
      <c r="H956" s="290">
        <v>2</v>
      </c>
      <c r="I956" s="512">
        <v>3</v>
      </c>
      <c r="J956" s="512">
        <v>50</v>
      </c>
      <c r="K956" s="513">
        <f t="shared" ref="K956:K960" si="40">50/2</f>
        <v>25</v>
      </c>
      <c r="L956" s="338" t="s">
        <v>123</v>
      </c>
      <c r="M956" s="216"/>
      <c r="N956" s="216"/>
      <c r="O956" s="216"/>
      <c r="P956" s="216"/>
      <c r="Q956" s="216"/>
      <c r="R956" s="216"/>
      <c r="S956" s="216"/>
      <c r="T956" s="216"/>
      <c r="U956" s="216"/>
      <c r="V956" s="216"/>
      <c r="W956" s="216"/>
      <c r="X956" s="216"/>
    </row>
    <row r="957" spans="1:24" ht="15" customHeight="1">
      <c r="A957" s="302" t="s">
        <v>2852</v>
      </c>
      <c r="B957" s="301" t="s">
        <v>2853</v>
      </c>
      <c r="C957" s="290" t="s">
        <v>105</v>
      </c>
      <c r="D957" s="301" t="s">
        <v>2856</v>
      </c>
      <c r="E957" s="301" t="s">
        <v>2857</v>
      </c>
      <c r="F957" s="290" t="s">
        <v>635</v>
      </c>
      <c r="G957" s="290">
        <v>2</v>
      </c>
      <c r="H957" s="290">
        <v>2</v>
      </c>
      <c r="I957" s="512">
        <v>3</v>
      </c>
      <c r="J957" s="512">
        <v>50</v>
      </c>
      <c r="K957" s="513">
        <f t="shared" si="40"/>
        <v>25</v>
      </c>
      <c r="L957" s="338" t="s">
        <v>123</v>
      </c>
      <c r="M957" s="216"/>
      <c r="N957" s="216"/>
      <c r="O957" s="216"/>
      <c r="P957" s="216"/>
      <c r="Q957" s="216"/>
      <c r="R957" s="216"/>
      <c r="S957" s="216"/>
      <c r="T957" s="216"/>
      <c r="U957" s="216"/>
      <c r="V957" s="216"/>
      <c r="W957" s="216"/>
      <c r="X957" s="216"/>
    </row>
    <row r="958" spans="1:24" ht="15" customHeight="1">
      <c r="A958" s="302" t="s">
        <v>2852</v>
      </c>
      <c r="B958" s="301" t="s">
        <v>2853</v>
      </c>
      <c r="C958" s="290" t="s">
        <v>105</v>
      </c>
      <c r="D958" s="301" t="s">
        <v>2858</v>
      </c>
      <c r="E958" s="301" t="s">
        <v>2859</v>
      </c>
      <c r="F958" s="290" t="s">
        <v>635</v>
      </c>
      <c r="G958" s="290">
        <v>2</v>
      </c>
      <c r="H958" s="290">
        <v>2</v>
      </c>
      <c r="I958" s="512">
        <v>3</v>
      </c>
      <c r="J958" s="512">
        <v>50</v>
      </c>
      <c r="K958" s="513">
        <f t="shared" si="40"/>
        <v>25</v>
      </c>
      <c r="L958" s="338" t="s">
        <v>123</v>
      </c>
      <c r="M958" s="216"/>
      <c r="N958" s="216"/>
      <c r="O958" s="216"/>
      <c r="P958" s="216"/>
      <c r="Q958" s="216"/>
      <c r="R958" s="216"/>
      <c r="S958" s="216"/>
      <c r="T958" s="216"/>
      <c r="U958" s="216"/>
      <c r="V958" s="216"/>
      <c r="W958" s="216"/>
      <c r="X958" s="216"/>
    </row>
    <row r="959" spans="1:24" ht="15" customHeight="1">
      <c r="A959" s="302" t="s">
        <v>2852</v>
      </c>
      <c r="B959" s="301" t="s">
        <v>2853</v>
      </c>
      <c r="C959" s="290" t="s">
        <v>105</v>
      </c>
      <c r="D959" s="301" t="s">
        <v>2860</v>
      </c>
      <c r="E959" s="301" t="s">
        <v>2861</v>
      </c>
      <c r="F959" s="290" t="s">
        <v>635</v>
      </c>
      <c r="G959" s="290">
        <v>2</v>
      </c>
      <c r="H959" s="290">
        <v>2</v>
      </c>
      <c r="I959" s="512">
        <v>3</v>
      </c>
      <c r="J959" s="512">
        <v>50</v>
      </c>
      <c r="K959" s="513">
        <f t="shared" si="40"/>
        <v>25</v>
      </c>
      <c r="L959" s="338" t="s">
        <v>123</v>
      </c>
      <c r="M959" s="216"/>
      <c r="N959" s="216"/>
      <c r="O959" s="216"/>
      <c r="P959" s="216"/>
      <c r="Q959" s="216"/>
      <c r="R959" s="216"/>
      <c r="S959" s="216"/>
      <c r="T959" s="216"/>
      <c r="U959" s="216"/>
      <c r="V959" s="216"/>
      <c r="W959" s="216"/>
      <c r="X959" s="216"/>
    </row>
    <row r="960" spans="1:24" ht="15" customHeight="1">
      <c r="A960" s="134" t="s">
        <v>2852</v>
      </c>
      <c r="B960" s="586" t="s">
        <v>2853</v>
      </c>
      <c r="C960" s="99" t="s">
        <v>105</v>
      </c>
      <c r="D960" s="133" t="s">
        <v>3614</v>
      </c>
      <c r="E960" s="133" t="s">
        <v>2861</v>
      </c>
      <c r="F960" s="99" t="s">
        <v>1338</v>
      </c>
      <c r="G960" s="99">
        <v>2</v>
      </c>
      <c r="H960" s="99">
        <v>2</v>
      </c>
      <c r="I960" s="119">
        <v>3</v>
      </c>
      <c r="J960" s="272">
        <v>50</v>
      </c>
      <c r="K960" s="99">
        <f t="shared" si="40"/>
        <v>25</v>
      </c>
      <c r="L960" s="338" t="s">
        <v>123</v>
      </c>
      <c r="M960" s="216"/>
      <c r="N960" s="216"/>
      <c r="O960" s="216"/>
      <c r="P960" s="216"/>
      <c r="Q960" s="216"/>
      <c r="R960" s="216"/>
      <c r="S960" s="216"/>
      <c r="T960" s="216"/>
      <c r="U960" s="216"/>
      <c r="V960" s="216"/>
      <c r="W960" s="216"/>
      <c r="X960" s="216"/>
    </row>
    <row r="961" spans="1:24" ht="15" customHeight="1">
      <c r="A961" s="134" t="s">
        <v>3615</v>
      </c>
      <c r="B961" s="134" t="s">
        <v>3616</v>
      </c>
      <c r="C961" s="99" t="s">
        <v>105</v>
      </c>
      <c r="D961" s="134" t="s">
        <v>3617</v>
      </c>
      <c r="E961" s="99" t="s">
        <v>3618</v>
      </c>
      <c r="F961" s="238" t="s">
        <v>230</v>
      </c>
      <c r="G961" s="99">
        <v>4</v>
      </c>
      <c r="H961" s="99">
        <v>4</v>
      </c>
      <c r="I961" s="99">
        <v>4</v>
      </c>
      <c r="J961" s="385">
        <v>50</v>
      </c>
      <c r="K961" s="114">
        <v>12.5</v>
      </c>
      <c r="L961" s="338" t="s">
        <v>104</v>
      </c>
      <c r="M961" s="216"/>
      <c r="N961" s="216"/>
      <c r="O961" s="216"/>
      <c r="P961" s="216"/>
      <c r="Q961" s="216"/>
      <c r="R961" s="216"/>
      <c r="S961" s="216"/>
      <c r="T961" s="216"/>
      <c r="U961" s="216"/>
      <c r="V961" s="216"/>
      <c r="W961" s="216"/>
      <c r="X961" s="216"/>
    </row>
    <row r="962" spans="1:24" ht="15" customHeight="1">
      <c r="A962" s="134" t="s">
        <v>3615</v>
      </c>
      <c r="B962" s="134" t="s">
        <v>3616</v>
      </c>
      <c r="C962" s="99" t="s">
        <v>105</v>
      </c>
      <c r="D962" s="134" t="s">
        <v>3619</v>
      </c>
      <c r="E962" s="99" t="s">
        <v>3620</v>
      </c>
      <c r="F962" s="238" t="s">
        <v>2072</v>
      </c>
      <c r="G962" s="94">
        <v>4</v>
      </c>
      <c r="H962" s="94">
        <v>4</v>
      </c>
      <c r="I962" s="94">
        <v>4</v>
      </c>
      <c r="J962" s="385">
        <v>50</v>
      </c>
      <c r="K962" s="114">
        <v>12.5</v>
      </c>
      <c r="L962" s="338" t="s">
        <v>104</v>
      </c>
      <c r="M962" s="216"/>
      <c r="N962" s="216"/>
      <c r="O962" s="216"/>
      <c r="P962" s="216"/>
      <c r="Q962" s="216"/>
      <c r="R962" s="216"/>
      <c r="S962" s="216"/>
      <c r="T962" s="216"/>
      <c r="U962" s="216"/>
      <c r="V962" s="216"/>
      <c r="W962" s="216"/>
      <c r="X962" s="216"/>
    </row>
    <row r="963" spans="1:24" ht="15" customHeight="1">
      <c r="A963" s="134" t="s">
        <v>3621</v>
      </c>
      <c r="B963" s="134" t="s">
        <v>3622</v>
      </c>
      <c r="C963" s="99" t="s">
        <v>105</v>
      </c>
      <c r="D963" s="134" t="s">
        <v>3623</v>
      </c>
      <c r="E963" s="99" t="s">
        <v>3624</v>
      </c>
      <c r="F963" s="238" t="s">
        <v>3625</v>
      </c>
      <c r="G963" s="94">
        <v>4</v>
      </c>
      <c r="H963" s="94">
        <v>4</v>
      </c>
      <c r="I963" s="94">
        <v>4</v>
      </c>
      <c r="J963" s="385">
        <v>50</v>
      </c>
      <c r="K963" s="114">
        <v>12.5</v>
      </c>
      <c r="L963" s="338" t="s">
        <v>104</v>
      </c>
      <c r="M963" s="216"/>
      <c r="N963" s="216"/>
      <c r="O963" s="216"/>
      <c r="P963" s="216"/>
      <c r="Q963" s="216"/>
      <c r="R963" s="216"/>
      <c r="S963" s="216"/>
      <c r="T963" s="216"/>
      <c r="U963" s="216"/>
      <c r="V963" s="216"/>
      <c r="W963" s="216"/>
      <c r="X963" s="216"/>
    </row>
    <row r="964" spans="1:24" ht="15" customHeight="1">
      <c r="A964" s="134" t="s">
        <v>3621</v>
      </c>
      <c r="B964" s="134" t="s">
        <v>3622</v>
      </c>
      <c r="C964" s="99" t="s">
        <v>105</v>
      </c>
      <c r="D964" s="134" t="s">
        <v>3626</v>
      </c>
      <c r="E964" s="99" t="s">
        <v>3627</v>
      </c>
      <c r="F964" s="238" t="s">
        <v>3628</v>
      </c>
      <c r="G964" s="99">
        <v>4</v>
      </c>
      <c r="H964" s="99">
        <v>4</v>
      </c>
      <c r="I964" s="99">
        <v>4</v>
      </c>
      <c r="J964" s="385">
        <v>50</v>
      </c>
      <c r="K964" s="114">
        <v>12.5</v>
      </c>
      <c r="L964" s="338" t="s">
        <v>104</v>
      </c>
      <c r="M964" s="216"/>
      <c r="N964" s="216"/>
      <c r="O964" s="216"/>
      <c r="P964" s="216"/>
      <c r="Q964" s="216"/>
      <c r="R964" s="216"/>
      <c r="S964" s="216"/>
      <c r="T964" s="216"/>
      <c r="U964" s="216"/>
      <c r="V964" s="216"/>
      <c r="W964" s="216"/>
      <c r="X964" s="216"/>
    </row>
    <row r="965" spans="1:24" ht="15" customHeight="1">
      <c r="A965" s="134" t="s">
        <v>3629</v>
      </c>
      <c r="B965" s="134" t="s">
        <v>3630</v>
      </c>
      <c r="C965" s="99" t="s">
        <v>105</v>
      </c>
      <c r="D965" s="134" t="s">
        <v>3631</v>
      </c>
      <c r="E965" s="99" t="s">
        <v>3632</v>
      </c>
      <c r="F965" s="238" t="s">
        <v>230</v>
      </c>
      <c r="G965" s="99">
        <v>3</v>
      </c>
      <c r="H965" s="99">
        <v>3</v>
      </c>
      <c r="I965" s="99">
        <v>3</v>
      </c>
      <c r="J965" s="385">
        <v>50</v>
      </c>
      <c r="K965" s="114">
        <v>16.670000000000002</v>
      </c>
      <c r="L965" s="338" t="s">
        <v>104</v>
      </c>
      <c r="M965" s="216"/>
      <c r="N965" s="216"/>
      <c r="O965" s="216"/>
      <c r="P965" s="216"/>
      <c r="Q965" s="216"/>
      <c r="R965" s="216"/>
      <c r="S965" s="216"/>
      <c r="T965" s="216"/>
      <c r="U965" s="216"/>
      <c r="V965" s="216"/>
      <c r="W965" s="216"/>
      <c r="X965" s="216"/>
    </row>
    <row r="966" spans="1:24" ht="15" customHeight="1">
      <c r="A966" s="134" t="s">
        <v>3629</v>
      </c>
      <c r="B966" s="134" t="s">
        <v>3630</v>
      </c>
      <c r="C966" s="99" t="s">
        <v>105</v>
      </c>
      <c r="D966" s="134" t="s">
        <v>3633</v>
      </c>
      <c r="E966" s="465" t="s">
        <v>3634</v>
      </c>
      <c r="F966" s="238" t="s">
        <v>230</v>
      </c>
      <c r="G966" s="99">
        <v>3</v>
      </c>
      <c r="H966" s="99">
        <v>3</v>
      </c>
      <c r="I966" s="99">
        <v>3</v>
      </c>
      <c r="J966" s="385">
        <v>50</v>
      </c>
      <c r="K966" s="114">
        <v>16.670000000000002</v>
      </c>
      <c r="L966" s="338" t="s">
        <v>104</v>
      </c>
      <c r="M966" s="216"/>
      <c r="N966" s="216"/>
      <c r="O966" s="216"/>
      <c r="P966" s="216"/>
      <c r="Q966" s="216"/>
      <c r="R966" s="216"/>
      <c r="S966" s="216"/>
      <c r="T966" s="216"/>
      <c r="U966" s="216"/>
      <c r="V966" s="216"/>
      <c r="W966" s="216"/>
      <c r="X966" s="216"/>
    </row>
    <row r="967" spans="1:24" ht="15" customHeight="1">
      <c r="A967" s="134" t="s">
        <v>3629</v>
      </c>
      <c r="B967" s="134" t="s">
        <v>3630</v>
      </c>
      <c r="C967" s="99" t="s">
        <v>105</v>
      </c>
      <c r="D967" s="134" t="s">
        <v>3635</v>
      </c>
      <c r="E967" s="99" t="s">
        <v>3636</v>
      </c>
      <c r="F967" s="238" t="s">
        <v>3637</v>
      </c>
      <c r="G967" s="99">
        <v>3</v>
      </c>
      <c r="H967" s="99">
        <v>3</v>
      </c>
      <c r="I967" s="99">
        <v>3</v>
      </c>
      <c r="J967" s="385">
        <v>50</v>
      </c>
      <c r="K967" s="114">
        <v>16.670000000000002</v>
      </c>
      <c r="L967" s="338" t="s">
        <v>104</v>
      </c>
      <c r="M967" s="216"/>
      <c r="N967" s="216"/>
      <c r="O967" s="216"/>
      <c r="P967" s="216"/>
      <c r="Q967" s="216"/>
      <c r="R967" s="216"/>
      <c r="S967" s="216"/>
      <c r="T967" s="216"/>
      <c r="U967" s="216"/>
      <c r="V967" s="216"/>
      <c r="W967" s="216"/>
      <c r="X967" s="216"/>
    </row>
    <row r="968" spans="1:24" ht="15" customHeight="1">
      <c r="A968" s="134" t="s">
        <v>3638</v>
      </c>
      <c r="B968" s="134" t="s">
        <v>3639</v>
      </c>
      <c r="C968" s="99" t="s">
        <v>105</v>
      </c>
      <c r="D968" s="134" t="s">
        <v>3640</v>
      </c>
      <c r="E968" s="99" t="s">
        <v>3641</v>
      </c>
      <c r="F968" s="238" t="s">
        <v>2072</v>
      </c>
      <c r="G968" s="99">
        <v>3</v>
      </c>
      <c r="H968" s="99">
        <v>3</v>
      </c>
      <c r="I968" s="99">
        <v>3</v>
      </c>
      <c r="J968" s="385">
        <v>50</v>
      </c>
      <c r="K968" s="114">
        <v>16.670000000000002</v>
      </c>
      <c r="L968" s="338" t="s">
        <v>104</v>
      </c>
      <c r="M968" s="216"/>
      <c r="N968" s="216"/>
      <c r="O968" s="216"/>
      <c r="P968" s="216"/>
      <c r="Q968" s="216"/>
      <c r="R968" s="216"/>
      <c r="S968" s="216"/>
      <c r="T968" s="216"/>
      <c r="U968" s="216"/>
      <c r="V968" s="216"/>
      <c r="W968" s="216"/>
      <c r="X968" s="216"/>
    </row>
    <row r="969" spans="1:24" ht="15" customHeight="1">
      <c r="A969" s="134" t="s">
        <v>3638</v>
      </c>
      <c r="B969" s="134" t="s">
        <v>3639</v>
      </c>
      <c r="C969" s="99" t="s">
        <v>105</v>
      </c>
      <c r="D969" s="134" t="s">
        <v>3642</v>
      </c>
      <c r="E969" s="99" t="s">
        <v>3643</v>
      </c>
      <c r="F969" s="238" t="s">
        <v>230</v>
      </c>
      <c r="G969" s="99">
        <v>3</v>
      </c>
      <c r="H969" s="99">
        <v>3</v>
      </c>
      <c r="I969" s="99">
        <v>3</v>
      </c>
      <c r="J969" s="385">
        <v>50</v>
      </c>
      <c r="K969" s="114">
        <v>16.670000000000002</v>
      </c>
      <c r="L969" s="338" t="s">
        <v>104</v>
      </c>
      <c r="M969" s="216"/>
      <c r="N969" s="216"/>
      <c r="O969" s="216"/>
      <c r="P969" s="216"/>
      <c r="Q969" s="216"/>
      <c r="R969" s="216"/>
      <c r="S969" s="216"/>
      <c r="T969" s="216"/>
      <c r="U969" s="216"/>
      <c r="V969" s="216"/>
      <c r="W969" s="216"/>
      <c r="X969" s="216"/>
    </row>
    <row r="970" spans="1:24" ht="15" customHeight="1">
      <c r="A970" s="134" t="s">
        <v>3638</v>
      </c>
      <c r="B970" s="134" t="s">
        <v>3639</v>
      </c>
      <c r="C970" s="99" t="s">
        <v>105</v>
      </c>
      <c r="D970" s="134" t="s">
        <v>3644</v>
      </c>
      <c r="E970" s="99" t="s">
        <v>3645</v>
      </c>
      <c r="F970" s="238" t="s">
        <v>230</v>
      </c>
      <c r="G970" s="99">
        <v>3</v>
      </c>
      <c r="H970" s="99">
        <v>3</v>
      </c>
      <c r="I970" s="99">
        <v>3</v>
      </c>
      <c r="J970" s="385">
        <v>50</v>
      </c>
      <c r="K970" s="114">
        <v>16.670000000000002</v>
      </c>
      <c r="L970" s="338" t="s">
        <v>104</v>
      </c>
      <c r="M970" s="216"/>
      <c r="N970" s="216"/>
      <c r="O970" s="216"/>
      <c r="P970" s="216"/>
      <c r="Q970" s="216"/>
      <c r="R970" s="216"/>
      <c r="S970" s="216"/>
      <c r="T970" s="216"/>
      <c r="U970" s="216"/>
      <c r="V970" s="216"/>
      <c r="W970" s="216"/>
      <c r="X970" s="216"/>
    </row>
    <row r="971" spans="1:24" ht="15" customHeight="1">
      <c r="A971" s="134" t="s">
        <v>3638</v>
      </c>
      <c r="B971" s="134" t="s">
        <v>3639</v>
      </c>
      <c r="C971" s="99" t="s">
        <v>105</v>
      </c>
      <c r="D971" s="134" t="s">
        <v>3646</v>
      </c>
      <c r="E971" s="99" t="s">
        <v>3647</v>
      </c>
      <c r="F971" s="238" t="s">
        <v>3648</v>
      </c>
      <c r="G971" s="99">
        <v>3</v>
      </c>
      <c r="H971" s="99">
        <v>3</v>
      </c>
      <c r="I971" s="99">
        <v>3</v>
      </c>
      <c r="J971" s="385">
        <v>50</v>
      </c>
      <c r="K971" s="114">
        <v>16.670000000000002</v>
      </c>
      <c r="L971" s="338" t="s">
        <v>104</v>
      </c>
      <c r="M971" s="216"/>
      <c r="N971" s="216"/>
      <c r="O971" s="216"/>
      <c r="P971" s="216"/>
      <c r="Q971" s="216"/>
      <c r="R971" s="216"/>
      <c r="S971" s="216"/>
      <c r="T971" s="216"/>
      <c r="U971" s="216"/>
      <c r="V971" s="216"/>
      <c r="W971" s="216"/>
      <c r="X971" s="216"/>
    </row>
    <row r="972" spans="1:24" ht="15" customHeight="1">
      <c r="A972" s="134" t="s">
        <v>3638</v>
      </c>
      <c r="B972" s="91" t="s">
        <v>3649</v>
      </c>
      <c r="C972" s="133" t="s">
        <v>105</v>
      </c>
      <c r="D972" s="134" t="s">
        <v>3650</v>
      </c>
      <c r="E972" s="99" t="s">
        <v>3651</v>
      </c>
      <c r="F972" s="238" t="s">
        <v>3652</v>
      </c>
      <c r="G972" s="99">
        <v>3</v>
      </c>
      <c r="H972" s="99">
        <v>3</v>
      </c>
      <c r="I972" s="99">
        <v>3</v>
      </c>
      <c r="J972" s="385">
        <v>50</v>
      </c>
      <c r="K972" s="114">
        <v>16.670000000000002</v>
      </c>
      <c r="L972" s="338" t="s">
        <v>104</v>
      </c>
      <c r="M972" s="216"/>
      <c r="N972" s="216"/>
      <c r="O972" s="216"/>
      <c r="P972" s="216"/>
      <c r="Q972" s="216"/>
      <c r="R972" s="216"/>
      <c r="S972" s="216"/>
      <c r="T972" s="216"/>
      <c r="U972" s="216"/>
      <c r="V972" s="216"/>
      <c r="W972" s="216"/>
      <c r="X972" s="216"/>
    </row>
    <row r="973" spans="1:24" ht="15" customHeight="1">
      <c r="A973" s="134" t="s">
        <v>3638</v>
      </c>
      <c r="B973" s="91" t="s">
        <v>3649</v>
      </c>
      <c r="C973" s="133" t="s">
        <v>105</v>
      </c>
      <c r="D973" s="134" t="s">
        <v>3644</v>
      </c>
      <c r="E973" s="99" t="s">
        <v>3645</v>
      </c>
      <c r="F973" s="238" t="s">
        <v>230</v>
      </c>
      <c r="G973" s="99">
        <v>3</v>
      </c>
      <c r="H973" s="99">
        <v>3</v>
      </c>
      <c r="I973" s="99">
        <v>3</v>
      </c>
      <c r="J973" s="385">
        <v>50</v>
      </c>
      <c r="K973" s="114">
        <v>16.670000000000002</v>
      </c>
      <c r="L973" s="338" t="s">
        <v>104</v>
      </c>
      <c r="M973" s="216"/>
      <c r="N973" s="216"/>
      <c r="O973" s="216"/>
      <c r="P973" s="216"/>
      <c r="Q973" s="216"/>
      <c r="R973" s="216"/>
      <c r="S973" s="216"/>
      <c r="T973" s="216"/>
      <c r="U973" s="216"/>
      <c r="V973" s="216"/>
      <c r="W973" s="216"/>
      <c r="X973" s="216"/>
    </row>
    <row r="974" spans="1:24" ht="15" customHeight="1">
      <c r="A974" s="134" t="s">
        <v>3638</v>
      </c>
      <c r="B974" s="91" t="s">
        <v>3649</v>
      </c>
      <c r="C974" s="133" t="s">
        <v>105</v>
      </c>
      <c r="D974" s="134" t="s">
        <v>3653</v>
      </c>
      <c r="E974" s="99" t="s">
        <v>3654</v>
      </c>
      <c r="F974" s="238" t="s">
        <v>3655</v>
      </c>
      <c r="G974" s="99">
        <v>3</v>
      </c>
      <c r="H974" s="99">
        <v>3</v>
      </c>
      <c r="I974" s="99">
        <v>3</v>
      </c>
      <c r="J974" s="385">
        <v>50</v>
      </c>
      <c r="K974" s="114">
        <v>16.670000000000002</v>
      </c>
      <c r="L974" s="338" t="s">
        <v>104</v>
      </c>
      <c r="M974" s="216"/>
      <c r="N974" s="216"/>
      <c r="O974" s="216"/>
      <c r="P974" s="216"/>
      <c r="Q974" s="216"/>
      <c r="R974" s="216"/>
      <c r="S974" s="216"/>
      <c r="T974" s="216"/>
      <c r="U974" s="216"/>
      <c r="V974" s="216"/>
      <c r="W974" s="216"/>
      <c r="X974" s="216"/>
    </row>
    <row r="975" spans="1:24" ht="15" customHeight="1">
      <c r="A975" s="134" t="s">
        <v>3656</v>
      </c>
      <c r="B975" s="134" t="s">
        <v>3657</v>
      </c>
      <c r="C975" s="99" t="s">
        <v>105</v>
      </c>
      <c r="D975" s="134" t="s">
        <v>3658</v>
      </c>
      <c r="E975" s="99" t="s">
        <v>3659</v>
      </c>
      <c r="F975" s="238" t="s">
        <v>3660</v>
      </c>
      <c r="G975" s="99">
        <v>3</v>
      </c>
      <c r="H975" s="99">
        <v>3</v>
      </c>
      <c r="I975" s="99">
        <v>3</v>
      </c>
      <c r="J975" s="385">
        <v>50</v>
      </c>
      <c r="K975" s="114">
        <v>12.5</v>
      </c>
      <c r="L975" s="338" t="s">
        <v>104</v>
      </c>
      <c r="M975" s="216"/>
      <c r="N975" s="216"/>
      <c r="O975" s="216"/>
      <c r="P975" s="216"/>
      <c r="Q975" s="216"/>
      <c r="R975" s="216"/>
      <c r="S975" s="216"/>
      <c r="T975" s="216"/>
      <c r="U975" s="216"/>
      <c r="V975" s="216"/>
      <c r="W975" s="216"/>
      <c r="X975" s="216"/>
    </row>
    <row r="976" spans="1:24" ht="15" customHeight="1">
      <c r="A976" s="134" t="s">
        <v>3661</v>
      </c>
      <c r="B976" s="91" t="s">
        <v>3649</v>
      </c>
      <c r="C976" s="133" t="s">
        <v>105</v>
      </c>
      <c r="D976" s="134" t="s">
        <v>3662</v>
      </c>
      <c r="E976" s="99" t="s">
        <v>3663</v>
      </c>
      <c r="F976" s="238" t="s">
        <v>3664</v>
      </c>
      <c r="G976" s="99">
        <v>3</v>
      </c>
      <c r="H976" s="99">
        <v>3</v>
      </c>
      <c r="I976" s="99">
        <v>3</v>
      </c>
      <c r="J976" s="385">
        <v>50</v>
      </c>
      <c r="K976" s="114">
        <v>16.670000000000002</v>
      </c>
      <c r="L976" s="338" t="s">
        <v>104</v>
      </c>
      <c r="M976" s="216"/>
      <c r="N976" s="216"/>
      <c r="O976" s="216"/>
      <c r="P976" s="216"/>
      <c r="Q976" s="216"/>
      <c r="R976" s="216"/>
      <c r="S976" s="216"/>
      <c r="T976" s="216"/>
      <c r="U976" s="216"/>
      <c r="V976" s="216"/>
      <c r="W976" s="216"/>
      <c r="X976" s="216"/>
    </row>
    <row r="977" spans="1:24" ht="15" customHeight="1">
      <c r="A977" s="134" t="s">
        <v>3661</v>
      </c>
      <c r="B977" s="91" t="s">
        <v>3649</v>
      </c>
      <c r="C977" s="133" t="s">
        <v>105</v>
      </c>
      <c r="D977" s="134" t="s">
        <v>3665</v>
      </c>
      <c r="E977" s="99" t="s">
        <v>3666</v>
      </c>
      <c r="F977" s="238" t="s">
        <v>3667</v>
      </c>
      <c r="G977" s="99">
        <v>3</v>
      </c>
      <c r="H977" s="99">
        <v>3</v>
      </c>
      <c r="I977" s="99">
        <v>3</v>
      </c>
      <c r="J977" s="385">
        <v>50</v>
      </c>
      <c r="K977" s="114">
        <v>16.670000000000002</v>
      </c>
      <c r="L977" s="338" t="s">
        <v>104</v>
      </c>
      <c r="M977" s="216"/>
      <c r="N977" s="216"/>
      <c r="O977" s="216"/>
      <c r="P977" s="216"/>
      <c r="Q977" s="216"/>
      <c r="R977" s="216"/>
      <c r="S977" s="216"/>
      <c r="T977" s="216"/>
      <c r="U977" s="216"/>
      <c r="V977" s="216"/>
      <c r="W977" s="216"/>
      <c r="X977" s="216"/>
    </row>
    <row r="978" spans="1:24" ht="15" customHeight="1">
      <c r="A978" s="134" t="s">
        <v>3668</v>
      </c>
      <c r="B978" s="134" t="s">
        <v>3605</v>
      </c>
      <c r="C978" s="99" t="s">
        <v>105</v>
      </c>
      <c r="D978" s="134" t="s">
        <v>3669</v>
      </c>
      <c r="E978" s="99" t="s">
        <v>3670</v>
      </c>
      <c r="F978" s="238" t="s">
        <v>2072</v>
      </c>
      <c r="G978" s="99">
        <v>4</v>
      </c>
      <c r="H978" s="99">
        <v>4</v>
      </c>
      <c r="I978" s="99">
        <v>4</v>
      </c>
      <c r="J978" s="385">
        <v>50</v>
      </c>
      <c r="K978" s="114">
        <v>12.5</v>
      </c>
      <c r="L978" s="338" t="s">
        <v>104</v>
      </c>
      <c r="M978" s="216"/>
      <c r="N978" s="216"/>
      <c r="O978" s="216"/>
      <c r="P978" s="216"/>
      <c r="Q978" s="216"/>
      <c r="R978" s="216"/>
      <c r="S978" s="216"/>
      <c r="T978" s="216"/>
      <c r="U978" s="216"/>
      <c r="V978" s="216"/>
      <c r="W978" s="216"/>
      <c r="X978" s="216"/>
    </row>
    <row r="979" spans="1:24" ht="15" customHeight="1">
      <c r="A979" s="134" t="s">
        <v>3671</v>
      </c>
      <c r="B979" s="134" t="s">
        <v>3564</v>
      </c>
      <c r="C979" s="99" t="s">
        <v>105</v>
      </c>
      <c r="D979" s="134" t="s">
        <v>3672</v>
      </c>
      <c r="E979" s="99" t="s">
        <v>3673</v>
      </c>
      <c r="F979" s="238" t="s">
        <v>230</v>
      </c>
      <c r="G979" s="99">
        <v>4</v>
      </c>
      <c r="H979" s="99">
        <v>4</v>
      </c>
      <c r="I979" s="99">
        <v>4</v>
      </c>
      <c r="J979" s="385">
        <v>50</v>
      </c>
      <c r="K979" s="114">
        <v>12.5</v>
      </c>
      <c r="L979" s="338" t="s">
        <v>104</v>
      </c>
      <c r="M979" s="216"/>
      <c r="N979" s="216"/>
      <c r="O979" s="216"/>
      <c r="P979" s="216"/>
      <c r="Q979" s="216"/>
      <c r="R979" s="216"/>
      <c r="S979" s="216"/>
      <c r="T979" s="216"/>
      <c r="U979" s="216"/>
      <c r="V979" s="216"/>
      <c r="W979" s="216"/>
      <c r="X979" s="216"/>
    </row>
    <row r="980" spans="1:24" ht="15" customHeight="1">
      <c r="A980" s="134" t="s">
        <v>3674</v>
      </c>
      <c r="B980" s="134" t="s">
        <v>3582</v>
      </c>
      <c r="C980" s="99" t="s">
        <v>105</v>
      </c>
      <c r="D980" s="134" t="s">
        <v>3675</v>
      </c>
      <c r="E980" s="99" t="s">
        <v>3676</v>
      </c>
      <c r="F980" s="238" t="s">
        <v>230</v>
      </c>
      <c r="G980" s="99">
        <v>6</v>
      </c>
      <c r="H980" s="99">
        <v>6</v>
      </c>
      <c r="I980" s="99">
        <v>6</v>
      </c>
      <c r="J980" s="385">
        <v>50</v>
      </c>
      <c r="K980" s="114">
        <v>8.33</v>
      </c>
      <c r="L980" s="338" t="s">
        <v>104</v>
      </c>
      <c r="M980" s="216"/>
      <c r="N980" s="216"/>
      <c r="O980" s="216"/>
      <c r="P980" s="216"/>
      <c r="Q980" s="216"/>
      <c r="R980" s="216"/>
      <c r="S980" s="216"/>
      <c r="T980" s="216"/>
      <c r="U980" s="216"/>
      <c r="V980" s="216"/>
      <c r="W980" s="216"/>
      <c r="X980" s="216"/>
    </row>
    <row r="981" spans="1:24" ht="15" customHeight="1">
      <c r="A981" s="134" t="s">
        <v>3677</v>
      </c>
      <c r="B981" s="134" t="s">
        <v>3678</v>
      </c>
      <c r="C981" s="99" t="s">
        <v>105</v>
      </c>
      <c r="D981" s="134" t="s">
        <v>3679</v>
      </c>
      <c r="E981" s="99" t="s">
        <v>3680</v>
      </c>
      <c r="F981" s="238" t="s">
        <v>230</v>
      </c>
      <c r="G981" s="99">
        <v>4</v>
      </c>
      <c r="H981" s="99">
        <v>4</v>
      </c>
      <c r="I981" s="99">
        <v>4</v>
      </c>
      <c r="J981" s="385">
        <v>50</v>
      </c>
      <c r="K981" s="114">
        <v>12.5</v>
      </c>
      <c r="L981" s="338" t="s">
        <v>104</v>
      </c>
      <c r="M981" s="216"/>
      <c r="N981" s="216"/>
      <c r="O981" s="216"/>
      <c r="P981" s="216"/>
      <c r="Q981" s="216"/>
      <c r="R981" s="216"/>
      <c r="S981" s="216"/>
      <c r="T981" s="216"/>
      <c r="U981" s="216"/>
      <c r="V981" s="216"/>
      <c r="W981" s="216"/>
      <c r="X981" s="216"/>
    </row>
    <row r="982" spans="1:24" ht="15" customHeight="1">
      <c r="A982" s="134" t="s">
        <v>3677</v>
      </c>
      <c r="B982" s="134" t="s">
        <v>3681</v>
      </c>
      <c r="C982" s="99" t="s">
        <v>105</v>
      </c>
      <c r="D982" s="134" t="s">
        <v>3682</v>
      </c>
      <c r="E982" s="99" t="s">
        <v>3683</v>
      </c>
      <c r="F982" s="238" t="s">
        <v>230</v>
      </c>
      <c r="G982" s="99">
        <v>4</v>
      </c>
      <c r="H982" s="99">
        <v>4</v>
      </c>
      <c r="I982" s="99">
        <v>4</v>
      </c>
      <c r="J982" s="385">
        <v>50</v>
      </c>
      <c r="K982" s="114">
        <v>12.5</v>
      </c>
      <c r="L982" s="338" t="s">
        <v>104</v>
      </c>
      <c r="M982" s="216"/>
      <c r="N982" s="216"/>
      <c r="O982" s="216"/>
      <c r="P982" s="216"/>
      <c r="Q982" s="216"/>
      <c r="R982" s="216"/>
      <c r="S982" s="216"/>
      <c r="T982" s="216"/>
      <c r="U982" s="216"/>
      <c r="V982" s="216"/>
      <c r="W982" s="216"/>
      <c r="X982" s="216"/>
    </row>
    <row r="983" spans="1:24" ht="15" customHeight="1">
      <c r="A983" s="134" t="s">
        <v>3677</v>
      </c>
      <c r="B983" s="134" t="s">
        <v>3681</v>
      </c>
      <c r="C983" s="99" t="s">
        <v>105</v>
      </c>
      <c r="D983" s="131" t="s">
        <v>3684</v>
      </c>
      <c r="E983" s="465" t="s">
        <v>3685</v>
      </c>
      <c r="F983" s="238" t="s">
        <v>2072</v>
      </c>
      <c r="G983" s="99">
        <v>4</v>
      </c>
      <c r="H983" s="99">
        <v>4</v>
      </c>
      <c r="I983" s="99">
        <v>4</v>
      </c>
      <c r="J983" s="385">
        <v>50</v>
      </c>
      <c r="K983" s="114">
        <v>12.5</v>
      </c>
      <c r="L983" s="338" t="s">
        <v>104</v>
      </c>
      <c r="M983" s="216"/>
      <c r="N983" s="216"/>
      <c r="O983" s="216"/>
      <c r="P983" s="216"/>
      <c r="Q983" s="216"/>
      <c r="R983" s="216"/>
      <c r="S983" s="216"/>
      <c r="T983" s="216"/>
      <c r="U983" s="216"/>
      <c r="V983" s="216"/>
      <c r="W983" s="216"/>
      <c r="X983" s="216"/>
    </row>
    <row r="984" spans="1:24" ht="15" customHeight="1">
      <c r="A984" s="134" t="s">
        <v>3686</v>
      </c>
      <c r="B984" s="134" t="s">
        <v>3687</v>
      </c>
      <c r="C984" s="99" t="s">
        <v>105</v>
      </c>
      <c r="D984" s="134" t="s">
        <v>3688</v>
      </c>
      <c r="E984" s="465" t="s">
        <v>3689</v>
      </c>
      <c r="F984" s="238" t="s">
        <v>3690</v>
      </c>
      <c r="G984" s="99">
        <v>4</v>
      </c>
      <c r="H984" s="99">
        <v>4</v>
      </c>
      <c r="I984" s="99">
        <v>4</v>
      </c>
      <c r="J984" s="385">
        <v>50</v>
      </c>
      <c r="K984" s="114">
        <v>12.5</v>
      </c>
      <c r="L984" s="338" t="s">
        <v>104</v>
      </c>
      <c r="M984" s="216"/>
      <c r="N984" s="216"/>
      <c r="O984" s="216"/>
      <c r="P984" s="216"/>
      <c r="Q984" s="216"/>
      <c r="R984" s="216"/>
      <c r="S984" s="216"/>
      <c r="T984" s="216"/>
      <c r="U984" s="216"/>
      <c r="V984" s="216"/>
      <c r="W984" s="216"/>
      <c r="X984" s="216"/>
    </row>
    <row r="985" spans="1:24" ht="15" customHeight="1">
      <c r="A985" s="134" t="s">
        <v>3686</v>
      </c>
      <c r="B985" s="134" t="s">
        <v>3687</v>
      </c>
      <c r="C985" s="99" t="s">
        <v>105</v>
      </c>
      <c r="D985" s="134" t="s">
        <v>3691</v>
      </c>
      <c r="E985" s="99" t="s">
        <v>3692</v>
      </c>
      <c r="F985" s="238" t="s">
        <v>3690</v>
      </c>
      <c r="G985" s="99">
        <v>4</v>
      </c>
      <c r="H985" s="99">
        <v>4</v>
      </c>
      <c r="I985" s="99">
        <v>4</v>
      </c>
      <c r="J985" s="385">
        <v>50</v>
      </c>
      <c r="K985" s="114">
        <v>12.5</v>
      </c>
      <c r="L985" s="338" t="s">
        <v>104</v>
      </c>
      <c r="M985" s="216"/>
      <c r="N985" s="216"/>
      <c r="O985" s="216"/>
      <c r="P985" s="216"/>
      <c r="Q985" s="216"/>
      <c r="R985" s="216"/>
      <c r="S985" s="216"/>
      <c r="T985" s="216"/>
      <c r="U985" s="216"/>
      <c r="V985" s="216"/>
      <c r="W985" s="216"/>
      <c r="X985" s="216"/>
    </row>
    <row r="986" spans="1:24" ht="15" customHeight="1">
      <c r="A986" s="134" t="s">
        <v>3693</v>
      </c>
      <c r="B986" s="138" t="s">
        <v>3694</v>
      </c>
      <c r="C986" s="99" t="s">
        <v>105</v>
      </c>
      <c r="D986" s="99" t="s">
        <v>3695</v>
      </c>
      <c r="E986" s="99" t="s">
        <v>3696</v>
      </c>
      <c r="F986" s="238" t="s">
        <v>3690</v>
      </c>
      <c r="G986" s="99">
        <v>4</v>
      </c>
      <c r="H986" s="99">
        <v>4</v>
      </c>
      <c r="I986" s="99">
        <v>4</v>
      </c>
      <c r="J986" s="385">
        <v>50</v>
      </c>
      <c r="K986" s="114">
        <v>12.5</v>
      </c>
      <c r="L986" s="338" t="s">
        <v>104</v>
      </c>
      <c r="M986" s="216"/>
      <c r="N986" s="216"/>
      <c r="O986" s="216"/>
      <c r="P986" s="216"/>
      <c r="Q986" s="216"/>
      <c r="R986" s="216"/>
      <c r="S986" s="216"/>
      <c r="T986" s="216"/>
      <c r="U986" s="216"/>
      <c r="V986" s="216"/>
      <c r="W986" s="216"/>
      <c r="X986" s="216"/>
    </row>
    <row r="987" spans="1:24" ht="15" customHeight="1">
      <c r="A987" s="134" t="s">
        <v>3697</v>
      </c>
      <c r="B987" s="134" t="s">
        <v>3698</v>
      </c>
      <c r="C987" s="99" t="s">
        <v>105</v>
      </c>
      <c r="D987" s="134" t="s">
        <v>3699</v>
      </c>
      <c r="E987" s="99" t="s">
        <v>3700</v>
      </c>
      <c r="F987" s="238" t="s">
        <v>230</v>
      </c>
      <c r="G987" s="99">
        <v>4</v>
      </c>
      <c r="H987" s="99">
        <v>4</v>
      </c>
      <c r="I987" s="99">
        <v>4</v>
      </c>
      <c r="J987" s="385">
        <v>50</v>
      </c>
      <c r="K987" s="114">
        <v>12.5</v>
      </c>
      <c r="L987" s="338" t="s">
        <v>104</v>
      </c>
      <c r="M987" s="216"/>
      <c r="N987" s="216"/>
      <c r="O987" s="216"/>
      <c r="P987" s="216"/>
      <c r="Q987" s="216"/>
      <c r="R987" s="216"/>
      <c r="S987" s="216"/>
      <c r="T987" s="216"/>
      <c r="U987" s="216"/>
      <c r="V987" s="216"/>
      <c r="W987" s="216"/>
      <c r="X987" s="216"/>
    </row>
    <row r="988" spans="1:24" ht="15" customHeight="1">
      <c r="A988" s="134" t="s">
        <v>3701</v>
      </c>
      <c r="B988" s="134" t="s">
        <v>3702</v>
      </c>
      <c r="C988" s="99" t="s">
        <v>105</v>
      </c>
      <c r="D988" s="134" t="s">
        <v>3703</v>
      </c>
      <c r="E988" s="99" t="s">
        <v>3704</v>
      </c>
      <c r="F988" s="238" t="s">
        <v>3705</v>
      </c>
      <c r="G988" s="99">
        <v>5</v>
      </c>
      <c r="H988" s="99">
        <v>5</v>
      </c>
      <c r="I988" s="99">
        <v>5</v>
      </c>
      <c r="J988" s="385">
        <v>50</v>
      </c>
      <c r="K988" s="114">
        <v>10</v>
      </c>
      <c r="L988" s="338" t="s">
        <v>104</v>
      </c>
      <c r="M988" s="216"/>
      <c r="N988" s="216"/>
      <c r="O988" s="216"/>
      <c r="P988" s="216"/>
      <c r="Q988" s="216"/>
      <c r="R988" s="216"/>
      <c r="S988" s="216"/>
      <c r="T988" s="216"/>
      <c r="U988" s="216"/>
      <c r="V988" s="216"/>
      <c r="W988" s="216"/>
      <c r="X988" s="216"/>
    </row>
    <row r="989" spans="1:24" ht="15" customHeight="1">
      <c r="A989" s="134" t="s">
        <v>3701</v>
      </c>
      <c r="B989" s="134" t="s">
        <v>3702</v>
      </c>
      <c r="C989" s="99" t="s">
        <v>105</v>
      </c>
      <c r="D989" s="134" t="s">
        <v>3706</v>
      </c>
      <c r="E989" s="99" t="s">
        <v>3707</v>
      </c>
      <c r="F989" s="238" t="s">
        <v>3708</v>
      </c>
      <c r="G989" s="99">
        <v>5</v>
      </c>
      <c r="H989" s="99">
        <v>5</v>
      </c>
      <c r="I989" s="99">
        <v>5</v>
      </c>
      <c r="J989" s="385">
        <v>50</v>
      </c>
      <c r="K989" s="114">
        <v>10</v>
      </c>
      <c r="L989" s="338" t="s">
        <v>104</v>
      </c>
      <c r="M989" s="216"/>
      <c r="N989" s="216"/>
      <c r="O989" s="216"/>
      <c r="P989" s="216"/>
      <c r="Q989" s="216"/>
      <c r="R989" s="216"/>
      <c r="S989" s="216"/>
      <c r="T989" s="216"/>
      <c r="U989" s="216"/>
      <c r="V989" s="216"/>
      <c r="W989" s="216"/>
      <c r="X989" s="216"/>
    </row>
    <row r="990" spans="1:24" ht="15" customHeight="1">
      <c r="A990" s="134" t="s">
        <v>3709</v>
      </c>
      <c r="B990" s="91" t="s">
        <v>3601</v>
      </c>
      <c r="C990" s="133" t="s">
        <v>105</v>
      </c>
      <c r="D990" s="134" t="s">
        <v>3710</v>
      </c>
      <c r="E990" s="134" t="s">
        <v>3711</v>
      </c>
      <c r="F990" s="134" t="s">
        <v>3712</v>
      </c>
      <c r="G990" s="119">
        <v>8</v>
      </c>
      <c r="H990" s="119">
        <v>8</v>
      </c>
      <c r="I990" s="119">
        <v>8</v>
      </c>
      <c r="J990" s="272">
        <v>50</v>
      </c>
      <c r="K990" s="185">
        <v>6.25</v>
      </c>
      <c r="L990" s="338" t="s">
        <v>104</v>
      </c>
      <c r="M990" s="216"/>
      <c r="N990" s="216"/>
      <c r="O990" s="216"/>
      <c r="P990" s="216"/>
      <c r="Q990" s="216"/>
      <c r="R990" s="216"/>
      <c r="S990" s="216"/>
      <c r="T990" s="216"/>
      <c r="U990" s="216"/>
      <c r="V990" s="216"/>
      <c r="W990" s="216"/>
      <c r="X990" s="216"/>
    </row>
    <row r="991" spans="1:24" ht="15" customHeight="1">
      <c r="A991" s="134" t="s">
        <v>3709</v>
      </c>
      <c r="B991" s="91" t="s">
        <v>3601</v>
      </c>
      <c r="C991" s="133" t="s">
        <v>105</v>
      </c>
      <c r="D991" s="134" t="s">
        <v>3713</v>
      </c>
      <c r="E991" s="99" t="s">
        <v>3714</v>
      </c>
      <c r="F991" s="238" t="s">
        <v>3715</v>
      </c>
      <c r="G991" s="99">
        <v>8</v>
      </c>
      <c r="H991" s="99">
        <v>8</v>
      </c>
      <c r="I991" s="99">
        <v>8</v>
      </c>
      <c r="J991" s="385">
        <v>50</v>
      </c>
      <c r="K991" s="114">
        <v>6.25</v>
      </c>
      <c r="L991" s="338" t="s">
        <v>104</v>
      </c>
      <c r="M991" s="216"/>
      <c r="N991" s="216"/>
      <c r="O991" s="216"/>
      <c r="P991" s="216"/>
      <c r="Q991" s="216"/>
      <c r="R991" s="216"/>
      <c r="S991" s="216"/>
      <c r="T991" s="216"/>
      <c r="U991" s="216"/>
      <c r="V991" s="216"/>
      <c r="W991" s="216"/>
      <c r="X991" s="216"/>
    </row>
    <row r="992" spans="1:24" ht="15" customHeight="1">
      <c r="A992" s="134" t="s">
        <v>3709</v>
      </c>
      <c r="B992" s="91" t="s">
        <v>3601</v>
      </c>
      <c r="C992" s="133" t="s">
        <v>105</v>
      </c>
      <c r="D992" s="134" t="s">
        <v>3602</v>
      </c>
      <c r="E992" s="99" t="s">
        <v>3716</v>
      </c>
      <c r="F992" s="238" t="s">
        <v>3717</v>
      </c>
      <c r="G992" s="99">
        <v>8</v>
      </c>
      <c r="H992" s="99">
        <v>8</v>
      </c>
      <c r="I992" s="99">
        <v>8</v>
      </c>
      <c r="J992" s="385">
        <v>50</v>
      </c>
      <c r="K992" s="114">
        <v>6.25</v>
      </c>
      <c r="L992" s="338" t="s">
        <v>104</v>
      </c>
      <c r="M992" s="216"/>
      <c r="N992" s="216"/>
      <c r="O992" s="216"/>
      <c r="P992" s="216"/>
      <c r="Q992" s="216"/>
      <c r="R992" s="216"/>
      <c r="S992" s="216"/>
      <c r="T992" s="216"/>
      <c r="U992" s="216"/>
      <c r="V992" s="216"/>
      <c r="W992" s="216"/>
      <c r="X992" s="216"/>
    </row>
    <row r="993" spans="1:24" ht="15" customHeight="1">
      <c r="A993" s="134" t="s">
        <v>3718</v>
      </c>
      <c r="B993" s="134" t="s">
        <v>3687</v>
      </c>
      <c r="C993" s="99" t="s">
        <v>105</v>
      </c>
      <c r="D993" s="134" t="s">
        <v>3719</v>
      </c>
      <c r="E993" s="99" t="s">
        <v>3720</v>
      </c>
      <c r="F993" s="238" t="s">
        <v>230</v>
      </c>
      <c r="G993" s="99">
        <v>4</v>
      </c>
      <c r="H993" s="99">
        <v>4</v>
      </c>
      <c r="I993" s="99">
        <v>4</v>
      </c>
      <c r="J993" s="385">
        <v>50</v>
      </c>
      <c r="K993" s="114">
        <v>12.5</v>
      </c>
      <c r="L993" s="338" t="s">
        <v>104</v>
      </c>
      <c r="M993" s="216"/>
      <c r="N993" s="216"/>
      <c r="O993" s="216"/>
      <c r="P993" s="216"/>
      <c r="Q993" s="216"/>
      <c r="R993" s="216"/>
      <c r="S993" s="216"/>
      <c r="T993" s="216"/>
      <c r="U993" s="216"/>
      <c r="V993" s="216"/>
      <c r="W993" s="216"/>
      <c r="X993" s="216"/>
    </row>
    <row r="994" spans="1:24" ht="15" customHeight="1">
      <c r="A994" s="134" t="s">
        <v>3721</v>
      </c>
      <c r="B994" s="134" t="s">
        <v>3722</v>
      </c>
      <c r="C994" s="99" t="s">
        <v>105</v>
      </c>
      <c r="D994" s="99" t="s">
        <v>3695</v>
      </c>
      <c r="E994" s="465" t="s">
        <v>3696</v>
      </c>
      <c r="F994" s="238" t="s">
        <v>3690</v>
      </c>
      <c r="G994" s="99">
        <v>5</v>
      </c>
      <c r="H994" s="99">
        <v>5</v>
      </c>
      <c r="I994" s="99">
        <v>5</v>
      </c>
      <c r="J994" s="385">
        <v>50</v>
      </c>
      <c r="K994" s="114">
        <v>10</v>
      </c>
      <c r="L994" s="338" t="s">
        <v>104</v>
      </c>
      <c r="M994" s="216"/>
      <c r="N994" s="216"/>
      <c r="O994" s="216"/>
      <c r="P994" s="216"/>
      <c r="Q994" s="216"/>
      <c r="R994" s="216"/>
      <c r="S994" s="216"/>
      <c r="T994" s="216"/>
      <c r="U994" s="216"/>
      <c r="V994" s="216"/>
      <c r="W994" s="216"/>
      <c r="X994" s="216"/>
    </row>
    <row r="995" spans="1:24" ht="15" customHeight="1">
      <c r="A995" s="256" t="s">
        <v>3723</v>
      </c>
      <c r="B995" s="256" t="s">
        <v>3724</v>
      </c>
      <c r="C995" s="99" t="s">
        <v>105</v>
      </c>
      <c r="D995" s="99" t="s">
        <v>3695</v>
      </c>
      <c r="E995" s="99" t="s">
        <v>3696</v>
      </c>
      <c r="F995" s="238" t="s">
        <v>3690</v>
      </c>
      <c r="G995" s="99">
        <v>4</v>
      </c>
      <c r="H995" s="99">
        <v>4</v>
      </c>
      <c r="I995" s="99">
        <v>4</v>
      </c>
      <c r="J995" s="385">
        <v>50</v>
      </c>
      <c r="K995" s="114">
        <v>12.5</v>
      </c>
      <c r="L995" s="338" t="s">
        <v>104</v>
      </c>
      <c r="M995" s="216"/>
      <c r="N995" s="216"/>
      <c r="O995" s="216"/>
      <c r="P995" s="216"/>
      <c r="Q995" s="216"/>
      <c r="R995" s="216"/>
      <c r="S995" s="216"/>
      <c r="T995" s="216"/>
      <c r="U995" s="216"/>
      <c r="V995" s="216"/>
      <c r="W995" s="216"/>
      <c r="X995" s="216"/>
    </row>
    <row r="996" spans="1:24" ht="15" customHeight="1">
      <c r="A996" s="134" t="s">
        <v>3709</v>
      </c>
      <c r="B996" s="134" t="s">
        <v>3601</v>
      </c>
      <c r="C996" s="133" t="s">
        <v>105</v>
      </c>
      <c r="D996" s="134" t="s">
        <v>3710</v>
      </c>
      <c r="E996" s="134" t="s">
        <v>3711</v>
      </c>
      <c r="F996" s="99" t="s">
        <v>3712</v>
      </c>
      <c r="G996" s="119">
        <v>7</v>
      </c>
      <c r="H996" s="119">
        <v>7</v>
      </c>
      <c r="I996" s="119">
        <v>7</v>
      </c>
      <c r="J996" s="272">
        <v>50</v>
      </c>
      <c r="K996" s="114">
        <f t="shared" ref="K996:K1007" si="41">J996/H996</f>
        <v>7.1428571428571432</v>
      </c>
      <c r="L996" s="338" t="s">
        <v>132</v>
      </c>
      <c r="M996" s="216"/>
      <c r="N996" s="216"/>
      <c r="O996" s="216"/>
      <c r="P996" s="216"/>
      <c r="Q996" s="216"/>
      <c r="R996" s="216"/>
      <c r="S996" s="216"/>
      <c r="T996" s="216"/>
      <c r="U996" s="216"/>
      <c r="V996" s="216"/>
      <c r="W996" s="216"/>
      <c r="X996" s="216"/>
    </row>
    <row r="997" spans="1:24" ht="15" customHeight="1">
      <c r="A997" s="134" t="s">
        <v>3709</v>
      </c>
      <c r="B997" s="91" t="s">
        <v>3601</v>
      </c>
      <c r="C997" s="133" t="s">
        <v>105</v>
      </c>
      <c r="D997" s="134" t="s">
        <v>3713</v>
      </c>
      <c r="E997" s="99" t="s">
        <v>3714</v>
      </c>
      <c r="F997" s="238" t="s">
        <v>3715</v>
      </c>
      <c r="G997" s="94">
        <v>7</v>
      </c>
      <c r="H997" s="94">
        <v>7</v>
      </c>
      <c r="I997" s="94">
        <v>7</v>
      </c>
      <c r="J997" s="385">
        <v>50</v>
      </c>
      <c r="K997" s="114">
        <f t="shared" si="41"/>
        <v>7.1428571428571432</v>
      </c>
      <c r="L997" s="338" t="s">
        <v>132</v>
      </c>
      <c r="M997" s="216"/>
      <c r="N997" s="216"/>
      <c r="O997" s="216"/>
      <c r="P997" s="216"/>
      <c r="Q997" s="216"/>
      <c r="R997" s="216"/>
      <c r="S997" s="216"/>
      <c r="T997" s="216"/>
      <c r="U997" s="216"/>
      <c r="V997" s="216"/>
      <c r="W997" s="216"/>
      <c r="X997" s="216"/>
    </row>
    <row r="998" spans="1:24" ht="15" customHeight="1">
      <c r="A998" s="134" t="s">
        <v>3718</v>
      </c>
      <c r="B998" s="134" t="s">
        <v>3687</v>
      </c>
      <c r="C998" s="99" t="s">
        <v>105</v>
      </c>
      <c r="D998" s="134" t="s">
        <v>3719</v>
      </c>
      <c r="E998" s="99" t="s">
        <v>3720</v>
      </c>
      <c r="F998" s="238" t="s">
        <v>230</v>
      </c>
      <c r="G998" s="99">
        <v>4</v>
      </c>
      <c r="H998" s="99">
        <v>4</v>
      </c>
      <c r="I998" s="99">
        <v>4</v>
      </c>
      <c r="J998" s="385">
        <v>50</v>
      </c>
      <c r="K998" s="114">
        <f t="shared" si="41"/>
        <v>12.5</v>
      </c>
      <c r="L998" s="338" t="s">
        <v>132</v>
      </c>
      <c r="M998" s="216"/>
      <c r="N998" s="216"/>
      <c r="O998" s="216"/>
      <c r="P998" s="216"/>
      <c r="Q998" s="216"/>
      <c r="R998" s="216"/>
      <c r="S998" s="216"/>
      <c r="T998" s="216"/>
      <c r="U998" s="216"/>
      <c r="V998" s="216"/>
      <c r="W998" s="216"/>
      <c r="X998" s="216"/>
    </row>
    <row r="999" spans="1:24" ht="15" customHeight="1">
      <c r="A999" s="134" t="s">
        <v>3686</v>
      </c>
      <c r="B999" s="134" t="s">
        <v>3687</v>
      </c>
      <c r="C999" s="99" t="s">
        <v>105</v>
      </c>
      <c r="D999" s="134" t="s">
        <v>3688</v>
      </c>
      <c r="E999" s="99" t="s">
        <v>3689</v>
      </c>
      <c r="F999" s="238" t="s">
        <v>3690</v>
      </c>
      <c r="G999" s="99">
        <v>4</v>
      </c>
      <c r="H999" s="99">
        <v>4</v>
      </c>
      <c r="I999" s="99">
        <v>4</v>
      </c>
      <c r="J999" s="385">
        <v>50</v>
      </c>
      <c r="K999" s="114">
        <f t="shared" si="41"/>
        <v>12.5</v>
      </c>
      <c r="L999" s="338" t="s">
        <v>132</v>
      </c>
      <c r="M999" s="216"/>
      <c r="N999" s="216"/>
      <c r="O999" s="216"/>
      <c r="P999" s="216"/>
      <c r="Q999" s="216"/>
      <c r="R999" s="216"/>
      <c r="S999" s="216"/>
      <c r="T999" s="216"/>
      <c r="U999" s="216"/>
      <c r="V999" s="216"/>
      <c r="W999" s="216"/>
      <c r="X999" s="216"/>
    </row>
    <row r="1000" spans="1:24" ht="15" customHeight="1">
      <c r="A1000" s="134" t="s">
        <v>3686</v>
      </c>
      <c r="B1000" s="134" t="s">
        <v>3687</v>
      </c>
      <c r="C1000" s="99" t="s">
        <v>105</v>
      </c>
      <c r="D1000" s="134" t="s">
        <v>3691</v>
      </c>
      <c r="E1000" s="99" t="s">
        <v>3692</v>
      </c>
      <c r="F1000" s="238" t="s">
        <v>3690</v>
      </c>
      <c r="G1000" s="99">
        <v>4</v>
      </c>
      <c r="H1000" s="99">
        <v>4</v>
      </c>
      <c r="I1000" s="99">
        <v>4</v>
      </c>
      <c r="J1000" s="385">
        <v>50</v>
      </c>
      <c r="K1000" s="114">
        <f t="shared" si="41"/>
        <v>12.5</v>
      </c>
      <c r="L1000" s="338" t="s">
        <v>132</v>
      </c>
      <c r="M1000" s="216"/>
      <c r="N1000" s="216"/>
      <c r="O1000" s="216"/>
      <c r="P1000" s="216"/>
      <c r="Q1000" s="216"/>
      <c r="R1000" s="216"/>
      <c r="S1000" s="216"/>
      <c r="T1000" s="216"/>
      <c r="U1000" s="216"/>
      <c r="V1000" s="216"/>
      <c r="W1000" s="216"/>
      <c r="X1000" s="216"/>
    </row>
    <row r="1001" spans="1:24" ht="15" customHeight="1">
      <c r="A1001" s="134" t="s">
        <v>3721</v>
      </c>
      <c r="B1001" s="134" t="s">
        <v>3722</v>
      </c>
      <c r="C1001" s="99" t="s">
        <v>105</v>
      </c>
      <c r="D1001" s="99" t="s">
        <v>3725</v>
      </c>
      <c r="E1001" s="465" t="s">
        <v>3696</v>
      </c>
      <c r="F1001" s="238" t="s">
        <v>3690</v>
      </c>
      <c r="G1001" s="99">
        <v>5</v>
      </c>
      <c r="H1001" s="99">
        <v>5</v>
      </c>
      <c r="I1001" s="99">
        <v>5</v>
      </c>
      <c r="J1001" s="385">
        <v>50</v>
      </c>
      <c r="K1001" s="114">
        <f t="shared" si="41"/>
        <v>10</v>
      </c>
      <c r="L1001" s="338" t="s">
        <v>132</v>
      </c>
      <c r="M1001" s="216"/>
      <c r="N1001" s="216"/>
      <c r="O1001" s="216"/>
      <c r="P1001" s="216"/>
      <c r="Q1001" s="216"/>
      <c r="R1001" s="216"/>
      <c r="S1001" s="216"/>
      <c r="T1001" s="216"/>
      <c r="U1001" s="216"/>
      <c r="V1001" s="216"/>
      <c r="W1001" s="216"/>
      <c r="X1001" s="216"/>
    </row>
    <row r="1002" spans="1:24" ht="15" customHeight="1">
      <c r="A1002" s="134" t="s">
        <v>3726</v>
      </c>
      <c r="B1002" s="134" t="s">
        <v>3605</v>
      </c>
      <c r="C1002" s="99" t="s">
        <v>105</v>
      </c>
      <c r="D1002" s="134" t="s">
        <v>3669</v>
      </c>
      <c r="E1002" s="465" t="s">
        <v>3727</v>
      </c>
      <c r="F1002" s="238" t="s">
        <v>2072</v>
      </c>
      <c r="G1002" s="99">
        <v>5</v>
      </c>
      <c r="H1002" s="99">
        <v>5</v>
      </c>
      <c r="I1002" s="99">
        <v>5</v>
      </c>
      <c r="J1002" s="385">
        <v>50</v>
      </c>
      <c r="K1002" s="114">
        <f t="shared" si="41"/>
        <v>10</v>
      </c>
      <c r="L1002" s="338" t="s">
        <v>132</v>
      </c>
      <c r="M1002" s="216"/>
      <c r="N1002" s="216"/>
      <c r="O1002" s="216"/>
      <c r="P1002" s="216"/>
      <c r="Q1002" s="216"/>
      <c r="R1002" s="216"/>
      <c r="S1002" s="216"/>
      <c r="T1002" s="216"/>
      <c r="U1002" s="216"/>
      <c r="V1002" s="216"/>
      <c r="W1002" s="216"/>
      <c r="X1002" s="216"/>
    </row>
    <row r="1003" spans="1:24" ht="15" customHeight="1">
      <c r="A1003" s="134" t="s">
        <v>3723</v>
      </c>
      <c r="B1003" s="134" t="s">
        <v>3724</v>
      </c>
      <c r="C1003" s="99" t="s">
        <v>105</v>
      </c>
      <c r="D1003" s="99" t="s">
        <v>3725</v>
      </c>
      <c r="E1003" s="99" t="s">
        <v>3696</v>
      </c>
      <c r="F1003" s="238" t="s">
        <v>3690</v>
      </c>
      <c r="G1003" s="99">
        <v>4</v>
      </c>
      <c r="H1003" s="99">
        <v>4</v>
      </c>
      <c r="I1003" s="99">
        <v>4</v>
      </c>
      <c r="J1003" s="385">
        <v>50</v>
      </c>
      <c r="K1003" s="114">
        <f t="shared" si="41"/>
        <v>12.5</v>
      </c>
      <c r="L1003" s="338" t="s">
        <v>132</v>
      </c>
      <c r="M1003" s="216"/>
      <c r="N1003" s="216"/>
      <c r="O1003" s="216"/>
      <c r="P1003" s="216"/>
      <c r="Q1003" s="216"/>
      <c r="R1003" s="216"/>
      <c r="S1003" s="216"/>
      <c r="T1003" s="216"/>
      <c r="U1003" s="216"/>
      <c r="V1003" s="216"/>
      <c r="W1003" s="216"/>
      <c r="X1003" s="216"/>
    </row>
    <row r="1004" spans="1:24" ht="15" customHeight="1">
      <c r="A1004" s="134" t="s">
        <v>3693</v>
      </c>
      <c r="B1004" s="138" t="s">
        <v>3694</v>
      </c>
      <c r="C1004" s="99" t="s">
        <v>105</v>
      </c>
      <c r="D1004" s="99" t="s">
        <v>3725</v>
      </c>
      <c r="E1004" s="99" t="s">
        <v>3696</v>
      </c>
      <c r="F1004" s="238" t="s">
        <v>3690</v>
      </c>
      <c r="G1004" s="99">
        <v>4</v>
      </c>
      <c r="H1004" s="99">
        <v>4</v>
      </c>
      <c r="I1004" s="99">
        <v>4</v>
      </c>
      <c r="J1004" s="385">
        <v>50</v>
      </c>
      <c r="K1004" s="114">
        <f t="shared" si="41"/>
        <v>12.5</v>
      </c>
      <c r="L1004" s="338" t="s">
        <v>132</v>
      </c>
      <c r="M1004" s="216"/>
      <c r="N1004" s="216"/>
      <c r="O1004" s="216"/>
      <c r="P1004" s="216"/>
      <c r="Q1004" s="216"/>
      <c r="R1004" s="216"/>
      <c r="S1004" s="216"/>
      <c r="T1004" s="216"/>
      <c r="U1004" s="216"/>
      <c r="V1004" s="216"/>
      <c r="W1004" s="216"/>
      <c r="X1004" s="216"/>
    </row>
    <row r="1005" spans="1:24" ht="15" customHeight="1">
      <c r="A1005" s="134" t="s">
        <v>3728</v>
      </c>
      <c r="B1005" s="133" t="s">
        <v>3729</v>
      </c>
      <c r="C1005" s="99" t="s">
        <v>105</v>
      </c>
      <c r="D1005" s="131" t="s">
        <v>3730</v>
      </c>
      <c r="E1005" s="465" t="s">
        <v>942</v>
      </c>
      <c r="F1005" s="238" t="s">
        <v>3731</v>
      </c>
      <c r="G1005" s="99">
        <v>7</v>
      </c>
      <c r="H1005" s="99">
        <v>7</v>
      </c>
      <c r="I1005" s="99">
        <v>7</v>
      </c>
      <c r="J1005" s="385">
        <v>50</v>
      </c>
      <c r="K1005" s="114">
        <f t="shared" si="41"/>
        <v>7.1428571428571432</v>
      </c>
      <c r="L1005" s="338" t="s">
        <v>132</v>
      </c>
      <c r="M1005" s="216"/>
      <c r="N1005" s="216"/>
      <c r="O1005" s="216"/>
      <c r="P1005" s="216"/>
      <c r="Q1005" s="216"/>
      <c r="R1005" s="216"/>
      <c r="S1005" s="216"/>
      <c r="T1005" s="216"/>
      <c r="U1005" s="216"/>
      <c r="V1005" s="216"/>
      <c r="W1005" s="216"/>
      <c r="X1005" s="216"/>
    </row>
    <row r="1006" spans="1:24" ht="15" customHeight="1">
      <c r="A1006" s="134" t="s">
        <v>3732</v>
      </c>
      <c r="B1006" s="134" t="s">
        <v>3586</v>
      </c>
      <c r="C1006" s="99" t="s">
        <v>105</v>
      </c>
      <c r="D1006" s="134" t="s">
        <v>3733</v>
      </c>
      <c r="E1006" s="99" t="s">
        <v>3734</v>
      </c>
      <c r="F1006" s="238" t="s">
        <v>230</v>
      </c>
      <c r="G1006" s="99">
        <v>4</v>
      </c>
      <c r="H1006" s="99">
        <v>4</v>
      </c>
      <c r="I1006" s="99">
        <v>4</v>
      </c>
      <c r="J1006" s="385">
        <v>50</v>
      </c>
      <c r="K1006" s="114">
        <f t="shared" si="41"/>
        <v>12.5</v>
      </c>
      <c r="L1006" s="338" t="s">
        <v>132</v>
      </c>
      <c r="M1006" s="216"/>
      <c r="N1006" s="216"/>
      <c r="O1006" s="216"/>
      <c r="P1006" s="216"/>
      <c r="Q1006" s="216"/>
      <c r="R1006" s="216"/>
      <c r="S1006" s="216"/>
      <c r="T1006" s="216"/>
      <c r="U1006" s="216"/>
      <c r="V1006" s="216"/>
      <c r="W1006" s="216"/>
      <c r="X1006" s="216"/>
    </row>
    <row r="1007" spans="1:24" ht="15" customHeight="1">
      <c r="A1007" s="134" t="s">
        <v>3732</v>
      </c>
      <c r="B1007" s="134" t="s">
        <v>3586</v>
      </c>
      <c r="C1007" s="99" t="s">
        <v>105</v>
      </c>
      <c r="D1007" s="134" t="s">
        <v>3735</v>
      </c>
      <c r="E1007" s="99" t="s">
        <v>3736</v>
      </c>
      <c r="F1007" s="238" t="s">
        <v>230</v>
      </c>
      <c r="G1007" s="99">
        <v>4</v>
      </c>
      <c r="H1007" s="99">
        <v>4</v>
      </c>
      <c r="I1007" s="99">
        <v>4</v>
      </c>
      <c r="J1007" s="385">
        <v>50</v>
      </c>
      <c r="K1007" s="114">
        <f t="shared" si="41"/>
        <v>12.5</v>
      </c>
      <c r="L1007" s="338" t="s">
        <v>132</v>
      </c>
      <c r="M1007" s="216"/>
      <c r="N1007" s="216"/>
      <c r="O1007" s="216"/>
      <c r="P1007" s="216"/>
      <c r="Q1007" s="216"/>
      <c r="R1007" s="216"/>
      <c r="S1007" s="216"/>
      <c r="T1007" s="216"/>
      <c r="U1007" s="216"/>
      <c r="V1007" s="216"/>
      <c r="W1007" s="216"/>
      <c r="X1007" s="216"/>
    </row>
    <row r="1008" spans="1:24" ht="15" customHeight="1">
      <c r="A1008" s="134" t="s">
        <v>3600</v>
      </c>
      <c r="B1008" s="91" t="s">
        <v>3601</v>
      </c>
      <c r="C1008" s="133" t="s">
        <v>105</v>
      </c>
      <c r="D1008" s="134" t="s">
        <v>3737</v>
      </c>
      <c r="E1008" s="378" t="s">
        <v>3598</v>
      </c>
      <c r="F1008" s="134" t="s">
        <v>1338</v>
      </c>
      <c r="G1008" s="379">
        <v>7</v>
      </c>
      <c r="H1008" s="379">
        <v>7</v>
      </c>
      <c r="I1008" s="379">
        <v>7</v>
      </c>
      <c r="J1008" s="272">
        <v>50</v>
      </c>
      <c r="K1008" s="564">
        <f t="shared" ref="K1008:K1015" si="42">J1008/I1008</f>
        <v>7.1428571428571432</v>
      </c>
      <c r="L1008" s="338" t="s">
        <v>971</v>
      </c>
      <c r="M1008" s="216"/>
      <c r="N1008" s="216"/>
      <c r="O1008" s="216"/>
      <c r="P1008" s="216"/>
      <c r="Q1008" s="216"/>
      <c r="R1008" s="216"/>
      <c r="S1008" s="216"/>
      <c r="T1008" s="216"/>
      <c r="U1008" s="216"/>
      <c r="V1008" s="216"/>
      <c r="W1008" s="216"/>
      <c r="X1008" s="216"/>
    </row>
    <row r="1009" spans="1:24" ht="15" customHeight="1">
      <c r="A1009" s="134" t="s">
        <v>3600</v>
      </c>
      <c r="B1009" s="91" t="s">
        <v>3601</v>
      </c>
      <c r="C1009" s="133" t="s">
        <v>105</v>
      </c>
      <c r="D1009" s="134" t="s">
        <v>3738</v>
      </c>
      <c r="E1009" s="382" t="s">
        <v>3739</v>
      </c>
      <c r="F1009" s="134" t="s">
        <v>1338</v>
      </c>
      <c r="G1009" s="379">
        <v>7</v>
      </c>
      <c r="H1009" s="379">
        <v>7</v>
      </c>
      <c r="I1009" s="379">
        <v>7</v>
      </c>
      <c r="J1009" s="272">
        <v>50</v>
      </c>
      <c r="K1009" s="564">
        <f t="shared" si="42"/>
        <v>7.1428571428571432</v>
      </c>
      <c r="L1009" s="338" t="s">
        <v>971</v>
      </c>
      <c r="M1009" s="216"/>
      <c r="N1009" s="216"/>
      <c r="O1009" s="216"/>
      <c r="P1009" s="216"/>
      <c r="Q1009" s="216"/>
      <c r="R1009" s="216"/>
      <c r="S1009" s="216"/>
      <c r="T1009" s="216"/>
      <c r="U1009" s="216"/>
      <c r="V1009" s="216"/>
      <c r="W1009" s="216"/>
      <c r="X1009" s="216"/>
    </row>
    <row r="1010" spans="1:24" ht="15" customHeight="1">
      <c r="A1010" s="134" t="s">
        <v>3600</v>
      </c>
      <c r="B1010" s="91" t="s">
        <v>3601</v>
      </c>
      <c r="C1010" s="133" t="s">
        <v>105</v>
      </c>
      <c r="D1010" s="134" t="s">
        <v>3602</v>
      </c>
      <c r="E1010" s="382" t="s">
        <v>3603</v>
      </c>
      <c r="F1010" s="134" t="s">
        <v>1338</v>
      </c>
      <c r="G1010" s="379">
        <v>7</v>
      </c>
      <c r="H1010" s="379">
        <v>7</v>
      </c>
      <c r="I1010" s="379">
        <v>7</v>
      </c>
      <c r="J1010" s="272">
        <v>50</v>
      </c>
      <c r="K1010" s="564">
        <f t="shared" si="42"/>
        <v>7.1428571428571432</v>
      </c>
      <c r="L1010" s="338" t="s">
        <v>971</v>
      </c>
      <c r="M1010" s="216"/>
      <c r="N1010" s="216"/>
      <c r="O1010" s="216"/>
      <c r="P1010" s="216"/>
      <c r="Q1010" s="216"/>
      <c r="R1010" s="216"/>
      <c r="S1010" s="216"/>
      <c r="T1010" s="216"/>
      <c r="U1010" s="216"/>
      <c r="V1010" s="216"/>
      <c r="W1010" s="216"/>
      <c r="X1010" s="216"/>
    </row>
    <row r="1011" spans="1:24" ht="15" customHeight="1">
      <c r="A1011" s="134" t="s">
        <v>3600</v>
      </c>
      <c r="B1011" s="91" t="s">
        <v>3601</v>
      </c>
      <c r="C1011" s="133" t="s">
        <v>105</v>
      </c>
      <c r="D1011" s="134" t="s">
        <v>3740</v>
      </c>
      <c r="E1011" s="382" t="s">
        <v>3603</v>
      </c>
      <c r="F1011" s="134" t="s">
        <v>1338</v>
      </c>
      <c r="G1011" s="379">
        <v>7</v>
      </c>
      <c r="H1011" s="379">
        <v>7</v>
      </c>
      <c r="I1011" s="379">
        <v>7</v>
      </c>
      <c r="J1011" s="272">
        <v>50</v>
      </c>
      <c r="K1011" s="564">
        <f t="shared" si="42"/>
        <v>7.1428571428571432</v>
      </c>
      <c r="L1011" s="338" t="s">
        <v>971</v>
      </c>
      <c r="M1011" s="216"/>
      <c r="N1011" s="216"/>
      <c r="O1011" s="216"/>
      <c r="P1011" s="216"/>
      <c r="Q1011" s="216"/>
      <c r="R1011" s="216"/>
      <c r="S1011" s="216"/>
      <c r="T1011" s="216"/>
      <c r="U1011" s="216"/>
      <c r="V1011" s="216"/>
      <c r="W1011" s="216"/>
      <c r="X1011" s="216"/>
    </row>
    <row r="1012" spans="1:24" ht="15" customHeight="1">
      <c r="A1012" s="91" t="s">
        <v>3741</v>
      </c>
      <c r="B1012" s="256" t="s">
        <v>3742</v>
      </c>
      <c r="C1012" s="133" t="s">
        <v>105</v>
      </c>
      <c r="D1012" s="134" t="s">
        <v>3743</v>
      </c>
      <c r="E1012" s="382" t="s">
        <v>3744</v>
      </c>
      <c r="F1012" s="134" t="s">
        <v>1338</v>
      </c>
      <c r="G1012" s="379">
        <v>6</v>
      </c>
      <c r="H1012" s="379">
        <v>4</v>
      </c>
      <c r="I1012" s="379">
        <v>6</v>
      </c>
      <c r="J1012" s="385">
        <v>50</v>
      </c>
      <c r="K1012" s="564">
        <f t="shared" si="42"/>
        <v>8.3333333333333339</v>
      </c>
      <c r="L1012" s="338" t="s">
        <v>971</v>
      </c>
      <c r="M1012" s="216"/>
      <c r="N1012" s="216"/>
      <c r="O1012" s="216"/>
      <c r="P1012" s="216"/>
      <c r="Q1012" s="216"/>
      <c r="R1012" s="216"/>
      <c r="S1012" s="216"/>
      <c r="T1012" s="216"/>
      <c r="U1012" s="216"/>
      <c r="V1012" s="216"/>
      <c r="W1012" s="216"/>
      <c r="X1012" s="216"/>
    </row>
    <row r="1013" spans="1:24" ht="15" customHeight="1">
      <c r="A1013" s="254" t="s">
        <v>3741</v>
      </c>
      <c r="B1013" s="256" t="s">
        <v>3742</v>
      </c>
      <c r="C1013" s="133" t="s">
        <v>105</v>
      </c>
      <c r="D1013" s="256" t="s">
        <v>3745</v>
      </c>
      <c r="E1013" s="371" t="s">
        <v>3746</v>
      </c>
      <c r="F1013" s="256" t="s">
        <v>635</v>
      </c>
      <c r="G1013" s="396">
        <v>6</v>
      </c>
      <c r="H1013" s="396">
        <v>4</v>
      </c>
      <c r="I1013" s="396">
        <v>6</v>
      </c>
      <c r="J1013" s="467">
        <v>50</v>
      </c>
      <c r="K1013" s="587">
        <f t="shared" si="42"/>
        <v>8.3333333333333339</v>
      </c>
      <c r="L1013" s="338" t="s">
        <v>971</v>
      </c>
      <c r="M1013" s="216"/>
      <c r="N1013" s="216"/>
      <c r="O1013" s="216"/>
      <c r="P1013" s="216"/>
      <c r="Q1013" s="216"/>
      <c r="R1013" s="216"/>
      <c r="S1013" s="216"/>
      <c r="T1013" s="216"/>
      <c r="U1013" s="216"/>
      <c r="V1013" s="216"/>
      <c r="W1013" s="216"/>
      <c r="X1013" s="216"/>
    </row>
    <row r="1014" spans="1:24" ht="15" customHeight="1">
      <c r="A1014" s="91" t="s">
        <v>3747</v>
      </c>
      <c r="B1014" s="134" t="s">
        <v>3748</v>
      </c>
      <c r="C1014" s="133" t="s">
        <v>105</v>
      </c>
      <c r="D1014" s="134" t="s">
        <v>3749</v>
      </c>
      <c r="E1014" s="382" t="s">
        <v>3750</v>
      </c>
      <c r="F1014" s="134" t="s">
        <v>635</v>
      </c>
      <c r="G1014" s="379">
        <v>6</v>
      </c>
      <c r="H1014" s="379">
        <v>2</v>
      </c>
      <c r="I1014" s="379">
        <v>6</v>
      </c>
      <c r="J1014" s="385">
        <v>50</v>
      </c>
      <c r="K1014" s="564">
        <f t="shared" si="42"/>
        <v>8.3333333333333339</v>
      </c>
      <c r="L1014" s="338" t="s">
        <v>971</v>
      </c>
      <c r="M1014" s="216"/>
      <c r="N1014" s="216"/>
      <c r="O1014" s="216"/>
      <c r="P1014" s="216"/>
      <c r="Q1014" s="216"/>
      <c r="R1014" s="216"/>
      <c r="S1014" s="216"/>
      <c r="T1014" s="216"/>
      <c r="U1014" s="216"/>
      <c r="V1014" s="216"/>
      <c r="W1014" s="216"/>
      <c r="X1014" s="216"/>
    </row>
    <row r="1015" spans="1:24" ht="15" customHeight="1">
      <c r="A1015" s="588" t="s">
        <v>3559</v>
      </c>
      <c r="B1015" s="589" t="s">
        <v>3560</v>
      </c>
      <c r="C1015" s="590" t="s">
        <v>105</v>
      </c>
      <c r="D1015" s="591" t="s">
        <v>3561</v>
      </c>
      <c r="E1015" s="592" t="s">
        <v>3562</v>
      </c>
      <c r="F1015" s="591" t="s">
        <v>635</v>
      </c>
      <c r="G1015" s="593">
        <v>4</v>
      </c>
      <c r="H1015" s="594">
        <v>4</v>
      </c>
      <c r="I1015" s="594">
        <v>4</v>
      </c>
      <c r="J1015" s="385">
        <v>50</v>
      </c>
      <c r="K1015" s="329">
        <f t="shared" si="42"/>
        <v>12.5</v>
      </c>
      <c r="L1015" s="338" t="s">
        <v>971</v>
      </c>
      <c r="M1015" s="216"/>
      <c r="N1015" s="216"/>
      <c r="O1015" s="216"/>
      <c r="P1015" s="216"/>
      <c r="Q1015" s="216"/>
      <c r="R1015" s="216"/>
      <c r="S1015" s="216"/>
      <c r="T1015" s="216"/>
      <c r="U1015" s="216"/>
      <c r="V1015" s="216"/>
      <c r="W1015" s="216"/>
      <c r="X1015" s="216"/>
    </row>
    <row r="1016" spans="1:24" ht="15" customHeight="1">
      <c r="A1016" s="134" t="s">
        <v>3751</v>
      </c>
      <c r="B1016" s="99" t="s">
        <v>3752</v>
      </c>
      <c r="C1016" s="133" t="s">
        <v>3753</v>
      </c>
      <c r="D1016" s="134" t="s">
        <v>3754</v>
      </c>
      <c r="E1016" s="134" t="s">
        <v>2254</v>
      </c>
      <c r="F1016" s="134" t="s">
        <v>635</v>
      </c>
      <c r="G1016" s="379">
        <v>3</v>
      </c>
      <c r="H1016" s="379">
        <v>3</v>
      </c>
      <c r="I1016" s="379">
        <v>3</v>
      </c>
      <c r="J1016" s="272">
        <v>50</v>
      </c>
      <c r="K1016" s="134">
        <f t="shared" ref="K1016:K1017" si="43">J1016/3</f>
        <v>16.666666666666668</v>
      </c>
      <c r="L1016" s="338" t="s">
        <v>124</v>
      </c>
      <c r="M1016" s="216"/>
      <c r="N1016" s="216"/>
      <c r="O1016" s="216"/>
      <c r="P1016" s="216"/>
      <c r="Q1016" s="216"/>
      <c r="R1016" s="216"/>
      <c r="S1016" s="216"/>
      <c r="T1016" s="216"/>
      <c r="U1016" s="216"/>
      <c r="V1016" s="216"/>
      <c r="W1016" s="216"/>
      <c r="X1016" s="216"/>
    </row>
    <row r="1017" spans="1:24" ht="15" customHeight="1">
      <c r="A1017" s="134" t="s">
        <v>3751</v>
      </c>
      <c r="B1017" s="99" t="s">
        <v>3752</v>
      </c>
      <c r="C1017" s="133" t="s">
        <v>3753</v>
      </c>
      <c r="D1017" s="133" t="s">
        <v>3755</v>
      </c>
      <c r="E1017" s="133" t="s">
        <v>2252</v>
      </c>
      <c r="F1017" s="133" t="s">
        <v>635</v>
      </c>
      <c r="G1017" s="379">
        <v>3</v>
      </c>
      <c r="H1017" s="379">
        <v>3</v>
      </c>
      <c r="I1017" s="379">
        <v>3</v>
      </c>
      <c r="J1017" s="272">
        <v>50</v>
      </c>
      <c r="K1017" s="134">
        <f t="shared" si="43"/>
        <v>16.666666666666668</v>
      </c>
      <c r="L1017" s="338" t="s">
        <v>124</v>
      </c>
      <c r="M1017" s="216"/>
      <c r="N1017" s="216"/>
      <c r="O1017" s="216"/>
      <c r="P1017" s="216"/>
      <c r="Q1017" s="216"/>
      <c r="R1017" s="216"/>
      <c r="S1017" s="216"/>
      <c r="T1017" s="216"/>
      <c r="U1017" s="216"/>
      <c r="V1017" s="216"/>
      <c r="W1017" s="216"/>
      <c r="X1017" s="216"/>
    </row>
    <row r="1018" spans="1:24" ht="15" customHeight="1">
      <c r="A1018" s="134" t="s">
        <v>3756</v>
      </c>
      <c r="B1018" s="134" t="s">
        <v>3757</v>
      </c>
      <c r="C1018" s="99" t="s">
        <v>105</v>
      </c>
      <c r="D1018" s="65" t="s">
        <v>3758</v>
      </c>
      <c r="E1018" s="426" t="s">
        <v>3759</v>
      </c>
      <c r="F1018" s="99" t="s">
        <v>3760</v>
      </c>
      <c r="G1018" s="379">
        <v>0</v>
      </c>
      <c r="H1018" s="379">
        <v>2</v>
      </c>
      <c r="I1018" s="379">
        <v>2</v>
      </c>
      <c r="J1018" s="272">
        <v>50</v>
      </c>
      <c r="K1018" s="134">
        <v>25</v>
      </c>
      <c r="L1018" s="338" t="s">
        <v>125</v>
      </c>
      <c r="M1018" s="216"/>
      <c r="N1018" s="216"/>
      <c r="O1018" s="216"/>
      <c r="P1018" s="216"/>
      <c r="Q1018" s="216"/>
      <c r="R1018" s="216"/>
      <c r="S1018" s="216"/>
      <c r="T1018" s="216"/>
      <c r="U1018" s="216"/>
      <c r="V1018" s="216"/>
      <c r="W1018" s="216"/>
      <c r="X1018" s="216"/>
    </row>
    <row r="1019" spans="1:24" ht="15" customHeight="1">
      <c r="A1019" s="302" t="s">
        <v>3761</v>
      </c>
      <c r="B1019" s="302" t="s">
        <v>3762</v>
      </c>
      <c r="C1019" s="290" t="s">
        <v>105</v>
      </c>
      <c r="D1019" s="302" t="s">
        <v>3763</v>
      </c>
      <c r="E1019" s="595" t="s">
        <v>3764</v>
      </c>
      <c r="F1019" s="290" t="s">
        <v>1338</v>
      </c>
      <c r="G1019" s="512">
        <v>3</v>
      </c>
      <c r="H1019" s="512">
        <v>3</v>
      </c>
      <c r="I1019" s="512">
        <v>3</v>
      </c>
      <c r="J1019" s="581">
        <v>50</v>
      </c>
      <c r="K1019" s="512">
        <v>16.66</v>
      </c>
      <c r="L1019" s="338" t="s">
        <v>118</v>
      </c>
      <c r="M1019" s="216"/>
      <c r="N1019" s="216"/>
      <c r="O1019" s="216"/>
      <c r="P1019" s="216"/>
      <c r="Q1019" s="216"/>
      <c r="R1019" s="216"/>
      <c r="S1019" s="216"/>
      <c r="T1019" s="216"/>
      <c r="U1019" s="216"/>
      <c r="V1019" s="216"/>
      <c r="W1019" s="216"/>
      <c r="X1019" s="216"/>
    </row>
    <row r="1020" spans="1:24" ht="15" customHeight="1">
      <c r="A1020" s="302" t="s">
        <v>3761</v>
      </c>
      <c r="B1020" s="302" t="s">
        <v>3762</v>
      </c>
      <c r="C1020" s="290" t="s">
        <v>105</v>
      </c>
      <c r="D1020" s="302" t="s">
        <v>3765</v>
      </c>
      <c r="E1020" s="596" t="s">
        <v>3766</v>
      </c>
      <c r="F1020" s="597" t="s">
        <v>3767</v>
      </c>
      <c r="G1020" s="512">
        <v>3</v>
      </c>
      <c r="H1020" s="512">
        <v>3</v>
      </c>
      <c r="I1020" s="512">
        <v>3</v>
      </c>
      <c r="J1020" s="581">
        <v>50</v>
      </c>
      <c r="K1020" s="512">
        <v>16.66</v>
      </c>
      <c r="L1020" s="338" t="s">
        <v>118</v>
      </c>
      <c r="M1020" s="216"/>
      <c r="N1020" s="216"/>
      <c r="O1020" s="216"/>
      <c r="P1020" s="216"/>
      <c r="Q1020" s="216"/>
      <c r="R1020" s="216"/>
      <c r="S1020" s="216"/>
      <c r="T1020" s="216"/>
      <c r="U1020" s="216"/>
      <c r="V1020" s="216"/>
      <c r="W1020" s="216"/>
      <c r="X1020" s="216"/>
    </row>
    <row r="1021" spans="1:24" ht="15" customHeight="1">
      <c r="A1021" s="302" t="s">
        <v>3761</v>
      </c>
      <c r="B1021" s="302" t="s">
        <v>3762</v>
      </c>
      <c r="C1021" s="290" t="s">
        <v>105</v>
      </c>
      <c r="D1021" s="301" t="s">
        <v>3768</v>
      </c>
      <c r="E1021" s="598" t="s">
        <v>3769</v>
      </c>
      <c r="F1021" s="290" t="s">
        <v>3770</v>
      </c>
      <c r="G1021" s="599">
        <v>3</v>
      </c>
      <c r="H1021" s="600">
        <v>3</v>
      </c>
      <c r="I1021" s="601">
        <v>3</v>
      </c>
      <c r="J1021" s="602">
        <v>50</v>
      </c>
      <c r="K1021" s="601">
        <v>16.66</v>
      </c>
      <c r="L1021" s="338" t="s">
        <v>118</v>
      </c>
      <c r="M1021" s="216"/>
      <c r="N1021" s="216"/>
      <c r="O1021" s="216"/>
      <c r="P1021" s="216"/>
      <c r="Q1021" s="216"/>
      <c r="R1021" s="216"/>
      <c r="S1021" s="216"/>
      <c r="T1021" s="216"/>
      <c r="U1021" s="216"/>
      <c r="V1021" s="216"/>
      <c r="W1021" s="216"/>
      <c r="X1021" s="216"/>
    </row>
    <row r="1022" spans="1:24" ht="15" customHeight="1">
      <c r="A1022" s="302" t="s">
        <v>3771</v>
      </c>
      <c r="B1022" s="301" t="s">
        <v>3772</v>
      </c>
      <c r="C1022" s="290" t="s">
        <v>105</v>
      </c>
      <c r="D1022" s="302" t="s">
        <v>3773</v>
      </c>
      <c r="E1022" s="596" t="s">
        <v>3774</v>
      </c>
      <c r="F1022" s="597" t="s">
        <v>1338</v>
      </c>
      <c r="G1022" s="512">
        <v>4</v>
      </c>
      <c r="H1022" s="512">
        <v>4</v>
      </c>
      <c r="I1022" s="512">
        <v>4</v>
      </c>
      <c r="J1022" s="603">
        <v>50</v>
      </c>
      <c r="K1022" s="604">
        <v>12.5</v>
      </c>
      <c r="L1022" s="338" t="s">
        <v>118</v>
      </c>
      <c r="M1022" s="216"/>
      <c r="N1022" s="216"/>
      <c r="O1022" s="216"/>
      <c r="P1022" s="216"/>
      <c r="Q1022" s="216"/>
      <c r="R1022" s="216"/>
      <c r="S1022" s="216"/>
      <c r="T1022" s="216"/>
      <c r="U1022" s="216"/>
      <c r="V1022" s="216"/>
      <c r="W1022" s="216"/>
      <c r="X1022" s="216"/>
    </row>
    <row r="1023" spans="1:24" ht="15" customHeight="1">
      <c r="A1023" s="302" t="s">
        <v>3771</v>
      </c>
      <c r="B1023" s="301" t="s">
        <v>3772</v>
      </c>
      <c r="C1023" s="290" t="s">
        <v>105</v>
      </c>
      <c r="D1023" s="302" t="s">
        <v>3775</v>
      </c>
      <c r="E1023" s="596" t="s">
        <v>3776</v>
      </c>
      <c r="F1023" s="597" t="s">
        <v>1338</v>
      </c>
      <c r="G1023" s="512">
        <v>4</v>
      </c>
      <c r="H1023" s="512">
        <v>4</v>
      </c>
      <c r="I1023" s="512">
        <v>4</v>
      </c>
      <c r="J1023" s="603">
        <v>50</v>
      </c>
      <c r="K1023" s="604">
        <v>12.5</v>
      </c>
      <c r="L1023" s="338" t="s">
        <v>118</v>
      </c>
      <c r="M1023" s="216"/>
      <c r="N1023" s="216"/>
      <c r="O1023" s="216"/>
      <c r="P1023" s="216"/>
      <c r="Q1023" s="216"/>
      <c r="R1023" s="216"/>
      <c r="S1023" s="216"/>
      <c r="T1023" s="216"/>
      <c r="U1023" s="216"/>
      <c r="V1023" s="216"/>
      <c r="W1023" s="216"/>
      <c r="X1023" s="216"/>
    </row>
    <row r="1024" spans="1:24" ht="15" customHeight="1">
      <c r="A1024" s="302" t="s">
        <v>3777</v>
      </c>
      <c r="B1024" s="301" t="s">
        <v>3778</v>
      </c>
      <c r="C1024" s="290" t="s">
        <v>105</v>
      </c>
      <c r="D1024" s="302" t="s">
        <v>3779</v>
      </c>
      <c r="E1024" s="596" t="s">
        <v>3780</v>
      </c>
      <c r="F1024" s="597" t="s">
        <v>635</v>
      </c>
      <c r="G1024" s="512">
        <v>3</v>
      </c>
      <c r="H1024" s="512">
        <v>3</v>
      </c>
      <c r="I1024" s="512">
        <v>3</v>
      </c>
      <c r="J1024" s="603">
        <v>50</v>
      </c>
      <c r="K1024" s="604">
        <v>16.66</v>
      </c>
      <c r="L1024" s="338" t="s">
        <v>118</v>
      </c>
      <c r="M1024" s="216"/>
      <c r="N1024" s="216"/>
      <c r="O1024" s="216"/>
      <c r="P1024" s="216"/>
      <c r="Q1024" s="216"/>
      <c r="R1024" s="216"/>
      <c r="S1024" s="216"/>
      <c r="T1024" s="216"/>
      <c r="U1024" s="216"/>
      <c r="V1024" s="216"/>
      <c r="W1024" s="216"/>
      <c r="X1024" s="216"/>
    </row>
    <row r="1025" spans="1:24" ht="15" customHeight="1">
      <c r="A1025" s="309" t="s">
        <v>3777</v>
      </c>
      <c r="B1025" s="301" t="s">
        <v>3778</v>
      </c>
      <c r="C1025" s="290" t="s">
        <v>105</v>
      </c>
      <c r="D1025" s="302" t="s">
        <v>3781</v>
      </c>
      <c r="E1025" s="596" t="s">
        <v>3782</v>
      </c>
      <c r="F1025" s="597" t="s">
        <v>635</v>
      </c>
      <c r="G1025" s="512">
        <v>3</v>
      </c>
      <c r="H1025" s="512">
        <v>3</v>
      </c>
      <c r="I1025" s="512">
        <v>3</v>
      </c>
      <c r="J1025" s="603">
        <v>50</v>
      </c>
      <c r="K1025" s="604">
        <v>16.66</v>
      </c>
      <c r="L1025" s="338" t="s">
        <v>118</v>
      </c>
      <c r="M1025" s="216"/>
      <c r="N1025" s="216"/>
      <c r="O1025" s="216"/>
      <c r="P1025" s="216"/>
      <c r="Q1025" s="216"/>
      <c r="R1025" s="216"/>
      <c r="S1025" s="216"/>
      <c r="T1025" s="216"/>
      <c r="U1025" s="216"/>
      <c r="V1025" s="216"/>
      <c r="W1025" s="216"/>
      <c r="X1025" s="216"/>
    </row>
    <row r="1026" spans="1:24" ht="15" customHeight="1">
      <c r="A1026" s="302" t="s">
        <v>3777</v>
      </c>
      <c r="B1026" s="301" t="s">
        <v>3778</v>
      </c>
      <c r="C1026" s="290" t="s">
        <v>105</v>
      </c>
      <c r="D1026" s="302" t="s">
        <v>3783</v>
      </c>
      <c r="E1026" s="596" t="s">
        <v>3784</v>
      </c>
      <c r="F1026" s="597" t="s">
        <v>635</v>
      </c>
      <c r="G1026" s="512">
        <v>3</v>
      </c>
      <c r="H1026" s="512">
        <v>3</v>
      </c>
      <c r="I1026" s="512">
        <v>3</v>
      </c>
      <c r="J1026" s="603">
        <v>50</v>
      </c>
      <c r="K1026" s="604">
        <v>16.66</v>
      </c>
      <c r="L1026" s="338" t="s">
        <v>118</v>
      </c>
      <c r="M1026" s="216"/>
      <c r="N1026" s="216"/>
      <c r="O1026" s="216"/>
      <c r="P1026" s="216"/>
      <c r="Q1026" s="216"/>
      <c r="R1026" s="216"/>
      <c r="S1026" s="216"/>
      <c r="T1026" s="216"/>
      <c r="U1026" s="216"/>
      <c r="V1026" s="216"/>
      <c r="W1026" s="216"/>
      <c r="X1026" s="216"/>
    </row>
    <row r="1027" spans="1:24" ht="15" customHeight="1">
      <c r="A1027" s="309" t="s">
        <v>3777</v>
      </c>
      <c r="B1027" s="301" t="s">
        <v>3778</v>
      </c>
      <c r="C1027" s="290" t="s">
        <v>105</v>
      </c>
      <c r="D1027" s="302" t="s">
        <v>3785</v>
      </c>
      <c r="E1027" s="596" t="s">
        <v>3786</v>
      </c>
      <c r="F1027" s="597" t="s">
        <v>635</v>
      </c>
      <c r="G1027" s="512">
        <v>3</v>
      </c>
      <c r="H1027" s="512">
        <v>3</v>
      </c>
      <c r="I1027" s="512">
        <v>3</v>
      </c>
      <c r="J1027" s="605">
        <v>50</v>
      </c>
      <c r="K1027" s="606">
        <v>16.66</v>
      </c>
      <c r="L1027" s="338" t="s">
        <v>118</v>
      </c>
      <c r="M1027" s="216"/>
      <c r="N1027" s="216"/>
      <c r="O1027" s="216"/>
      <c r="P1027" s="216"/>
      <c r="Q1027" s="216"/>
      <c r="R1027" s="216"/>
      <c r="S1027" s="216"/>
      <c r="T1027" s="216"/>
      <c r="U1027" s="216"/>
      <c r="V1027" s="216"/>
      <c r="W1027" s="216"/>
      <c r="X1027" s="216"/>
    </row>
    <row r="1028" spans="1:24" ht="15" customHeight="1">
      <c r="A1028" s="302" t="s">
        <v>3777</v>
      </c>
      <c r="B1028" s="301" t="s">
        <v>3778</v>
      </c>
      <c r="C1028" s="290" t="s">
        <v>105</v>
      </c>
      <c r="D1028" s="302" t="s">
        <v>3787</v>
      </c>
      <c r="E1028" s="596" t="s">
        <v>3788</v>
      </c>
      <c r="F1028" s="597" t="s">
        <v>635</v>
      </c>
      <c r="G1028" s="512">
        <v>3</v>
      </c>
      <c r="H1028" s="512">
        <v>3</v>
      </c>
      <c r="I1028" s="512">
        <v>3</v>
      </c>
      <c r="J1028" s="605">
        <v>50</v>
      </c>
      <c r="K1028" s="606">
        <v>16.66</v>
      </c>
      <c r="L1028" s="338" t="s">
        <v>118</v>
      </c>
      <c r="M1028" s="216"/>
      <c r="N1028" s="216"/>
      <c r="O1028" s="216"/>
      <c r="P1028" s="216"/>
      <c r="Q1028" s="216"/>
      <c r="R1028" s="216"/>
      <c r="S1028" s="216"/>
      <c r="T1028" s="216"/>
      <c r="U1028" s="216"/>
      <c r="V1028" s="216"/>
      <c r="W1028" s="216"/>
      <c r="X1028" s="216"/>
    </row>
    <row r="1029" spans="1:24" ht="15" customHeight="1">
      <c r="A1029" s="302" t="s">
        <v>3777</v>
      </c>
      <c r="B1029" s="301" t="s">
        <v>3778</v>
      </c>
      <c r="C1029" s="290" t="s">
        <v>105</v>
      </c>
      <c r="D1029" s="302" t="s">
        <v>3789</v>
      </c>
      <c r="E1029" s="596" t="s">
        <v>3790</v>
      </c>
      <c r="F1029" s="597" t="s">
        <v>635</v>
      </c>
      <c r="G1029" s="512">
        <v>3</v>
      </c>
      <c r="H1029" s="512">
        <v>3</v>
      </c>
      <c r="I1029" s="512">
        <v>3</v>
      </c>
      <c r="J1029" s="603">
        <v>50</v>
      </c>
      <c r="K1029" s="607">
        <v>16.66</v>
      </c>
      <c r="L1029" s="338" t="s">
        <v>118</v>
      </c>
      <c r="M1029" s="216"/>
      <c r="N1029" s="216"/>
      <c r="O1029" s="216"/>
      <c r="P1029" s="216"/>
      <c r="Q1029" s="216"/>
      <c r="R1029" s="216"/>
      <c r="S1029" s="216"/>
      <c r="T1029" s="216"/>
      <c r="U1029" s="216"/>
      <c r="V1029" s="216"/>
      <c r="W1029" s="216"/>
      <c r="X1029" s="216"/>
    </row>
    <row r="1030" spans="1:24" ht="15" customHeight="1">
      <c r="A1030" s="302" t="s">
        <v>3777</v>
      </c>
      <c r="B1030" s="301" t="s">
        <v>3778</v>
      </c>
      <c r="C1030" s="290" t="s">
        <v>105</v>
      </c>
      <c r="D1030" s="302" t="s">
        <v>3791</v>
      </c>
      <c r="E1030" s="596" t="s">
        <v>3792</v>
      </c>
      <c r="F1030" s="597" t="s">
        <v>635</v>
      </c>
      <c r="G1030" s="512">
        <v>3</v>
      </c>
      <c r="H1030" s="512">
        <v>3</v>
      </c>
      <c r="I1030" s="512">
        <v>3</v>
      </c>
      <c r="J1030" s="603">
        <v>50</v>
      </c>
      <c r="K1030" s="604">
        <v>16.66</v>
      </c>
      <c r="L1030" s="338" t="s">
        <v>118</v>
      </c>
      <c r="M1030" s="216"/>
      <c r="N1030" s="216"/>
      <c r="O1030" s="216"/>
      <c r="P1030" s="216"/>
      <c r="Q1030" s="216"/>
      <c r="R1030" s="216"/>
      <c r="S1030" s="216"/>
      <c r="T1030" s="216"/>
      <c r="U1030" s="216"/>
      <c r="V1030" s="216"/>
      <c r="W1030" s="216"/>
      <c r="X1030" s="216"/>
    </row>
    <row r="1031" spans="1:24" ht="15" customHeight="1">
      <c r="A1031" s="302" t="s">
        <v>3777</v>
      </c>
      <c r="B1031" s="301" t="s">
        <v>3778</v>
      </c>
      <c r="C1031" s="290" t="s">
        <v>105</v>
      </c>
      <c r="D1031" s="302" t="s">
        <v>3793</v>
      </c>
      <c r="E1031" s="596" t="s">
        <v>3794</v>
      </c>
      <c r="F1031" s="597" t="s">
        <v>635</v>
      </c>
      <c r="G1031" s="512">
        <v>3</v>
      </c>
      <c r="H1031" s="512">
        <v>3</v>
      </c>
      <c r="I1031" s="512">
        <v>3</v>
      </c>
      <c r="J1031" s="603">
        <v>50</v>
      </c>
      <c r="K1031" s="604">
        <v>16.66</v>
      </c>
      <c r="L1031" s="338" t="s">
        <v>118</v>
      </c>
      <c r="M1031" s="216"/>
      <c r="N1031" s="216"/>
      <c r="O1031" s="216"/>
      <c r="P1031" s="216"/>
      <c r="Q1031" s="216"/>
      <c r="R1031" s="216"/>
      <c r="S1031" s="216"/>
      <c r="T1031" s="216"/>
      <c r="U1031" s="216"/>
      <c r="V1031" s="216"/>
      <c r="W1031" s="216"/>
      <c r="X1031" s="216"/>
    </row>
    <row r="1032" spans="1:24" ht="15" customHeight="1">
      <c r="A1032" s="302" t="s">
        <v>3777</v>
      </c>
      <c r="B1032" s="301" t="s">
        <v>3778</v>
      </c>
      <c r="C1032" s="290" t="s">
        <v>105</v>
      </c>
      <c r="D1032" s="302" t="s">
        <v>3795</v>
      </c>
      <c r="E1032" s="596" t="s">
        <v>3796</v>
      </c>
      <c r="F1032" s="597" t="s">
        <v>635</v>
      </c>
      <c r="G1032" s="512">
        <v>3</v>
      </c>
      <c r="H1032" s="512">
        <v>3</v>
      </c>
      <c r="I1032" s="512">
        <v>3</v>
      </c>
      <c r="J1032" s="603">
        <v>50</v>
      </c>
      <c r="K1032" s="604">
        <v>16.66</v>
      </c>
      <c r="L1032" s="338" t="s">
        <v>118</v>
      </c>
      <c r="M1032" s="216"/>
      <c r="N1032" s="216"/>
      <c r="O1032" s="216"/>
      <c r="P1032" s="216"/>
      <c r="Q1032" s="216"/>
      <c r="R1032" s="216"/>
      <c r="S1032" s="216"/>
      <c r="T1032" s="216"/>
      <c r="U1032" s="216"/>
      <c r="V1032" s="216"/>
      <c r="W1032" s="216"/>
      <c r="X1032" s="216"/>
    </row>
    <row r="1033" spans="1:24" ht="15" customHeight="1">
      <c r="A1033" s="302" t="s">
        <v>3797</v>
      </c>
      <c r="B1033" s="302" t="s">
        <v>3798</v>
      </c>
      <c r="C1033" s="290" t="s">
        <v>105</v>
      </c>
      <c r="D1033" s="302" t="s">
        <v>3799</v>
      </c>
      <c r="E1033" s="596" t="s">
        <v>3800</v>
      </c>
      <c r="F1033" s="597" t="s">
        <v>1338</v>
      </c>
      <c r="G1033" s="512">
        <v>3</v>
      </c>
      <c r="H1033" s="512">
        <v>3</v>
      </c>
      <c r="I1033" s="512">
        <v>8</v>
      </c>
      <c r="J1033" s="603">
        <v>50</v>
      </c>
      <c r="K1033" s="604">
        <v>16.66</v>
      </c>
      <c r="L1033" s="338" t="s">
        <v>118</v>
      </c>
      <c r="M1033" s="216"/>
      <c r="N1033" s="216"/>
      <c r="O1033" s="216"/>
      <c r="P1033" s="216"/>
      <c r="Q1033" s="216"/>
      <c r="R1033" s="216"/>
      <c r="S1033" s="216"/>
      <c r="T1033" s="216"/>
      <c r="U1033" s="216"/>
      <c r="V1033" s="216"/>
      <c r="W1033" s="216"/>
      <c r="X1033" s="216"/>
    </row>
    <row r="1034" spans="1:24" ht="15" customHeight="1">
      <c r="A1034" s="302" t="s">
        <v>3801</v>
      </c>
      <c r="B1034" s="302" t="s">
        <v>3798</v>
      </c>
      <c r="C1034" s="290" t="s">
        <v>105</v>
      </c>
      <c r="D1034" s="302" t="s">
        <v>3802</v>
      </c>
      <c r="E1034" s="596" t="s">
        <v>3803</v>
      </c>
      <c r="F1034" s="597" t="s">
        <v>1338</v>
      </c>
      <c r="G1034" s="512">
        <v>3</v>
      </c>
      <c r="H1034" s="512">
        <v>3</v>
      </c>
      <c r="I1034" s="512">
        <v>8</v>
      </c>
      <c r="J1034" s="603">
        <v>50</v>
      </c>
      <c r="K1034" s="604">
        <v>16.66</v>
      </c>
      <c r="L1034" s="338" t="s">
        <v>118</v>
      </c>
      <c r="M1034" s="216"/>
      <c r="N1034" s="216"/>
      <c r="O1034" s="216"/>
      <c r="P1034" s="216"/>
      <c r="Q1034" s="216"/>
      <c r="R1034" s="216"/>
      <c r="S1034" s="216"/>
      <c r="T1034" s="216"/>
      <c r="U1034" s="216"/>
      <c r="V1034" s="216"/>
      <c r="W1034" s="216"/>
      <c r="X1034" s="216"/>
    </row>
    <row r="1035" spans="1:24" ht="15" customHeight="1">
      <c r="A1035" s="302" t="s">
        <v>3801</v>
      </c>
      <c r="B1035" s="302" t="s">
        <v>3798</v>
      </c>
      <c r="C1035" s="290"/>
      <c r="D1035" s="302" t="s">
        <v>3804</v>
      </c>
      <c r="E1035" s="596" t="s">
        <v>3805</v>
      </c>
      <c r="F1035" s="597" t="s">
        <v>1338</v>
      </c>
      <c r="G1035" s="512">
        <v>3</v>
      </c>
      <c r="H1035" s="512">
        <v>3</v>
      </c>
      <c r="I1035" s="512">
        <v>8</v>
      </c>
      <c r="J1035" s="603">
        <v>50</v>
      </c>
      <c r="K1035" s="604">
        <v>16.66</v>
      </c>
      <c r="L1035" s="338" t="s">
        <v>118</v>
      </c>
      <c r="M1035" s="216"/>
      <c r="N1035" s="216"/>
      <c r="O1035" s="216"/>
      <c r="P1035" s="216"/>
      <c r="Q1035" s="216"/>
      <c r="R1035" s="216"/>
      <c r="S1035" s="216"/>
      <c r="T1035" s="216"/>
      <c r="U1035" s="216"/>
      <c r="V1035" s="216"/>
      <c r="W1035" s="216"/>
      <c r="X1035" s="216"/>
    </row>
    <row r="1036" spans="1:24" ht="15" customHeight="1">
      <c r="A1036" s="302" t="s">
        <v>3806</v>
      </c>
      <c r="B1036" s="302" t="s">
        <v>972</v>
      </c>
      <c r="C1036" s="290" t="s">
        <v>105</v>
      </c>
      <c r="D1036" s="302" t="s">
        <v>3807</v>
      </c>
      <c r="E1036" s="596" t="s">
        <v>3808</v>
      </c>
      <c r="F1036" s="597" t="s">
        <v>1338</v>
      </c>
      <c r="G1036" s="512">
        <v>2</v>
      </c>
      <c r="H1036" s="512">
        <v>2</v>
      </c>
      <c r="I1036" s="512">
        <v>4</v>
      </c>
      <c r="J1036" s="608">
        <v>50</v>
      </c>
      <c r="K1036" s="604">
        <v>16.66</v>
      </c>
      <c r="L1036" s="338" t="s">
        <v>118</v>
      </c>
      <c r="M1036" s="216"/>
      <c r="N1036" s="216"/>
      <c r="O1036" s="216"/>
      <c r="P1036" s="216"/>
      <c r="Q1036" s="216"/>
      <c r="R1036" s="216"/>
      <c r="S1036" s="216"/>
      <c r="T1036" s="216"/>
      <c r="U1036" s="216"/>
      <c r="V1036" s="216"/>
      <c r="W1036" s="216"/>
      <c r="X1036" s="216"/>
    </row>
    <row r="1037" spans="1:24" ht="15" customHeight="1">
      <c r="A1037" s="302" t="s">
        <v>3809</v>
      </c>
      <c r="B1037" s="302" t="s">
        <v>3810</v>
      </c>
      <c r="C1037" s="290" t="s">
        <v>105</v>
      </c>
      <c r="D1037" s="302" t="s">
        <v>3811</v>
      </c>
      <c r="E1037" s="596" t="s">
        <v>3812</v>
      </c>
      <c r="F1037" s="597" t="s">
        <v>1338</v>
      </c>
      <c r="G1037" s="512">
        <v>12</v>
      </c>
      <c r="H1037" s="512">
        <v>2</v>
      </c>
      <c r="I1037" s="512">
        <v>12</v>
      </c>
      <c r="J1037" s="603">
        <v>50</v>
      </c>
      <c r="K1037" s="604">
        <v>4.17</v>
      </c>
      <c r="L1037" s="338" t="s">
        <v>118</v>
      </c>
      <c r="M1037" s="216"/>
      <c r="N1037" s="216"/>
      <c r="O1037" s="216"/>
      <c r="P1037" s="216"/>
      <c r="Q1037" s="216"/>
      <c r="R1037" s="216"/>
      <c r="S1037" s="216"/>
      <c r="T1037" s="216"/>
      <c r="U1037" s="216"/>
      <c r="V1037" s="216"/>
      <c r="W1037" s="216"/>
      <c r="X1037" s="216"/>
    </row>
    <row r="1038" spans="1:24" ht="15" customHeight="1">
      <c r="A1038" s="302" t="s">
        <v>3809</v>
      </c>
      <c r="B1038" s="302" t="s">
        <v>3810</v>
      </c>
      <c r="C1038" s="290" t="s">
        <v>105</v>
      </c>
      <c r="D1038" s="302" t="s">
        <v>3813</v>
      </c>
      <c r="E1038" s="596" t="s">
        <v>3814</v>
      </c>
      <c r="F1038" s="597" t="s">
        <v>1338</v>
      </c>
      <c r="G1038" s="512">
        <v>12</v>
      </c>
      <c r="H1038" s="512">
        <v>2</v>
      </c>
      <c r="I1038" s="512">
        <v>12</v>
      </c>
      <c r="J1038" s="603">
        <v>50</v>
      </c>
      <c r="K1038" s="604">
        <v>4.17</v>
      </c>
      <c r="L1038" s="338" t="s">
        <v>118</v>
      </c>
      <c r="M1038" s="216"/>
      <c r="N1038" s="216"/>
      <c r="O1038" s="216"/>
      <c r="P1038" s="216"/>
      <c r="Q1038" s="216"/>
      <c r="R1038" s="216"/>
      <c r="S1038" s="216"/>
      <c r="T1038" s="216"/>
      <c r="U1038" s="216"/>
      <c r="V1038" s="216"/>
      <c r="W1038" s="216"/>
      <c r="X1038" s="216"/>
    </row>
    <row r="1039" spans="1:24" ht="15" customHeight="1">
      <c r="A1039" s="302" t="s">
        <v>3815</v>
      </c>
      <c r="B1039" s="302" t="s">
        <v>3810</v>
      </c>
      <c r="C1039" s="290" t="s">
        <v>105</v>
      </c>
      <c r="D1039" s="302" t="s">
        <v>3816</v>
      </c>
      <c r="E1039" s="596" t="s">
        <v>3817</v>
      </c>
      <c r="F1039" s="597" t="s">
        <v>1338</v>
      </c>
      <c r="G1039" s="512">
        <v>12</v>
      </c>
      <c r="H1039" s="512">
        <v>2</v>
      </c>
      <c r="I1039" s="512">
        <v>12</v>
      </c>
      <c r="J1039" s="609">
        <v>50</v>
      </c>
      <c r="K1039" s="604">
        <v>4.17</v>
      </c>
      <c r="L1039" s="338" t="s">
        <v>118</v>
      </c>
      <c r="M1039" s="216"/>
      <c r="N1039" s="216"/>
      <c r="O1039" s="216"/>
      <c r="P1039" s="216"/>
      <c r="Q1039" s="216"/>
      <c r="R1039" s="216"/>
      <c r="S1039" s="216"/>
      <c r="T1039" s="216"/>
      <c r="U1039" s="216"/>
      <c r="V1039" s="216"/>
      <c r="W1039" s="216"/>
      <c r="X1039" s="216"/>
    </row>
    <row r="1040" spans="1:24" ht="15" customHeight="1">
      <c r="A1040" s="302" t="s">
        <v>3818</v>
      </c>
      <c r="B1040" s="302" t="s">
        <v>3819</v>
      </c>
      <c r="C1040" s="290" t="s">
        <v>105</v>
      </c>
      <c r="D1040" s="302" t="s">
        <v>3820</v>
      </c>
      <c r="E1040" s="596" t="s">
        <v>3821</v>
      </c>
      <c r="F1040" s="597" t="s">
        <v>635</v>
      </c>
      <c r="G1040" s="512">
        <v>7</v>
      </c>
      <c r="H1040" s="512">
        <v>4</v>
      </c>
      <c r="I1040" s="512">
        <v>10</v>
      </c>
      <c r="J1040" s="610">
        <v>50</v>
      </c>
      <c r="K1040" s="604">
        <v>7.14</v>
      </c>
      <c r="L1040" s="338" t="s">
        <v>118</v>
      </c>
      <c r="M1040" s="216"/>
      <c r="N1040" s="216"/>
      <c r="O1040" s="216"/>
      <c r="P1040" s="216"/>
      <c r="Q1040" s="216"/>
      <c r="R1040" s="216"/>
      <c r="S1040" s="216"/>
      <c r="T1040" s="216"/>
      <c r="U1040" s="216"/>
      <c r="V1040" s="216"/>
      <c r="W1040" s="216"/>
      <c r="X1040" s="216"/>
    </row>
    <row r="1041" spans="1:24" ht="15" customHeight="1">
      <c r="A1041" s="302" t="s">
        <v>3822</v>
      </c>
      <c r="B1041" s="302" t="s">
        <v>3819</v>
      </c>
      <c r="C1041" s="290" t="s">
        <v>105</v>
      </c>
      <c r="D1041" s="302" t="s">
        <v>3823</v>
      </c>
      <c r="E1041" s="596" t="s">
        <v>3824</v>
      </c>
      <c r="F1041" s="597" t="s">
        <v>1338</v>
      </c>
      <c r="G1041" s="512">
        <v>7</v>
      </c>
      <c r="H1041" s="512">
        <v>4</v>
      </c>
      <c r="I1041" s="512">
        <v>10</v>
      </c>
      <c r="J1041" s="611">
        <v>50</v>
      </c>
      <c r="K1041" s="606">
        <v>7.14</v>
      </c>
      <c r="L1041" s="338" t="s">
        <v>118</v>
      </c>
      <c r="M1041" s="216"/>
      <c r="N1041" s="216"/>
      <c r="O1041" s="216"/>
      <c r="P1041" s="216"/>
      <c r="Q1041" s="216"/>
      <c r="R1041" s="216"/>
      <c r="S1041" s="216"/>
      <c r="T1041" s="216"/>
      <c r="U1041" s="216"/>
      <c r="V1041" s="216"/>
      <c r="W1041" s="216"/>
      <c r="X1041" s="216"/>
    </row>
    <row r="1042" spans="1:24" ht="15" customHeight="1">
      <c r="A1042" s="302" t="s">
        <v>3825</v>
      </c>
      <c r="B1042" s="290" t="s">
        <v>3826</v>
      </c>
      <c r="C1042" s="290" t="s">
        <v>105</v>
      </c>
      <c r="D1042" s="301" t="s">
        <v>3827</v>
      </c>
      <c r="E1042" s="596" t="s">
        <v>3828</v>
      </c>
      <c r="F1042" s="597" t="s">
        <v>1338</v>
      </c>
      <c r="G1042" s="599">
        <v>7</v>
      </c>
      <c r="H1042" s="612">
        <v>2</v>
      </c>
      <c r="I1042" s="601">
        <v>7</v>
      </c>
      <c r="J1042" s="603">
        <v>50</v>
      </c>
      <c r="K1042" s="604">
        <v>7.14</v>
      </c>
      <c r="L1042" s="338" t="s">
        <v>118</v>
      </c>
      <c r="M1042" s="216"/>
      <c r="N1042" s="216"/>
      <c r="O1042" s="216"/>
      <c r="P1042" s="216"/>
      <c r="Q1042" s="216"/>
      <c r="R1042" s="216"/>
      <c r="S1042" s="216"/>
      <c r="T1042" s="216"/>
      <c r="U1042" s="216"/>
      <c r="V1042" s="216"/>
      <c r="W1042" s="216"/>
      <c r="X1042" s="216"/>
    </row>
    <row r="1043" spans="1:24" ht="15" customHeight="1">
      <c r="A1043" s="329" t="s">
        <v>3825</v>
      </c>
      <c r="B1043" s="290" t="s">
        <v>3826</v>
      </c>
      <c r="C1043" s="290" t="s">
        <v>105</v>
      </c>
      <c r="D1043" s="301" t="s">
        <v>3829</v>
      </c>
      <c r="E1043" s="596" t="s">
        <v>3830</v>
      </c>
      <c r="F1043" s="597" t="s">
        <v>1338</v>
      </c>
      <c r="G1043" s="599">
        <v>7</v>
      </c>
      <c r="H1043" s="600">
        <v>2</v>
      </c>
      <c r="I1043" s="601">
        <v>7</v>
      </c>
      <c r="J1043" s="603">
        <v>50</v>
      </c>
      <c r="K1043" s="604">
        <v>7.14</v>
      </c>
      <c r="L1043" s="338" t="s">
        <v>118</v>
      </c>
      <c r="M1043" s="216"/>
      <c r="N1043" s="216"/>
      <c r="O1043" s="216"/>
      <c r="P1043" s="216"/>
      <c r="Q1043" s="216"/>
      <c r="R1043" s="216"/>
      <c r="S1043" s="216"/>
      <c r="T1043" s="216"/>
      <c r="U1043" s="216"/>
      <c r="V1043" s="216"/>
      <c r="W1043" s="216"/>
      <c r="X1043" s="216"/>
    </row>
    <row r="1044" spans="1:24" ht="15" customHeight="1">
      <c r="A1044" s="329" t="s">
        <v>3831</v>
      </c>
      <c r="B1044" s="302" t="s">
        <v>3832</v>
      </c>
      <c r="C1044" s="290" t="s">
        <v>105</v>
      </c>
      <c r="D1044" s="302" t="s">
        <v>3833</v>
      </c>
      <c r="E1044" s="596" t="s">
        <v>3834</v>
      </c>
      <c r="F1044" s="597" t="s">
        <v>635</v>
      </c>
      <c r="G1044" s="512">
        <v>2</v>
      </c>
      <c r="H1044" s="613">
        <v>2</v>
      </c>
      <c r="I1044" s="512">
        <v>2</v>
      </c>
      <c r="J1044" s="603">
        <v>50</v>
      </c>
      <c r="K1044" s="604">
        <v>25</v>
      </c>
      <c r="L1044" s="338" t="s">
        <v>118</v>
      </c>
      <c r="M1044" s="216"/>
      <c r="N1044" s="216"/>
      <c r="O1044" s="216"/>
      <c r="P1044" s="216"/>
      <c r="Q1044" s="216"/>
      <c r="R1044" s="216"/>
      <c r="S1044" s="216"/>
      <c r="T1044" s="216"/>
      <c r="U1044" s="216"/>
      <c r="V1044" s="216"/>
      <c r="W1044" s="216"/>
      <c r="X1044" s="216"/>
    </row>
    <row r="1045" spans="1:24" ht="15" customHeight="1">
      <c r="A1045" s="614" t="s">
        <v>3621</v>
      </c>
      <c r="B1045" s="615" t="s">
        <v>3622</v>
      </c>
      <c r="C1045" s="616" t="s">
        <v>105</v>
      </c>
      <c r="D1045" s="615" t="s">
        <v>3623</v>
      </c>
      <c r="E1045" s="617" t="s">
        <v>3624</v>
      </c>
      <c r="F1045" s="618" t="s">
        <v>3835</v>
      </c>
      <c r="G1045" s="617">
        <v>4</v>
      </c>
      <c r="H1045" s="617">
        <v>4</v>
      </c>
      <c r="I1045" s="619">
        <v>4</v>
      </c>
      <c r="J1045" s="620">
        <v>50</v>
      </c>
      <c r="K1045" s="621">
        <v>12.5</v>
      </c>
      <c r="L1045" s="338" t="s">
        <v>126</v>
      </c>
      <c r="M1045" s="216"/>
      <c r="N1045" s="216"/>
      <c r="O1045" s="216"/>
      <c r="P1045" s="216"/>
      <c r="Q1045" s="216"/>
      <c r="R1045" s="216"/>
      <c r="S1045" s="216"/>
      <c r="T1045" s="216"/>
      <c r="U1045" s="216"/>
      <c r="V1045" s="216"/>
      <c r="W1045" s="216"/>
      <c r="X1045" s="216"/>
    </row>
    <row r="1046" spans="1:24" ht="15" customHeight="1">
      <c r="A1046" s="615" t="s">
        <v>3621</v>
      </c>
      <c r="B1046" s="614" t="s">
        <v>3622</v>
      </c>
      <c r="C1046" s="616" t="s">
        <v>105</v>
      </c>
      <c r="D1046" s="615" t="s">
        <v>3626</v>
      </c>
      <c r="E1046" s="622" t="s">
        <v>3627</v>
      </c>
      <c r="F1046" s="617" t="s">
        <v>3836</v>
      </c>
      <c r="G1046" s="623">
        <v>4</v>
      </c>
      <c r="H1046" s="623">
        <v>4</v>
      </c>
      <c r="I1046" s="624">
        <v>4</v>
      </c>
      <c r="J1046" s="625">
        <v>50</v>
      </c>
      <c r="K1046" s="617">
        <v>12.5</v>
      </c>
      <c r="L1046" s="338" t="s">
        <v>126</v>
      </c>
      <c r="M1046" s="216"/>
      <c r="N1046" s="216"/>
      <c r="O1046" s="216"/>
      <c r="P1046" s="216"/>
      <c r="Q1046" s="216"/>
      <c r="R1046" s="216"/>
      <c r="S1046" s="216"/>
      <c r="T1046" s="216"/>
      <c r="U1046" s="216"/>
      <c r="V1046" s="216"/>
      <c r="W1046" s="216"/>
      <c r="X1046" s="216"/>
    </row>
    <row r="1047" spans="1:24" ht="15" customHeight="1">
      <c r="A1047" s="615" t="s">
        <v>3677</v>
      </c>
      <c r="B1047" s="615" t="s">
        <v>3678</v>
      </c>
      <c r="C1047" s="616" t="s">
        <v>105</v>
      </c>
      <c r="D1047" s="615" t="s">
        <v>3837</v>
      </c>
      <c r="E1047" s="626" t="s">
        <v>3838</v>
      </c>
      <c r="F1047" s="618" t="s">
        <v>635</v>
      </c>
      <c r="G1047" s="617">
        <v>4</v>
      </c>
      <c r="H1047" s="617">
        <v>4</v>
      </c>
      <c r="I1047" s="619">
        <v>4</v>
      </c>
      <c r="J1047" s="620">
        <v>50</v>
      </c>
      <c r="K1047" s="621">
        <f>J1047/G1047</f>
        <v>12.5</v>
      </c>
      <c r="L1047" s="338" t="s">
        <v>126</v>
      </c>
      <c r="M1047" s="216"/>
      <c r="N1047" s="216"/>
      <c r="O1047" s="216"/>
      <c r="P1047" s="216"/>
      <c r="Q1047" s="216"/>
      <c r="R1047" s="216"/>
      <c r="S1047" s="216"/>
      <c r="T1047" s="216"/>
      <c r="U1047" s="216"/>
      <c r="V1047" s="216"/>
      <c r="W1047" s="216"/>
      <c r="X1047" s="216"/>
    </row>
    <row r="1048" spans="1:24" ht="15" customHeight="1">
      <c r="A1048" s="615" t="s">
        <v>3677</v>
      </c>
      <c r="B1048" s="615" t="s">
        <v>3678</v>
      </c>
      <c r="C1048" s="627" t="s">
        <v>105</v>
      </c>
      <c r="D1048" s="628" t="s">
        <v>3679</v>
      </c>
      <c r="E1048" s="626" t="s">
        <v>3680</v>
      </c>
      <c r="F1048" s="618" t="s">
        <v>230</v>
      </c>
      <c r="G1048" s="617">
        <v>4</v>
      </c>
      <c r="H1048" s="617">
        <v>4</v>
      </c>
      <c r="I1048" s="629">
        <v>4</v>
      </c>
      <c r="J1048" s="630">
        <v>50</v>
      </c>
      <c r="K1048" s="631">
        <v>12.5</v>
      </c>
      <c r="L1048" s="338" t="s">
        <v>126</v>
      </c>
      <c r="M1048" s="216"/>
      <c r="N1048" s="216"/>
      <c r="O1048" s="216"/>
      <c r="P1048" s="216"/>
      <c r="Q1048" s="216"/>
      <c r="R1048" s="216"/>
      <c r="S1048" s="216"/>
      <c r="T1048" s="216"/>
      <c r="U1048" s="216"/>
      <c r="V1048" s="216"/>
      <c r="W1048" s="216"/>
      <c r="X1048" s="216"/>
    </row>
    <row r="1049" spans="1:24" ht="15" customHeight="1">
      <c r="A1049" s="616" t="s">
        <v>3677</v>
      </c>
      <c r="B1049" s="616" t="s">
        <v>3681</v>
      </c>
      <c r="C1049" s="616" t="s">
        <v>105</v>
      </c>
      <c r="D1049" s="616" t="s">
        <v>3682</v>
      </c>
      <c r="E1049" s="616" t="s">
        <v>3683</v>
      </c>
      <c r="F1049" s="617" t="s">
        <v>230</v>
      </c>
      <c r="G1049" s="617">
        <v>4</v>
      </c>
      <c r="H1049" s="617">
        <v>4</v>
      </c>
      <c r="I1049" s="629">
        <v>4</v>
      </c>
      <c r="J1049" s="632">
        <v>50</v>
      </c>
      <c r="K1049" s="632">
        <v>12.5</v>
      </c>
      <c r="L1049" s="338" t="s">
        <v>126</v>
      </c>
      <c r="M1049" s="216"/>
      <c r="N1049" s="216"/>
      <c r="O1049" s="216"/>
      <c r="P1049" s="216"/>
      <c r="Q1049" s="216"/>
      <c r="R1049" s="216"/>
      <c r="S1049" s="216"/>
      <c r="T1049" s="216"/>
      <c r="U1049" s="216"/>
      <c r="V1049" s="216"/>
      <c r="W1049" s="216"/>
      <c r="X1049" s="216"/>
    </row>
    <row r="1050" spans="1:24" ht="15" customHeight="1">
      <c r="A1050" s="615" t="s">
        <v>3581</v>
      </c>
      <c r="B1050" s="615" t="s">
        <v>3582</v>
      </c>
      <c r="C1050" s="616" t="s">
        <v>105</v>
      </c>
      <c r="D1050" s="615" t="s">
        <v>3583</v>
      </c>
      <c r="E1050" s="626" t="s">
        <v>3584</v>
      </c>
      <c r="F1050" s="618" t="s">
        <v>635</v>
      </c>
      <c r="G1050" s="617">
        <v>6</v>
      </c>
      <c r="H1050" s="617">
        <v>6</v>
      </c>
      <c r="I1050" s="619">
        <v>6</v>
      </c>
      <c r="J1050" s="620">
        <v>50</v>
      </c>
      <c r="K1050" s="621">
        <f>50/6</f>
        <v>8.3333333333333339</v>
      </c>
      <c r="L1050" s="338" t="s">
        <v>126</v>
      </c>
      <c r="M1050" s="216"/>
      <c r="N1050" s="216"/>
      <c r="O1050" s="216"/>
      <c r="P1050" s="216"/>
      <c r="Q1050" s="216"/>
      <c r="R1050" s="216"/>
      <c r="S1050" s="216"/>
      <c r="T1050" s="216"/>
      <c r="U1050" s="216"/>
      <c r="V1050" s="216"/>
      <c r="W1050" s="216"/>
      <c r="X1050" s="216"/>
    </row>
    <row r="1051" spans="1:24" ht="15" customHeight="1">
      <c r="A1051" s="615" t="s">
        <v>3585</v>
      </c>
      <c r="B1051" s="615" t="s">
        <v>3586</v>
      </c>
      <c r="C1051" s="616" t="s">
        <v>105</v>
      </c>
      <c r="D1051" s="615" t="s">
        <v>3587</v>
      </c>
      <c r="E1051" s="626" t="s">
        <v>3588</v>
      </c>
      <c r="F1051" s="618" t="s">
        <v>635</v>
      </c>
      <c r="G1051" s="617">
        <v>4</v>
      </c>
      <c r="H1051" s="617">
        <v>4</v>
      </c>
      <c r="I1051" s="633">
        <v>4</v>
      </c>
      <c r="J1051" s="634">
        <v>50</v>
      </c>
      <c r="K1051" s="635">
        <f t="shared" ref="K1051:K1054" si="44">J1051/I1051</f>
        <v>12.5</v>
      </c>
      <c r="L1051" s="338" t="s">
        <v>126</v>
      </c>
      <c r="M1051" s="216"/>
      <c r="N1051" s="216"/>
      <c r="O1051" s="216"/>
      <c r="P1051" s="216"/>
      <c r="Q1051" s="216"/>
      <c r="R1051" s="216"/>
      <c r="S1051" s="216"/>
      <c r="T1051" s="216"/>
      <c r="U1051" s="216"/>
      <c r="V1051" s="216"/>
      <c r="W1051" s="216"/>
      <c r="X1051" s="216"/>
    </row>
    <row r="1052" spans="1:24" ht="15" customHeight="1">
      <c r="A1052" s="628" t="s">
        <v>3585</v>
      </c>
      <c r="B1052" s="628" t="s">
        <v>3586</v>
      </c>
      <c r="C1052" s="627" t="s">
        <v>105</v>
      </c>
      <c r="D1052" s="628" t="s">
        <v>3589</v>
      </c>
      <c r="E1052" s="636" t="s">
        <v>3590</v>
      </c>
      <c r="F1052" s="637" t="s">
        <v>635</v>
      </c>
      <c r="G1052" s="638">
        <v>4</v>
      </c>
      <c r="H1052" s="638">
        <v>4</v>
      </c>
      <c r="I1052" s="617">
        <v>4</v>
      </c>
      <c r="J1052" s="620">
        <v>50</v>
      </c>
      <c r="K1052" s="621">
        <f t="shared" si="44"/>
        <v>12.5</v>
      </c>
      <c r="L1052" s="338" t="s">
        <v>126</v>
      </c>
      <c r="M1052" s="216"/>
      <c r="N1052" s="216"/>
      <c r="O1052" s="216"/>
      <c r="P1052" s="216"/>
      <c r="Q1052" s="216"/>
      <c r="R1052" s="216"/>
      <c r="S1052" s="216"/>
      <c r="T1052" s="216"/>
      <c r="U1052" s="216"/>
      <c r="V1052" s="216"/>
      <c r="W1052" s="216"/>
      <c r="X1052" s="216"/>
    </row>
    <row r="1053" spans="1:24" ht="15" customHeight="1">
      <c r="A1053" s="628" t="s">
        <v>3608</v>
      </c>
      <c r="B1053" s="628" t="s">
        <v>3609</v>
      </c>
      <c r="C1053" s="628" t="s">
        <v>105</v>
      </c>
      <c r="D1053" s="628" t="s">
        <v>3610</v>
      </c>
      <c r="E1053" s="639" t="s">
        <v>3611</v>
      </c>
      <c r="F1053" s="628" t="s">
        <v>635</v>
      </c>
      <c r="G1053" s="628">
        <v>3</v>
      </c>
      <c r="H1053" s="628">
        <v>3</v>
      </c>
      <c r="I1053" s="628">
        <v>3</v>
      </c>
      <c r="J1053" s="628">
        <v>50</v>
      </c>
      <c r="K1053" s="628">
        <f t="shared" si="44"/>
        <v>16.666666666666668</v>
      </c>
      <c r="L1053" s="338" t="s">
        <v>126</v>
      </c>
      <c r="M1053" s="216"/>
      <c r="N1053" s="216"/>
      <c r="O1053" s="216"/>
      <c r="P1053" s="216"/>
      <c r="Q1053" s="216"/>
      <c r="R1053" s="216"/>
      <c r="S1053" s="216"/>
      <c r="T1053" s="216"/>
      <c r="U1053" s="216"/>
      <c r="V1053" s="216"/>
      <c r="W1053" s="216"/>
      <c r="X1053" s="216"/>
    </row>
    <row r="1054" spans="1:24" ht="15" customHeight="1">
      <c r="A1054" s="628" t="s">
        <v>3839</v>
      </c>
      <c r="B1054" s="628" t="s">
        <v>3840</v>
      </c>
      <c r="C1054" s="628" t="s">
        <v>105</v>
      </c>
      <c r="D1054" s="628" t="s">
        <v>3841</v>
      </c>
      <c r="E1054" s="639" t="s">
        <v>3842</v>
      </c>
      <c r="F1054" s="628" t="s">
        <v>635</v>
      </c>
      <c r="G1054" s="628">
        <v>4</v>
      </c>
      <c r="H1054" s="628">
        <v>3</v>
      </c>
      <c r="I1054" s="628">
        <v>4</v>
      </c>
      <c r="J1054" s="628">
        <v>50</v>
      </c>
      <c r="K1054" s="628">
        <f t="shared" si="44"/>
        <v>12.5</v>
      </c>
      <c r="L1054" s="338" t="s">
        <v>126</v>
      </c>
      <c r="M1054" s="216"/>
      <c r="N1054" s="216"/>
      <c r="O1054" s="216"/>
      <c r="P1054" s="216"/>
      <c r="Q1054" s="216"/>
      <c r="R1054" s="216"/>
      <c r="S1054" s="216"/>
      <c r="T1054" s="216"/>
      <c r="U1054" s="216"/>
      <c r="V1054" s="216"/>
      <c r="W1054" s="216"/>
      <c r="X1054" s="216"/>
    </row>
    <row r="1055" spans="1:24" ht="15" customHeight="1">
      <c r="A1055" s="238" t="s">
        <v>1930</v>
      </c>
      <c r="B1055" s="238" t="s">
        <v>1931</v>
      </c>
      <c r="C1055" s="238" t="s">
        <v>105</v>
      </c>
      <c r="D1055" s="238" t="s">
        <v>1932</v>
      </c>
      <c r="E1055" s="640" t="s">
        <v>1933</v>
      </c>
      <c r="F1055" s="238" t="s">
        <v>1878</v>
      </c>
      <c r="G1055" s="238">
        <v>3</v>
      </c>
      <c r="H1055" s="238">
        <v>3</v>
      </c>
      <c r="I1055" s="238">
        <v>3</v>
      </c>
      <c r="J1055" s="238">
        <v>50</v>
      </c>
      <c r="K1055" s="238" t="s">
        <v>3843</v>
      </c>
      <c r="L1055" s="338" t="s">
        <v>127</v>
      </c>
      <c r="M1055" s="216"/>
      <c r="N1055" s="216"/>
      <c r="O1055" s="216"/>
      <c r="P1055" s="216"/>
      <c r="Q1055" s="216"/>
      <c r="R1055" s="216"/>
      <c r="S1055" s="216"/>
      <c r="T1055" s="216"/>
      <c r="U1055" s="216"/>
      <c r="V1055" s="216"/>
      <c r="W1055" s="216"/>
      <c r="X1055" s="216"/>
    </row>
    <row r="1056" spans="1:24" ht="15" customHeight="1">
      <c r="A1056" s="238" t="s">
        <v>1930</v>
      </c>
      <c r="B1056" s="238" t="s">
        <v>1931</v>
      </c>
      <c r="C1056" s="238" t="s">
        <v>105</v>
      </c>
      <c r="D1056" s="238" t="s">
        <v>1971</v>
      </c>
      <c r="E1056" s="640" t="s">
        <v>1972</v>
      </c>
      <c r="F1056" s="238" t="s">
        <v>1878</v>
      </c>
      <c r="G1056" s="238">
        <v>3</v>
      </c>
      <c r="H1056" s="238">
        <v>3</v>
      </c>
      <c r="I1056" s="238">
        <v>3</v>
      </c>
      <c r="J1056" s="238">
        <v>50</v>
      </c>
      <c r="K1056" s="238">
        <v>16.66</v>
      </c>
      <c r="L1056" s="338" t="s">
        <v>127</v>
      </c>
      <c r="M1056" s="216"/>
      <c r="N1056" s="216"/>
      <c r="O1056" s="216"/>
      <c r="P1056" s="216"/>
      <c r="Q1056" s="216"/>
      <c r="R1056" s="216"/>
      <c r="S1056" s="216"/>
      <c r="T1056" s="216"/>
      <c r="U1056" s="216"/>
      <c r="V1056" s="216"/>
      <c r="W1056" s="216"/>
      <c r="X1056" s="216"/>
    </row>
    <row r="1057" spans="1:24" ht="15" customHeight="1">
      <c r="A1057" s="238" t="s">
        <v>1930</v>
      </c>
      <c r="B1057" s="238" t="s">
        <v>1931</v>
      </c>
      <c r="C1057" s="238" t="s">
        <v>105</v>
      </c>
      <c r="D1057" s="238" t="s">
        <v>1980</v>
      </c>
      <c r="E1057" s="640" t="s">
        <v>1981</v>
      </c>
      <c r="F1057" s="238" t="s">
        <v>1878</v>
      </c>
      <c r="G1057" s="238">
        <v>3</v>
      </c>
      <c r="H1057" s="238">
        <v>3</v>
      </c>
      <c r="I1057" s="238">
        <v>3</v>
      </c>
      <c r="J1057" s="238">
        <v>50</v>
      </c>
      <c r="K1057" s="238">
        <v>16.66</v>
      </c>
      <c r="L1057" s="338" t="s">
        <v>127</v>
      </c>
      <c r="M1057" s="216"/>
      <c r="N1057" s="216"/>
      <c r="O1057" s="216"/>
      <c r="P1057" s="216"/>
      <c r="Q1057" s="216"/>
      <c r="R1057" s="216"/>
      <c r="S1057" s="216"/>
      <c r="T1057" s="216"/>
      <c r="U1057" s="216"/>
      <c r="V1057" s="216"/>
      <c r="W1057" s="216"/>
      <c r="X1057" s="216"/>
    </row>
    <row r="1058" spans="1:24" ht="15" customHeight="1">
      <c r="A1058" s="238" t="s">
        <v>1930</v>
      </c>
      <c r="B1058" s="238" t="s">
        <v>1931</v>
      </c>
      <c r="C1058" s="238" t="s">
        <v>105</v>
      </c>
      <c r="D1058" s="238" t="s">
        <v>2003</v>
      </c>
      <c r="E1058" s="640" t="s">
        <v>2004</v>
      </c>
      <c r="F1058" s="238" t="s">
        <v>1878</v>
      </c>
      <c r="G1058" s="238">
        <v>3</v>
      </c>
      <c r="H1058" s="238">
        <v>3</v>
      </c>
      <c r="I1058" s="238">
        <v>3</v>
      </c>
      <c r="J1058" s="238">
        <v>50</v>
      </c>
      <c r="K1058" s="238">
        <v>16.66</v>
      </c>
      <c r="L1058" s="338" t="s">
        <v>127</v>
      </c>
      <c r="M1058" s="216"/>
      <c r="N1058" s="216"/>
      <c r="O1058" s="216"/>
      <c r="P1058" s="216"/>
      <c r="Q1058" s="216"/>
      <c r="R1058" s="216"/>
      <c r="S1058" s="216"/>
      <c r="T1058" s="216"/>
      <c r="U1058" s="216"/>
      <c r="V1058" s="216"/>
      <c r="W1058" s="216"/>
      <c r="X1058" s="216"/>
    </row>
    <row r="1059" spans="1:24" ht="15" customHeight="1">
      <c r="A1059" s="238" t="s">
        <v>1930</v>
      </c>
      <c r="B1059" s="238" t="s">
        <v>1931</v>
      </c>
      <c r="C1059" s="238" t="s">
        <v>105</v>
      </c>
      <c r="D1059" s="238" t="s">
        <v>2011</v>
      </c>
      <c r="E1059" s="640" t="s">
        <v>2012</v>
      </c>
      <c r="F1059" s="238" t="s">
        <v>1990</v>
      </c>
      <c r="G1059" s="238">
        <v>3</v>
      </c>
      <c r="H1059" s="238">
        <v>3</v>
      </c>
      <c r="I1059" s="238">
        <v>3</v>
      </c>
      <c r="J1059" s="238">
        <v>50</v>
      </c>
      <c r="K1059" s="238">
        <v>16.66</v>
      </c>
      <c r="L1059" s="338" t="s">
        <v>127</v>
      </c>
      <c r="M1059" s="216"/>
      <c r="N1059" s="216"/>
      <c r="O1059" s="216"/>
      <c r="P1059" s="216"/>
      <c r="Q1059" s="216"/>
      <c r="R1059" s="216"/>
      <c r="S1059" s="216"/>
      <c r="T1059" s="216"/>
      <c r="U1059" s="216"/>
      <c r="V1059" s="216"/>
      <c r="W1059" s="216"/>
      <c r="X1059" s="216"/>
    </row>
    <row r="1060" spans="1:24" ht="15" customHeight="1">
      <c r="A1060" s="238" t="s">
        <v>1930</v>
      </c>
      <c r="B1060" s="238" t="s">
        <v>1931</v>
      </c>
      <c r="C1060" s="238" t="s">
        <v>105</v>
      </c>
      <c r="D1060" s="238" t="s">
        <v>2032</v>
      </c>
      <c r="E1060" s="238" t="s">
        <v>2033</v>
      </c>
      <c r="F1060" s="238" t="s">
        <v>1990</v>
      </c>
      <c r="G1060" s="238">
        <v>3</v>
      </c>
      <c r="H1060" s="238">
        <v>3</v>
      </c>
      <c r="I1060" s="238">
        <v>3</v>
      </c>
      <c r="J1060" s="238">
        <v>50</v>
      </c>
      <c r="K1060" s="238">
        <v>16.66</v>
      </c>
      <c r="L1060" s="338" t="s">
        <v>127</v>
      </c>
      <c r="M1060" s="216"/>
      <c r="N1060" s="216"/>
      <c r="O1060" s="216"/>
      <c r="P1060" s="216"/>
      <c r="Q1060" s="216"/>
      <c r="R1060" s="216"/>
      <c r="S1060" s="216"/>
      <c r="T1060" s="216"/>
      <c r="U1060" s="216"/>
      <c r="V1060" s="216"/>
      <c r="W1060" s="216"/>
      <c r="X1060" s="216"/>
    </row>
    <row r="1061" spans="1:24" ht="15" customHeight="1">
      <c r="A1061" s="238" t="s">
        <v>1930</v>
      </c>
      <c r="B1061" s="238" t="s">
        <v>1931</v>
      </c>
      <c r="C1061" s="238" t="s">
        <v>105</v>
      </c>
      <c r="D1061" s="238" t="s">
        <v>2044</v>
      </c>
      <c r="E1061" s="640" t="s">
        <v>2045</v>
      </c>
      <c r="F1061" s="238" t="s">
        <v>1878</v>
      </c>
      <c r="G1061" s="238">
        <v>3</v>
      </c>
      <c r="H1061" s="238">
        <v>3</v>
      </c>
      <c r="I1061" s="238">
        <v>3</v>
      </c>
      <c r="J1061" s="238">
        <v>50</v>
      </c>
      <c r="K1061" s="238">
        <v>16.66</v>
      </c>
      <c r="L1061" s="338" t="s">
        <v>127</v>
      </c>
      <c r="M1061" s="216"/>
      <c r="N1061" s="216"/>
      <c r="O1061" s="216"/>
      <c r="P1061" s="216"/>
      <c r="Q1061" s="216"/>
      <c r="R1061" s="216"/>
      <c r="S1061" s="216"/>
      <c r="T1061" s="216"/>
      <c r="U1061" s="216"/>
      <c r="V1061" s="216"/>
      <c r="W1061" s="216"/>
      <c r="X1061" s="216"/>
    </row>
    <row r="1062" spans="1:24" ht="15" customHeight="1">
      <c r="A1062" s="238" t="s">
        <v>1930</v>
      </c>
      <c r="B1062" s="238" t="s">
        <v>1931</v>
      </c>
      <c r="C1062" s="238" t="s">
        <v>105</v>
      </c>
      <c r="D1062" s="238" t="s">
        <v>2046</v>
      </c>
      <c r="E1062" s="640" t="s">
        <v>2047</v>
      </c>
      <c r="F1062" s="238" t="s">
        <v>1878</v>
      </c>
      <c r="G1062" s="238">
        <v>3</v>
      </c>
      <c r="H1062" s="238">
        <v>3</v>
      </c>
      <c r="I1062" s="238">
        <v>3</v>
      </c>
      <c r="J1062" s="238">
        <v>50</v>
      </c>
      <c r="K1062" s="238">
        <v>16.66</v>
      </c>
      <c r="L1062" s="338" t="s">
        <v>127</v>
      </c>
      <c r="M1062" s="216"/>
      <c r="N1062" s="216"/>
      <c r="O1062" s="216"/>
      <c r="P1062" s="216"/>
      <c r="Q1062" s="216"/>
      <c r="R1062" s="216"/>
      <c r="S1062" s="216"/>
      <c r="T1062" s="216"/>
      <c r="U1062" s="216"/>
      <c r="V1062" s="216"/>
      <c r="W1062" s="216"/>
      <c r="X1062" s="216"/>
    </row>
    <row r="1063" spans="1:24" ht="15" customHeight="1">
      <c r="A1063" s="238" t="s">
        <v>1930</v>
      </c>
      <c r="B1063" s="238" t="s">
        <v>1931</v>
      </c>
      <c r="C1063" s="238" t="s">
        <v>105</v>
      </c>
      <c r="D1063" s="238" t="s">
        <v>2050</v>
      </c>
      <c r="E1063" s="640" t="s">
        <v>2051</v>
      </c>
      <c r="F1063" s="238" t="s">
        <v>1878</v>
      </c>
      <c r="G1063" s="238">
        <v>3</v>
      </c>
      <c r="H1063" s="238">
        <v>3</v>
      </c>
      <c r="I1063" s="238">
        <v>3</v>
      </c>
      <c r="J1063" s="238">
        <v>50</v>
      </c>
      <c r="K1063" s="238">
        <v>16.66</v>
      </c>
      <c r="L1063" s="338" t="s">
        <v>127</v>
      </c>
      <c r="M1063" s="216"/>
      <c r="N1063" s="216"/>
      <c r="O1063" s="216"/>
      <c r="P1063" s="216"/>
      <c r="Q1063" s="216"/>
      <c r="R1063" s="216"/>
      <c r="S1063" s="216"/>
      <c r="T1063" s="216"/>
      <c r="U1063" s="216"/>
      <c r="V1063" s="216"/>
      <c r="W1063" s="216"/>
      <c r="X1063" s="216"/>
    </row>
    <row r="1064" spans="1:24" ht="15" customHeight="1">
      <c r="A1064" s="238" t="s">
        <v>1930</v>
      </c>
      <c r="B1064" s="238" t="s">
        <v>1931</v>
      </c>
      <c r="C1064" s="238" t="s">
        <v>105</v>
      </c>
      <c r="D1064" s="238" t="s">
        <v>2052</v>
      </c>
      <c r="E1064" s="640" t="s">
        <v>2053</v>
      </c>
      <c r="F1064" s="238" t="s">
        <v>1990</v>
      </c>
      <c r="G1064" s="238">
        <v>3</v>
      </c>
      <c r="H1064" s="238">
        <v>3</v>
      </c>
      <c r="I1064" s="238">
        <v>3</v>
      </c>
      <c r="J1064" s="238">
        <v>50</v>
      </c>
      <c r="K1064" s="238">
        <v>16.66</v>
      </c>
      <c r="L1064" s="338" t="s">
        <v>127</v>
      </c>
      <c r="M1064" s="216"/>
      <c r="N1064" s="216"/>
      <c r="O1064" s="216"/>
      <c r="P1064" s="216"/>
      <c r="Q1064" s="216"/>
      <c r="R1064" s="216"/>
      <c r="S1064" s="216"/>
      <c r="T1064" s="216"/>
      <c r="U1064" s="216"/>
      <c r="V1064" s="216"/>
      <c r="W1064" s="216"/>
      <c r="X1064" s="216"/>
    </row>
    <row r="1065" spans="1:24" ht="15" customHeight="1">
      <c r="A1065" s="238" t="s">
        <v>1930</v>
      </c>
      <c r="B1065" s="238" t="s">
        <v>1931</v>
      </c>
      <c r="C1065" s="238" t="s">
        <v>105</v>
      </c>
      <c r="D1065" s="238" t="s">
        <v>2056</v>
      </c>
      <c r="E1065" s="640" t="s">
        <v>1622</v>
      </c>
      <c r="F1065" s="238" t="s">
        <v>1878</v>
      </c>
      <c r="G1065" s="238">
        <v>3</v>
      </c>
      <c r="H1065" s="238">
        <v>3</v>
      </c>
      <c r="I1065" s="238">
        <v>3</v>
      </c>
      <c r="J1065" s="238">
        <v>50</v>
      </c>
      <c r="K1065" s="238">
        <v>16.66</v>
      </c>
      <c r="L1065" s="338" t="s">
        <v>127</v>
      </c>
      <c r="M1065" s="216"/>
      <c r="N1065" s="216"/>
      <c r="O1065" s="216"/>
      <c r="P1065" s="216"/>
      <c r="Q1065" s="216"/>
      <c r="R1065" s="216"/>
      <c r="S1065" s="216"/>
      <c r="T1065" s="216"/>
      <c r="U1065" s="216"/>
      <c r="V1065" s="216"/>
      <c r="W1065" s="216"/>
      <c r="X1065" s="216"/>
    </row>
    <row r="1066" spans="1:24" ht="15" customHeight="1">
      <c r="A1066" s="238" t="s">
        <v>1930</v>
      </c>
      <c r="B1066" s="238" t="s">
        <v>1931</v>
      </c>
      <c r="C1066" s="238" t="s">
        <v>105</v>
      </c>
      <c r="D1066" s="238" t="s">
        <v>3844</v>
      </c>
      <c r="E1066" s="640" t="s">
        <v>2058</v>
      </c>
      <c r="F1066" s="238" t="s">
        <v>2007</v>
      </c>
      <c r="G1066" s="238">
        <v>3</v>
      </c>
      <c r="H1066" s="238">
        <v>3</v>
      </c>
      <c r="I1066" s="238">
        <v>3</v>
      </c>
      <c r="J1066" s="238">
        <v>50</v>
      </c>
      <c r="K1066" s="238">
        <v>16.66</v>
      </c>
      <c r="L1066" s="338" t="s">
        <v>127</v>
      </c>
      <c r="M1066" s="216"/>
      <c r="N1066" s="216"/>
      <c r="O1066" s="216"/>
      <c r="P1066" s="216"/>
      <c r="Q1066" s="216"/>
      <c r="R1066" s="216"/>
      <c r="S1066" s="216"/>
      <c r="T1066" s="216"/>
      <c r="U1066" s="216"/>
      <c r="V1066" s="216"/>
      <c r="W1066" s="216"/>
      <c r="X1066" s="216"/>
    </row>
    <row r="1067" spans="1:24" ht="15" customHeight="1">
      <c r="A1067" s="238" t="s">
        <v>1930</v>
      </c>
      <c r="B1067" s="238" t="s">
        <v>1931</v>
      </c>
      <c r="C1067" s="238" t="s">
        <v>105</v>
      </c>
      <c r="D1067" s="238" t="s">
        <v>2059</v>
      </c>
      <c r="E1067" s="238" t="s">
        <v>2060</v>
      </c>
      <c r="F1067" s="238" t="s">
        <v>1878</v>
      </c>
      <c r="G1067" s="238">
        <v>3</v>
      </c>
      <c r="H1067" s="238">
        <v>3</v>
      </c>
      <c r="I1067" s="238">
        <v>3</v>
      </c>
      <c r="J1067" s="238">
        <v>50</v>
      </c>
      <c r="K1067" s="238">
        <v>16.66</v>
      </c>
      <c r="L1067" s="338" t="s">
        <v>127</v>
      </c>
      <c r="M1067" s="216"/>
      <c r="N1067" s="216"/>
      <c r="O1067" s="216"/>
      <c r="P1067" s="216"/>
      <c r="Q1067" s="216"/>
      <c r="R1067" s="216"/>
      <c r="S1067" s="216"/>
      <c r="T1067" s="216"/>
      <c r="U1067" s="216"/>
      <c r="V1067" s="216"/>
      <c r="W1067" s="216"/>
      <c r="X1067" s="216"/>
    </row>
    <row r="1068" spans="1:24" ht="15" customHeight="1">
      <c r="A1068" s="238" t="s">
        <v>1930</v>
      </c>
      <c r="B1068" s="238" t="s">
        <v>1931</v>
      </c>
      <c r="C1068" s="238" t="s">
        <v>105</v>
      </c>
      <c r="D1068" s="238" t="s">
        <v>2059</v>
      </c>
      <c r="E1068" s="238" t="s">
        <v>2060</v>
      </c>
      <c r="F1068" s="238" t="s">
        <v>1878</v>
      </c>
      <c r="G1068" s="238">
        <v>3</v>
      </c>
      <c r="H1068" s="238">
        <v>3</v>
      </c>
      <c r="I1068" s="238">
        <v>3</v>
      </c>
      <c r="J1068" s="238">
        <v>50</v>
      </c>
      <c r="K1068" s="238">
        <v>16.66</v>
      </c>
      <c r="L1068" s="338" t="s">
        <v>127</v>
      </c>
      <c r="M1068" s="216"/>
      <c r="N1068" s="216"/>
      <c r="O1068" s="216"/>
      <c r="P1068" s="216"/>
      <c r="Q1068" s="216"/>
      <c r="R1068" s="216"/>
      <c r="S1068" s="216"/>
      <c r="T1068" s="216"/>
      <c r="U1068" s="216"/>
      <c r="V1068" s="216"/>
      <c r="W1068" s="216"/>
      <c r="X1068" s="216"/>
    </row>
    <row r="1069" spans="1:24" ht="15" customHeight="1">
      <c r="A1069" s="238" t="s">
        <v>1930</v>
      </c>
      <c r="B1069" s="238" t="s">
        <v>1931</v>
      </c>
      <c r="C1069" s="238" t="s">
        <v>105</v>
      </c>
      <c r="D1069" s="238" t="s">
        <v>2092</v>
      </c>
      <c r="E1069" s="640" t="s">
        <v>2093</v>
      </c>
      <c r="F1069" s="238" t="s">
        <v>1990</v>
      </c>
      <c r="G1069" s="238">
        <v>3</v>
      </c>
      <c r="H1069" s="238">
        <v>3</v>
      </c>
      <c r="I1069" s="238">
        <v>3</v>
      </c>
      <c r="J1069" s="238">
        <v>50</v>
      </c>
      <c r="K1069" s="238">
        <v>16.66</v>
      </c>
      <c r="L1069" s="338" t="s">
        <v>127</v>
      </c>
      <c r="M1069" s="216"/>
      <c r="N1069" s="216"/>
      <c r="O1069" s="216"/>
      <c r="P1069" s="216"/>
      <c r="Q1069" s="216"/>
      <c r="R1069" s="216"/>
      <c r="S1069" s="216"/>
      <c r="T1069" s="216"/>
      <c r="U1069" s="216"/>
      <c r="V1069" s="216"/>
      <c r="W1069" s="216"/>
      <c r="X1069" s="216"/>
    </row>
    <row r="1070" spans="1:24" ht="15" customHeight="1">
      <c r="A1070" s="238" t="s">
        <v>1930</v>
      </c>
      <c r="B1070" s="238" t="s">
        <v>1931</v>
      </c>
      <c r="C1070" s="238" t="s">
        <v>105</v>
      </c>
      <c r="D1070" s="238" t="s">
        <v>2094</v>
      </c>
      <c r="E1070" s="640" t="s">
        <v>2095</v>
      </c>
      <c r="F1070" s="238" t="s">
        <v>1990</v>
      </c>
      <c r="G1070" s="238">
        <v>3</v>
      </c>
      <c r="H1070" s="238">
        <v>3</v>
      </c>
      <c r="I1070" s="238">
        <v>3</v>
      </c>
      <c r="J1070" s="238">
        <v>50</v>
      </c>
      <c r="K1070" s="238">
        <v>16.66</v>
      </c>
      <c r="L1070" s="338" t="s">
        <v>127</v>
      </c>
      <c r="M1070" s="216"/>
      <c r="N1070" s="216"/>
      <c r="O1070" s="216"/>
      <c r="P1070" s="216"/>
      <c r="Q1070" s="216"/>
      <c r="R1070" s="216"/>
      <c r="S1070" s="216"/>
      <c r="T1070" s="216"/>
      <c r="U1070" s="216"/>
      <c r="V1070" s="216"/>
      <c r="W1070" s="216"/>
      <c r="X1070" s="216"/>
    </row>
    <row r="1071" spans="1:24" ht="15" customHeight="1">
      <c r="A1071" s="238" t="s">
        <v>1930</v>
      </c>
      <c r="B1071" s="238" t="s">
        <v>1931</v>
      </c>
      <c r="C1071" s="238" t="s">
        <v>105</v>
      </c>
      <c r="D1071" s="238" t="s">
        <v>2102</v>
      </c>
      <c r="E1071" s="640" t="s">
        <v>2103</v>
      </c>
      <c r="F1071" s="238" t="s">
        <v>1990</v>
      </c>
      <c r="G1071" s="238">
        <v>3</v>
      </c>
      <c r="H1071" s="238">
        <v>3</v>
      </c>
      <c r="I1071" s="238">
        <v>3</v>
      </c>
      <c r="J1071" s="238">
        <v>50</v>
      </c>
      <c r="K1071" s="238">
        <v>16.66</v>
      </c>
      <c r="L1071" s="338" t="s">
        <v>127</v>
      </c>
      <c r="M1071" s="216"/>
      <c r="N1071" s="216"/>
      <c r="O1071" s="216"/>
      <c r="P1071" s="216"/>
      <c r="Q1071" s="216"/>
      <c r="R1071" s="216"/>
      <c r="S1071" s="216"/>
      <c r="T1071" s="216"/>
      <c r="U1071" s="216"/>
      <c r="V1071" s="216"/>
      <c r="W1071" s="216"/>
      <c r="X1071" s="216"/>
    </row>
    <row r="1072" spans="1:24" ht="15" customHeight="1">
      <c r="A1072" s="238" t="s">
        <v>1930</v>
      </c>
      <c r="B1072" s="238" t="s">
        <v>1931</v>
      </c>
      <c r="C1072" s="238" t="s">
        <v>105</v>
      </c>
      <c r="D1072" s="238" t="s">
        <v>2104</v>
      </c>
      <c r="E1072" s="640" t="s">
        <v>2105</v>
      </c>
      <c r="F1072" s="238" t="s">
        <v>1990</v>
      </c>
      <c r="G1072" s="238">
        <v>3</v>
      </c>
      <c r="H1072" s="238">
        <v>3</v>
      </c>
      <c r="I1072" s="238">
        <v>3</v>
      </c>
      <c r="J1072" s="238">
        <v>50</v>
      </c>
      <c r="K1072" s="238">
        <v>16.66</v>
      </c>
      <c r="L1072" s="338" t="s">
        <v>127</v>
      </c>
      <c r="M1072" s="216"/>
      <c r="N1072" s="216"/>
      <c r="O1072" s="216"/>
      <c r="P1072" s="216"/>
      <c r="Q1072" s="216"/>
      <c r="R1072" s="216"/>
      <c r="S1072" s="216"/>
      <c r="T1072" s="216"/>
      <c r="U1072" s="216"/>
      <c r="V1072" s="216"/>
      <c r="W1072" s="216"/>
      <c r="X1072" s="216"/>
    </row>
    <row r="1073" spans="1:24" ht="15" customHeight="1">
      <c r="A1073" s="238" t="s">
        <v>3845</v>
      </c>
      <c r="B1073" s="640" t="s">
        <v>3846</v>
      </c>
      <c r="C1073" s="238" t="s">
        <v>105</v>
      </c>
      <c r="D1073" s="238" t="s">
        <v>3847</v>
      </c>
      <c r="E1073" s="238" t="s">
        <v>3848</v>
      </c>
      <c r="F1073" s="238" t="s">
        <v>2133</v>
      </c>
      <c r="G1073" s="238">
        <v>3</v>
      </c>
      <c r="H1073" s="238">
        <v>2</v>
      </c>
      <c r="I1073" s="238">
        <v>3</v>
      </c>
      <c r="J1073" s="238">
        <v>50</v>
      </c>
      <c r="K1073" s="238">
        <v>25</v>
      </c>
      <c r="L1073" s="338" t="s">
        <v>127</v>
      </c>
      <c r="M1073" s="216"/>
      <c r="N1073" s="216"/>
      <c r="O1073" s="216"/>
      <c r="P1073" s="216"/>
      <c r="Q1073" s="216"/>
      <c r="R1073" s="216"/>
      <c r="S1073" s="216"/>
      <c r="T1073" s="216"/>
      <c r="U1073" s="216"/>
      <c r="V1073" s="216"/>
      <c r="W1073" s="216"/>
      <c r="X1073" s="216"/>
    </row>
    <row r="1074" spans="1:24" ht="15" customHeight="1">
      <c r="A1074" s="238" t="s">
        <v>3849</v>
      </c>
      <c r="B1074" s="640" t="s">
        <v>3846</v>
      </c>
      <c r="C1074" s="238" t="s">
        <v>105</v>
      </c>
      <c r="D1074" s="238" t="s">
        <v>3850</v>
      </c>
      <c r="E1074" s="238" t="s">
        <v>3851</v>
      </c>
      <c r="F1074" s="238" t="s">
        <v>2133</v>
      </c>
      <c r="G1074" s="238">
        <v>2</v>
      </c>
      <c r="H1074" s="238">
        <v>2</v>
      </c>
      <c r="I1074" s="238">
        <v>2</v>
      </c>
      <c r="J1074" s="238">
        <v>50</v>
      </c>
      <c r="K1074" s="238">
        <v>25</v>
      </c>
      <c r="L1074" s="338" t="s">
        <v>127</v>
      </c>
      <c r="M1074" s="216"/>
      <c r="N1074" s="216"/>
      <c r="O1074" s="216"/>
      <c r="P1074" s="216"/>
      <c r="Q1074" s="216"/>
      <c r="R1074" s="216"/>
      <c r="S1074" s="216"/>
      <c r="T1074" s="216"/>
      <c r="U1074" s="216"/>
      <c r="V1074" s="216"/>
      <c r="W1074" s="216"/>
      <c r="X1074" s="216"/>
    </row>
    <row r="1075" spans="1:24" ht="15" customHeight="1">
      <c r="A1075" s="238" t="s">
        <v>3849</v>
      </c>
      <c r="B1075" s="640" t="s">
        <v>3846</v>
      </c>
      <c r="C1075" s="238" t="s">
        <v>105</v>
      </c>
      <c r="D1075" s="238" t="s">
        <v>3852</v>
      </c>
      <c r="E1075" s="238" t="s">
        <v>3853</v>
      </c>
      <c r="F1075" s="238" t="s">
        <v>2133</v>
      </c>
      <c r="G1075" s="238">
        <v>2</v>
      </c>
      <c r="H1075" s="238">
        <v>2</v>
      </c>
      <c r="I1075" s="238">
        <v>2</v>
      </c>
      <c r="J1075" s="238">
        <v>50</v>
      </c>
      <c r="K1075" s="238">
        <v>25</v>
      </c>
      <c r="L1075" s="338" t="s">
        <v>127</v>
      </c>
      <c r="M1075" s="216"/>
      <c r="N1075" s="216"/>
      <c r="O1075" s="216"/>
      <c r="P1075" s="216"/>
      <c r="Q1075" s="216"/>
      <c r="R1075" s="216"/>
      <c r="S1075" s="216"/>
      <c r="T1075" s="216"/>
      <c r="U1075" s="216"/>
      <c r="V1075" s="216"/>
      <c r="W1075" s="216"/>
      <c r="X1075" s="216"/>
    </row>
    <row r="1076" spans="1:24" ht="15" customHeight="1">
      <c r="A1076" s="238" t="s">
        <v>3854</v>
      </c>
      <c r="B1076" s="640" t="s">
        <v>3855</v>
      </c>
      <c r="C1076" s="238" t="s">
        <v>105</v>
      </c>
      <c r="D1076" s="238" t="s">
        <v>3856</v>
      </c>
      <c r="E1076" s="238" t="s">
        <v>3857</v>
      </c>
      <c r="F1076" s="238" t="s">
        <v>2133</v>
      </c>
      <c r="G1076" s="238">
        <v>2</v>
      </c>
      <c r="H1076" s="238">
        <v>2</v>
      </c>
      <c r="I1076" s="238">
        <v>2</v>
      </c>
      <c r="J1076" s="238">
        <v>50</v>
      </c>
      <c r="K1076" s="238">
        <v>25</v>
      </c>
      <c r="L1076" s="338" t="s">
        <v>127</v>
      </c>
      <c r="M1076" s="216"/>
      <c r="N1076" s="216"/>
      <c r="O1076" s="216"/>
      <c r="P1076" s="216"/>
      <c r="Q1076" s="216"/>
      <c r="R1076" s="216"/>
      <c r="S1076" s="216"/>
      <c r="T1076" s="216"/>
      <c r="U1076" s="216"/>
      <c r="V1076" s="216"/>
      <c r="W1076" s="216"/>
      <c r="X1076" s="216"/>
    </row>
    <row r="1077" spans="1:24" ht="15" customHeight="1">
      <c r="A1077" s="238" t="s">
        <v>3858</v>
      </c>
      <c r="B1077" s="640" t="s">
        <v>3859</v>
      </c>
      <c r="C1077" s="238" t="s">
        <v>105</v>
      </c>
      <c r="D1077" s="238" t="s">
        <v>3860</v>
      </c>
      <c r="E1077" s="238" t="s">
        <v>3861</v>
      </c>
      <c r="F1077" s="238" t="s">
        <v>2133</v>
      </c>
      <c r="G1077" s="238">
        <v>2</v>
      </c>
      <c r="H1077" s="238">
        <v>2</v>
      </c>
      <c r="I1077" s="238">
        <v>2</v>
      </c>
      <c r="J1077" s="238">
        <v>50</v>
      </c>
      <c r="K1077" s="238">
        <v>25</v>
      </c>
      <c r="L1077" s="338" t="s">
        <v>127</v>
      </c>
      <c r="M1077" s="216"/>
      <c r="N1077" s="216"/>
      <c r="O1077" s="216"/>
      <c r="P1077" s="216"/>
      <c r="Q1077" s="216"/>
      <c r="R1077" s="216"/>
      <c r="S1077" s="216"/>
      <c r="T1077" s="216"/>
      <c r="U1077" s="216"/>
      <c r="V1077" s="216"/>
      <c r="W1077" s="216"/>
      <c r="X1077" s="216"/>
    </row>
    <row r="1078" spans="1:24" ht="15" customHeight="1">
      <c r="A1078" s="238" t="s">
        <v>3858</v>
      </c>
      <c r="B1078" s="640" t="s">
        <v>3859</v>
      </c>
      <c r="C1078" s="238" t="s">
        <v>105</v>
      </c>
      <c r="D1078" s="238" t="s">
        <v>3862</v>
      </c>
      <c r="E1078" s="238" t="s">
        <v>3863</v>
      </c>
      <c r="F1078" s="238" t="s">
        <v>2133</v>
      </c>
      <c r="G1078" s="238">
        <v>2</v>
      </c>
      <c r="H1078" s="238">
        <v>2</v>
      </c>
      <c r="I1078" s="238">
        <v>2</v>
      </c>
      <c r="J1078" s="238">
        <v>50</v>
      </c>
      <c r="K1078" s="238">
        <v>25</v>
      </c>
      <c r="L1078" s="338" t="s">
        <v>127</v>
      </c>
      <c r="M1078" s="216"/>
      <c r="N1078" s="216"/>
      <c r="O1078" s="216"/>
      <c r="P1078" s="216"/>
      <c r="Q1078" s="216"/>
      <c r="R1078" s="216"/>
      <c r="S1078" s="216"/>
      <c r="T1078" s="216"/>
      <c r="U1078" s="216"/>
      <c r="V1078" s="216"/>
      <c r="W1078" s="216"/>
      <c r="X1078" s="216"/>
    </row>
    <row r="1079" spans="1:24" ht="15" customHeight="1">
      <c r="A1079" s="238" t="s">
        <v>3864</v>
      </c>
      <c r="B1079" s="640" t="s">
        <v>3865</v>
      </c>
      <c r="C1079" s="238" t="s">
        <v>105</v>
      </c>
      <c r="D1079" s="238" t="s">
        <v>3866</v>
      </c>
      <c r="E1079" s="238" t="s">
        <v>3867</v>
      </c>
      <c r="F1079" s="238" t="s">
        <v>2133</v>
      </c>
      <c r="G1079" s="238">
        <v>2</v>
      </c>
      <c r="H1079" s="238">
        <v>2</v>
      </c>
      <c r="I1079" s="238">
        <v>2</v>
      </c>
      <c r="J1079" s="238">
        <v>50</v>
      </c>
      <c r="K1079" s="238">
        <v>25</v>
      </c>
      <c r="L1079" s="338" t="s">
        <v>127</v>
      </c>
      <c r="M1079" s="216"/>
      <c r="N1079" s="216"/>
      <c r="O1079" s="216"/>
      <c r="P1079" s="216"/>
      <c r="Q1079" s="216"/>
      <c r="R1079" s="216"/>
      <c r="S1079" s="216"/>
      <c r="T1079" s="216"/>
      <c r="U1079" s="216"/>
      <c r="V1079" s="216"/>
      <c r="W1079" s="216"/>
      <c r="X1079" s="216"/>
    </row>
    <row r="1080" spans="1:24" ht="15" customHeight="1">
      <c r="A1080" s="238" t="s">
        <v>3864</v>
      </c>
      <c r="B1080" s="640" t="s">
        <v>3865</v>
      </c>
      <c r="C1080" s="238" t="s">
        <v>105</v>
      </c>
      <c r="D1080" s="238" t="s">
        <v>3868</v>
      </c>
      <c r="E1080" s="238" t="s">
        <v>3869</v>
      </c>
      <c r="F1080" s="238" t="s">
        <v>2133</v>
      </c>
      <c r="G1080" s="238">
        <v>2</v>
      </c>
      <c r="H1080" s="238">
        <v>2</v>
      </c>
      <c r="I1080" s="238">
        <v>2</v>
      </c>
      <c r="J1080" s="238">
        <v>50</v>
      </c>
      <c r="K1080" s="238">
        <v>25</v>
      </c>
      <c r="L1080" s="338" t="s">
        <v>127</v>
      </c>
      <c r="M1080" s="216"/>
      <c r="N1080" s="216"/>
      <c r="O1080" s="216"/>
      <c r="P1080" s="216"/>
      <c r="Q1080" s="216"/>
      <c r="R1080" s="216"/>
      <c r="S1080" s="216"/>
      <c r="T1080" s="216"/>
      <c r="U1080" s="216"/>
      <c r="V1080" s="216"/>
      <c r="W1080" s="216"/>
      <c r="X1080" s="216"/>
    </row>
    <row r="1081" spans="1:24" ht="15" customHeight="1">
      <c r="A1081" s="238" t="s">
        <v>3870</v>
      </c>
      <c r="B1081" s="238" t="s">
        <v>3871</v>
      </c>
      <c r="C1081" s="238" t="s">
        <v>105</v>
      </c>
      <c r="D1081" s="238" t="s">
        <v>3872</v>
      </c>
      <c r="E1081" s="238" t="s">
        <v>3873</v>
      </c>
      <c r="F1081" s="238" t="s">
        <v>3874</v>
      </c>
      <c r="G1081" s="238">
        <v>3</v>
      </c>
      <c r="H1081" s="238">
        <v>3</v>
      </c>
      <c r="I1081" s="238">
        <v>3</v>
      </c>
      <c r="J1081" s="238">
        <v>50</v>
      </c>
      <c r="K1081" s="238">
        <v>16.66</v>
      </c>
      <c r="L1081" s="338" t="s">
        <v>127</v>
      </c>
      <c r="M1081" s="216"/>
      <c r="N1081" s="216"/>
      <c r="O1081" s="216"/>
      <c r="P1081" s="216"/>
      <c r="Q1081" s="216"/>
      <c r="R1081" s="216"/>
      <c r="S1081" s="216"/>
      <c r="T1081" s="216"/>
      <c r="U1081" s="216"/>
      <c r="V1081" s="216"/>
      <c r="W1081" s="216"/>
      <c r="X1081" s="216"/>
    </row>
    <row r="1082" spans="1:24" ht="15" customHeight="1">
      <c r="A1082" s="238" t="s">
        <v>3870</v>
      </c>
      <c r="B1082" s="238" t="s">
        <v>3871</v>
      </c>
      <c r="C1082" s="238" t="s">
        <v>105</v>
      </c>
      <c r="D1082" s="238" t="s">
        <v>3875</v>
      </c>
      <c r="E1082" s="238" t="s">
        <v>3876</v>
      </c>
      <c r="F1082" s="238" t="s">
        <v>3874</v>
      </c>
      <c r="G1082" s="238">
        <v>3</v>
      </c>
      <c r="H1082" s="238">
        <v>3</v>
      </c>
      <c r="I1082" s="238">
        <v>3</v>
      </c>
      <c r="J1082" s="238">
        <v>50</v>
      </c>
      <c r="K1082" s="238">
        <v>16.66</v>
      </c>
      <c r="L1082" s="338" t="s">
        <v>127</v>
      </c>
      <c r="M1082" s="216"/>
      <c r="N1082" s="216"/>
      <c r="O1082" s="216"/>
      <c r="P1082" s="216"/>
      <c r="Q1082" s="216"/>
      <c r="R1082" s="216"/>
      <c r="S1082" s="216"/>
      <c r="T1082" s="216"/>
      <c r="U1082" s="216"/>
      <c r="V1082" s="216"/>
      <c r="W1082" s="216"/>
      <c r="X1082" s="216"/>
    </row>
    <row r="1083" spans="1:24" ht="15" customHeight="1">
      <c r="A1083" s="238" t="s">
        <v>3877</v>
      </c>
      <c r="B1083" s="238" t="s">
        <v>3878</v>
      </c>
      <c r="C1083" s="238" t="s">
        <v>105</v>
      </c>
      <c r="D1083" s="238" t="s">
        <v>3879</v>
      </c>
      <c r="E1083" s="640" t="s">
        <v>3880</v>
      </c>
      <c r="F1083" s="238" t="s">
        <v>2133</v>
      </c>
      <c r="G1083" s="238">
        <v>2</v>
      </c>
      <c r="H1083" s="238">
        <v>2</v>
      </c>
      <c r="I1083" s="238">
        <v>2</v>
      </c>
      <c r="J1083" s="238">
        <v>50</v>
      </c>
      <c r="K1083" s="238">
        <v>25</v>
      </c>
      <c r="L1083" s="338" t="s">
        <v>127</v>
      </c>
      <c r="M1083" s="216"/>
      <c r="N1083" s="216"/>
      <c r="O1083" s="216"/>
      <c r="P1083" s="216"/>
      <c r="Q1083" s="216"/>
      <c r="R1083" s="216"/>
      <c r="S1083" s="216"/>
      <c r="T1083" s="216"/>
      <c r="U1083" s="216"/>
      <c r="V1083" s="216"/>
      <c r="W1083" s="216"/>
      <c r="X1083" s="216"/>
    </row>
    <row r="1084" spans="1:24" ht="15" customHeight="1">
      <c r="A1084" s="302" t="s">
        <v>3591</v>
      </c>
      <c r="B1084" s="302" t="s">
        <v>3592</v>
      </c>
      <c r="C1084" s="301" t="s">
        <v>105</v>
      </c>
      <c r="D1084" s="302" t="s">
        <v>3579</v>
      </c>
      <c r="E1084" s="641" t="s">
        <v>3596</v>
      </c>
      <c r="F1084" s="597" t="s">
        <v>3595</v>
      </c>
      <c r="G1084" s="290">
        <v>7</v>
      </c>
      <c r="H1084" s="290">
        <v>7</v>
      </c>
      <c r="I1084" s="290">
        <v>7</v>
      </c>
      <c r="J1084" s="608">
        <v>50</v>
      </c>
      <c r="K1084" s="642">
        <f t="shared" ref="K1084:K1092" si="45">J1084/H1084</f>
        <v>7.1428571428571432</v>
      </c>
      <c r="L1084" s="338" t="s">
        <v>119</v>
      </c>
      <c r="M1084" s="216"/>
      <c r="N1084" s="216"/>
      <c r="O1084" s="216"/>
      <c r="P1084" s="216"/>
      <c r="Q1084" s="216"/>
      <c r="R1084" s="216"/>
      <c r="S1084" s="216"/>
      <c r="T1084" s="216"/>
      <c r="U1084" s="216"/>
      <c r="V1084" s="216"/>
      <c r="W1084" s="216"/>
      <c r="X1084" s="216"/>
    </row>
    <row r="1085" spans="1:24" ht="15" customHeight="1">
      <c r="A1085" s="302" t="s">
        <v>3668</v>
      </c>
      <c r="B1085" s="302" t="s">
        <v>3881</v>
      </c>
      <c r="C1085" s="301" t="s">
        <v>105</v>
      </c>
      <c r="D1085" s="302" t="s">
        <v>3579</v>
      </c>
      <c r="E1085" s="641" t="s">
        <v>3596</v>
      </c>
      <c r="F1085" s="597" t="s">
        <v>3595</v>
      </c>
      <c r="G1085" s="290">
        <v>7</v>
      </c>
      <c r="H1085" s="290">
        <v>7</v>
      </c>
      <c r="I1085" s="290">
        <v>7</v>
      </c>
      <c r="J1085" s="608">
        <v>50</v>
      </c>
      <c r="K1085" s="642">
        <f t="shared" si="45"/>
        <v>7.1428571428571432</v>
      </c>
      <c r="L1085" s="338" t="s">
        <v>119</v>
      </c>
      <c r="M1085" s="216"/>
      <c r="N1085" s="216"/>
      <c r="O1085" s="216"/>
      <c r="P1085" s="216"/>
      <c r="Q1085" s="216"/>
      <c r="R1085" s="216"/>
      <c r="S1085" s="216"/>
      <c r="T1085" s="216"/>
      <c r="U1085" s="216"/>
      <c r="V1085" s="216"/>
      <c r="W1085" s="216"/>
      <c r="X1085" s="216"/>
    </row>
    <row r="1086" spans="1:24" ht="15" customHeight="1">
      <c r="A1086" s="302" t="s">
        <v>3608</v>
      </c>
      <c r="B1086" s="301" t="s">
        <v>3609</v>
      </c>
      <c r="C1086" s="301" t="s">
        <v>105</v>
      </c>
      <c r="D1086" s="302" t="s">
        <v>3882</v>
      </c>
      <c r="E1086" s="598" t="s">
        <v>3883</v>
      </c>
      <c r="F1086" s="597" t="s">
        <v>635</v>
      </c>
      <c r="G1086" s="304">
        <v>3</v>
      </c>
      <c r="H1086" s="290">
        <v>3</v>
      </c>
      <c r="I1086" s="493">
        <v>3</v>
      </c>
      <c r="J1086" s="493">
        <v>50</v>
      </c>
      <c r="K1086" s="643">
        <f t="shared" si="45"/>
        <v>16.666666666666668</v>
      </c>
      <c r="L1086" s="338" t="s">
        <v>119</v>
      </c>
      <c r="M1086" s="216"/>
      <c r="N1086" s="216"/>
      <c r="O1086" s="216"/>
      <c r="P1086" s="216"/>
      <c r="Q1086" s="216"/>
      <c r="R1086" s="216"/>
      <c r="S1086" s="216"/>
      <c r="T1086" s="216"/>
      <c r="U1086" s="216"/>
      <c r="V1086" s="216"/>
      <c r="W1086" s="216"/>
      <c r="X1086" s="216"/>
    </row>
    <row r="1087" spans="1:24" ht="15" customHeight="1">
      <c r="A1087" s="302" t="s">
        <v>3585</v>
      </c>
      <c r="B1087" s="302" t="s">
        <v>3586</v>
      </c>
      <c r="C1087" s="301" t="s">
        <v>105</v>
      </c>
      <c r="D1087" s="302" t="s">
        <v>3587</v>
      </c>
      <c r="E1087" s="641" t="s">
        <v>3588</v>
      </c>
      <c r="F1087" s="597" t="s">
        <v>635</v>
      </c>
      <c r="G1087" s="290">
        <v>4</v>
      </c>
      <c r="H1087" s="290">
        <v>4</v>
      </c>
      <c r="I1087" s="290">
        <v>4</v>
      </c>
      <c r="J1087" s="608">
        <v>50</v>
      </c>
      <c r="K1087" s="642">
        <f t="shared" si="45"/>
        <v>12.5</v>
      </c>
      <c r="L1087" s="338" t="s">
        <v>119</v>
      </c>
      <c r="M1087" s="216"/>
      <c r="N1087" s="216"/>
      <c r="O1087" s="216"/>
      <c r="P1087" s="216"/>
      <c r="Q1087" s="216"/>
      <c r="R1087" s="216"/>
      <c r="S1087" s="216"/>
      <c r="T1087" s="216"/>
      <c r="U1087" s="216"/>
      <c r="V1087" s="216"/>
      <c r="W1087" s="216"/>
      <c r="X1087" s="216"/>
    </row>
    <row r="1088" spans="1:24" ht="15" customHeight="1">
      <c r="A1088" s="302" t="s">
        <v>3591</v>
      </c>
      <c r="B1088" s="302" t="s">
        <v>3592</v>
      </c>
      <c r="C1088" s="301" t="s">
        <v>105</v>
      </c>
      <c r="D1088" s="302" t="s">
        <v>3597</v>
      </c>
      <c r="E1088" s="641" t="s">
        <v>3598</v>
      </c>
      <c r="F1088" s="597" t="s">
        <v>1338</v>
      </c>
      <c r="G1088" s="290">
        <v>7</v>
      </c>
      <c r="H1088" s="290">
        <v>7</v>
      </c>
      <c r="I1088" s="290">
        <v>7</v>
      </c>
      <c r="J1088" s="608">
        <v>50</v>
      </c>
      <c r="K1088" s="642">
        <f t="shared" si="45"/>
        <v>7.1428571428571432</v>
      </c>
      <c r="L1088" s="338" t="s">
        <v>119</v>
      </c>
      <c r="M1088" s="216"/>
      <c r="N1088" s="216"/>
      <c r="O1088" s="216"/>
      <c r="P1088" s="216"/>
      <c r="Q1088" s="216"/>
      <c r="R1088" s="216"/>
      <c r="S1088" s="216"/>
      <c r="T1088" s="216"/>
      <c r="U1088" s="216"/>
      <c r="V1088" s="216"/>
      <c r="W1088" s="216"/>
      <c r="X1088" s="216"/>
    </row>
    <row r="1089" spans="1:24" ht="15" customHeight="1">
      <c r="A1089" s="302" t="s">
        <v>3884</v>
      </c>
      <c r="B1089" s="302" t="s">
        <v>3885</v>
      </c>
      <c r="C1089" s="301"/>
      <c r="D1089" s="309" t="s">
        <v>3886</v>
      </c>
      <c r="E1089" s="644" t="s">
        <v>3887</v>
      </c>
      <c r="F1089" s="597" t="s">
        <v>230</v>
      </c>
      <c r="G1089" s="326">
        <v>2</v>
      </c>
      <c r="H1089" s="290">
        <v>2</v>
      </c>
      <c r="I1089" s="326">
        <v>2</v>
      </c>
      <c r="J1089" s="610">
        <v>50</v>
      </c>
      <c r="K1089" s="642">
        <f t="shared" si="45"/>
        <v>25</v>
      </c>
      <c r="L1089" s="338" t="s">
        <v>119</v>
      </c>
      <c r="M1089" s="216"/>
      <c r="N1089" s="216"/>
      <c r="O1089" s="216"/>
      <c r="P1089" s="216"/>
      <c r="Q1089" s="216"/>
      <c r="R1089" s="216"/>
      <c r="S1089" s="216"/>
      <c r="T1089" s="216"/>
      <c r="U1089" s="216"/>
      <c r="V1089" s="216"/>
      <c r="W1089" s="216"/>
      <c r="X1089" s="216"/>
    </row>
    <row r="1090" spans="1:24" ht="15" customHeight="1">
      <c r="A1090" s="302" t="s">
        <v>3668</v>
      </c>
      <c r="B1090" s="302" t="s">
        <v>3605</v>
      </c>
      <c r="C1090" s="290" t="s">
        <v>105</v>
      </c>
      <c r="D1090" s="302" t="s">
        <v>3669</v>
      </c>
      <c r="E1090" s="290" t="s">
        <v>3670</v>
      </c>
      <c r="F1090" s="597" t="s">
        <v>2072</v>
      </c>
      <c r="G1090" s="290">
        <v>4</v>
      </c>
      <c r="H1090" s="290">
        <v>4</v>
      </c>
      <c r="I1090" s="290">
        <v>4</v>
      </c>
      <c r="J1090" s="608">
        <v>50</v>
      </c>
      <c r="K1090" s="642">
        <f t="shared" si="45"/>
        <v>12.5</v>
      </c>
      <c r="L1090" s="338" t="s">
        <v>119</v>
      </c>
      <c r="M1090" s="216"/>
      <c r="N1090" s="216"/>
      <c r="O1090" s="216"/>
      <c r="P1090" s="216"/>
      <c r="Q1090" s="216"/>
      <c r="R1090" s="216"/>
      <c r="S1090" s="216"/>
      <c r="T1090" s="216"/>
      <c r="U1090" s="216"/>
      <c r="V1090" s="216"/>
      <c r="W1090" s="216"/>
      <c r="X1090" s="216"/>
    </row>
    <row r="1091" spans="1:24" ht="15" customHeight="1">
      <c r="A1091" s="302" t="s">
        <v>3585</v>
      </c>
      <c r="B1091" s="302" t="s">
        <v>3586</v>
      </c>
      <c r="C1091" s="301" t="s">
        <v>105</v>
      </c>
      <c r="D1091" s="302" t="s">
        <v>3589</v>
      </c>
      <c r="E1091" s="641" t="s">
        <v>3590</v>
      </c>
      <c r="F1091" s="597" t="s">
        <v>635</v>
      </c>
      <c r="G1091" s="290">
        <v>4</v>
      </c>
      <c r="H1091" s="290">
        <v>4</v>
      </c>
      <c r="I1091" s="290">
        <v>4</v>
      </c>
      <c r="J1091" s="608">
        <v>50</v>
      </c>
      <c r="K1091" s="642">
        <f t="shared" si="45"/>
        <v>12.5</v>
      </c>
      <c r="L1091" s="338" t="s">
        <v>119</v>
      </c>
      <c r="M1091" s="216"/>
      <c r="N1091" s="216"/>
      <c r="O1091" s="216"/>
      <c r="P1091" s="216"/>
      <c r="Q1091" s="216"/>
      <c r="R1091" s="216"/>
      <c r="S1091" s="216"/>
      <c r="T1091" s="216"/>
      <c r="U1091" s="216"/>
      <c r="V1091" s="216"/>
      <c r="W1091" s="216"/>
      <c r="X1091" s="216"/>
    </row>
    <row r="1092" spans="1:24" ht="15" customHeight="1">
      <c r="A1092" s="302" t="s">
        <v>3674</v>
      </c>
      <c r="B1092" s="302" t="s">
        <v>3582</v>
      </c>
      <c r="C1092" s="290" t="s">
        <v>105</v>
      </c>
      <c r="D1092" s="302" t="s">
        <v>3675</v>
      </c>
      <c r="E1092" s="290" t="s">
        <v>3676</v>
      </c>
      <c r="F1092" s="597" t="s">
        <v>230</v>
      </c>
      <c r="G1092" s="290">
        <v>6</v>
      </c>
      <c r="H1092" s="290">
        <v>6</v>
      </c>
      <c r="I1092" s="290">
        <v>6</v>
      </c>
      <c r="J1092" s="608">
        <v>50</v>
      </c>
      <c r="K1092" s="642">
        <f t="shared" si="45"/>
        <v>8.3333333333333339</v>
      </c>
      <c r="L1092" s="338" t="s">
        <v>119</v>
      </c>
      <c r="M1092" s="216"/>
      <c r="N1092" s="216"/>
      <c r="O1092" s="216"/>
      <c r="P1092" s="216"/>
      <c r="Q1092" s="216"/>
      <c r="R1092" s="216"/>
      <c r="S1092" s="216"/>
      <c r="T1092" s="216"/>
      <c r="U1092" s="216"/>
      <c r="V1092" s="216"/>
      <c r="W1092" s="216"/>
      <c r="X1092" s="216"/>
    </row>
    <row r="1093" spans="1:24" ht="15" customHeight="1">
      <c r="A1093" s="302" t="s">
        <v>3600</v>
      </c>
      <c r="B1093" s="302" t="s">
        <v>3601</v>
      </c>
      <c r="C1093" s="301" t="s">
        <v>105</v>
      </c>
      <c r="D1093" s="302" t="s">
        <v>3602</v>
      </c>
      <c r="E1093" s="596" t="s">
        <v>3603</v>
      </c>
      <c r="F1093" s="302" t="s">
        <v>1338</v>
      </c>
      <c r="G1093" s="566">
        <v>7</v>
      </c>
      <c r="H1093" s="566">
        <v>7</v>
      </c>
      <c r="I1093" s="566">
        <v>7</v>
      </c>
      <c r="J1093" s="581">
        <v>50</v>
      </c>
      <c r="K1093" s="582">
        <f>J1093/I1093</f>
        <v>7.1428571428571432</v>
      </c>
      <c r="L1093" s="338" t="s">
        <v>119</v>
      </c>
      <c r="M1093" s="216"/>
      <c r="N1093" s="216"/>
      <c r="O1093" s="216"/>
      <c r="P1093" s="216"/>
      <c r="Q1093" s="216"/>
      <c r="R1093" s="216"/>
      <c r="S1093" s="216"/>
      <c r="T1093" s="216"/>
      <c r="U1093" s="216"/>
      <c r="V1093" s="216"/>
      <c r="W1093" s="216"/>
      <c r="X1093" s="216"/>
    </row>
    <row r="1094" spans="1:24" ht="15" customHeight="1">
      <c r="A1094" s="302" t="s">
        <v>3591</v>
      </c>
      <c r="B1094" s="302" t="s">
        <v>3592</v>
      </c>
      <c r="C1094" s="301" t="s">
        <v>105</v>
      </c>
      <c r="D1094" s="302" t="s">
        <v>3593</v>
      </c>
      <c r="E1094" s="645" t="s">
        <v>3594</v>
      </c>
      <c r="F1094" s="597" t="s">
        <v>3595</v>
      </c>
      <c r="G1094" s="290">
        <v>7</v>
      </c>
      <c r="H1094" s="290">
        <v>7</v>
      </c>
      <c r="I1094" s="290">
        <v>7</v>
      </c>
      <c r="J1094" s="608">
        <v>50</v>
      </c>
      <c r="K1094" s="642">
        <f t="shared" ref="K1094:K1095" si="46">J1094/H1094</f>
        <v>7.1428571428571432</v>
      </c>
      <c r="L1094" s="338" t="s">
        <v>119</v>
      </c>
      <c r="M1094" s="216"/>
      <c r="N1094" s="216"/>
      <c r="O1094" s="216"/>
      <c r="P1094" s="216"/>
      <c r="Q1094" s="216"/>
      <c r="R1094" s="216"/>
      <c r="S1094" s="216"/>
      <c r="T1094" s="216"/>
      <c r="U1094" s="216"/>
      <c r="V1094" s="216"/>
      <c r="W1094" s="216"/>
      <c r="X1094" s="216"/>
    </row>
    <row r="1095" spans="1:24" ht="15" customHeight="1">
      <c r="A1095" s="302" t="s">
        <v>3608</v>
      </c>
      <c r="B1095" s="301" t="s">
        <v>3609</v>
      </c>
      <c r="C1095" s="301" t="s">
        <v>105</v>
      </c>
      <c r="D1095" s="301" t="s">
        <v>3610</v>
      </c>
      <c r="E1095" s="646" t="s">
        <v>3611</v>
      </c>
      <c r="F1095" s="597" t="s">
        <v>635</v>
      </c>
      <c r="G1095" s="290">
        <v>3</v>
      </c>
      <c r="H1095" s="290">
        <v>3</v>
      </c>
      <c r="I1095" s="290">
        <v>3</v>
      </c>
      <c r="J1095" s="608">
        <v>50</v>
      </c>
      <c r="K1095" s="642">
        <f t="shared" si="46"/>
        <v>16.666666666666668</v>
      </c>
      <c r="L1095" s="338" t="s">
        <v>119</v>
      </c>
      <c r="M1095" s="216"/>
      <c r="N1095" s="216"/>
      <c r="O1095" s="216"/>
      <c r="P1095" s="216"/>
      <c r="Q1095" s="216"/>
      <c r="R1095" s="216"/>
      <c r="S1095" s="216"/>
      <c r="T1095" s="216"/>
      <c r="U1095" s="216"/>
      <c r="V1095" s="216"/>
      <c r="W1095" s="216"/>
      <c r="X1095" s="216"/>
    </row>
    <row r="1096" spans="1:24" ht="15" customHeight="1">
      <c r="A1096" s="302" t="s">
        <v>3686</v>
      </c>
      <c r="B1096" s="302" t="s">
        <v>3687</v>
      </c>
      <c r="C1096" s="290" t="s">
        <v>105</v>
      </c>
      <c r="D1096" s="302" t="s">
        <v>3691</v>
      </c>
      <c r="E1096" s="290" t="s">
        <v>3692</v>
      </c>
      <c r="F1096" s="597" t="s">
        <v>3690</v>
      </c>
      <c r="G1096" s="290">
        <v>4</v>
      </c>
      <c r="H1096" s="290">
        <v>4</v>
      </c>
      <c r="I1096" s="290">
        <v>4</v>
      </c>
      <c r="J1096" s="608">
        <v>50</v>
      </c>
      <c r="K1096" s="642">
        <v>12.5</v>
      </c>
      <c r="L1096" s="338" t="s">
        <v>119</v>
      </c>
      <c r="M1096" s="216"/>
      <c r="N1096" s="216"/>
      <c r="O1096" s="216"/>
      <c r="P1096" s="216"/>
      <c r="Q1096" s="216"/>
      <c r="R1096" s="216"/>
      <c r="S1096" s="216"/>
      <c r="T1096" s="216"/>
      <c r="U1096" s="216"/>
      <c r="V1096" s="216"/>
      <c r="W1096" s="216"/>
      <c r="X1096" s="216"/>
    </row>
    <row r="1097" spans="1:24" ht="15" customHeight="1">
      <c r="A1097" s="302" t="s">
        <v>3686</v>
      </c>
      <c r="B1097" s="302" t="s">
        <v>3687</v>
      </c>
      <c r="C1097" s="290" t="s">
        <v>105</v>
      </c>
      <c r="D1097" s="302" t="s">
        <v>3688</v>
      </c>
      <c r="E1097" s="641" t="s">
        <v>3689</v>
      </c>
      <c r="F1097" s="597" t="s">
        <v>3690</v>
      </c>
      <c r="G1097" s="290">
        <v>4</v>
      </c>
      <c r="H1097" s="290">
        <v>4</v>
      </c>
      <c r="I1097" s="290">
        <v>4</v>
      </c>
      <c r="J1097" s="608">
        <v>50</v>
      </c>
      <c r="K1097" s="642">
        <v>12.5</v>
      </c>
      <c r="L1097" s="338" t="s">
        <v>119</v>
      </c>
      <c r="M1097" s="216"/>
      <c r="N1097" s="216"/>
      <c r="O1097" s="216"/>
      <c r="P1097" s="216"/>
      <c r="Q1097" s="216"/>
      <c r="R1097" s="216"/>
      <c r="S1097" s="216"/>
      <c r="T1097" s="216"/>
      <c r="U1097" s="216"/>
      <c r="V1097" s="216"/>
      <c r="W1097" s="216"/>
      <c r="X1097" s="216"/>
    </row>
    <row r="1098" spans="1:24" ht="15" customHeight="1">
      <c r="A1098" s="302" t="s">
        <v>3718</v>
      </c>
      <c r="B1098" s="302" t="s">
        <v>3687</v>
      </c>
      <c r="C1098" s="290" t="s">
        <v>105</v>
      </c>
      <c r="D1098" s="302" t="s">
        <v>3719</v>
      </c>
      <c r="E1098" s="290" t="s">
        <v>3720</v>
      </c>
      <c r="F1098" s="597" t="s">
        <v>230</v>
      </c>
      <c r="G1098" s="290">
        <v>4</v>
      </c>
      <c r="H1098" s="290">
        <v>4</v>
      </c>
      <c r="I1098" s="290">
        <v>4</v>
      </c>
      <c r="J1098" s="608">
        <v>50</v>
      </c>
      <c r="K1098" s="642">
        <f>J1098/H1098</f>
        <v>12.5</v>
      </c>
      <c r="L1098" s="338" t="s">
        <v>119</v>
      </c>
      <c r="M1098" s="216"/>
      <c r="N1098" s="216"/>
      <c r="O1098" s="216"/>
      <c r="P1098" s="216"/>
      <c r="Q1098" s="216"/>
      <c r="R1098" s="216"/>
      <c r="S1098" s="216"/>
      <c r="T1098" s="216"/>
      <c r="U1098" s="216"/>
      <c r="V1098" s="216"/>
      <c r="W1098" s="216"/>
      <c r="X1098" s="216"/>
    </row>
    <row r="1099" spans="1:24" ht="15" customHeight="1">
      <c r="A1099" s="134" t="s">
        <v>3888</v>
      </c>
      <c r="B1099" s="91" t="s">
        <v>3582</v>
      </c>
      <c r="C1099" s="134" t="s">
        <v>105</v>
      </c>
      <c r="D1099" s="134" t="s">
        <v>3889</v>
      </c>
      <c r="E1099" s="99" t="s">
        <v>3890</v>
      </c>
      <c r="F1099" s="238" t="s">
        <v>2133</v>
      </c>
      <c r="G1099" s="99">
        <v>6</v>
      </c>
      <c r="H1099" s="99">
        <v>6</v>
      </c>
      <c r="I1099" s="99">
        <v>6</v>
      </c>
      <c r="J1099" s="385">
        <v>50</v>
      </c>
      <c r="K1099" s="114">
        <f>J1099/I1099</f>
        <v>8.3333333333333339</v>
      </c>
      <c r="L1099" s="338" t="s">
        <v>1005</v>
      </c>
      <c r="M1099" s="216"/>
      <c r="N1099" s="216"/>
      <c r="O1099" s="216"/>
      <c r="P1099" s="216"/>
      <c r="Q1099" s="216"/>
      <c r="R1099" s="216"/>
      <c r="S1099" s="216"/>
      <c r="T1099" s="216"/>
      <c r="U1099" s="216"/>
      <c r="V1099" s="216"/>
      <c r="W1099" s="216"/>
      <c r="X1099" s="216"/>
    </row>
    <row r="1100" spans="1:24" ht="15" customHeight="1">
      <c r="A1100" s="134" t="s">
        <v>3891</v>
      </c>
      <c r="B1100" s="134" t="s">
        <v>3536</v>
      </c>
      <c r="C1100" s="134" t="s">
        <v>105</v>
      </c>
      <c r="D1100" s="134" t="s">
        <v>3537</v>
      </c>
      <c r="E1100" s="99" t="s">
        <v>1016</v>
      </c>
      <c r="F1100" s="238" t="s">
        <v>1338</v>
      </c>
      <c r="G1100" s="99">
        <v>4</v>
      </c>
      <c r="H1100" s="99">
        <v>4</v>
      </c>
      <c r="I1100" s="99">
        <v>4</v>
      </c>
      <c r="J1100" s="385">
        <v>50</v>
      </c>
      <c r="K1100" s="114">
        <v>12.5</v>
      </c>
      <c r="L1100" s="338" t="s">
        <v>1005</v>
      </c>
      <c r="M1100" s="216"/>
      <c r="N1100" s="216"/>
      <c r="O1100" s="216"/>
      <c r="P1100" s="216"/>
      <c r="Q1100" s="216"/>
      <c r="R1100" s="216"/>
      <c r="S1100" s="216"/>
      <c r="T1100" s="216"/>
      <c r="U1100" s="216"/>
      <c r="V1100" s="216"/>
      <c r="W1100" s="216"/>
      <c r="X1100" s="216"/>
    </row>
    <row r="1101" spans="1:24" ht="15" customHeight="1">
      <c r="A1101" s="302" t="s">
        <v>3546</v>
      </c>
      <c r="B1101" s="302" t="s">
        <v>3547</v>
      </c>
      <c r="C1101" s="301" t="s">
        <v>105</v>
      </c>
      <c r="D1101" s="302" t="s">
        <v>3548</v>
      </c>
      <c r="E1101" s="490" t="s">
        <v>3549</v>
      </c>
      <c r="F1101" s="290" t="s">
        <v>1338</v>
      </c>
      <c r="G1101" s="566">
        <v>4</v>
      </c>
      <c r="H1101" s="566">
        <v>4</v>
      </c>
      <c r="I1101" s="566">
        <v>4</v>
      </c>
      <c r="J1101" s="512">
        <v>50</v>
      </c>
      <c r="K1101" s="290">
        <v>12.5</v>
      </c>
      <c r="L1101" s="338" t="s">
        <v>1005</v>
      </c>
      <c r="M1101" s="216"/>
      <c r="N1101" s="216"/>
      <c r="O1101" s="216"/>
      <c r="P1101" s="216"/>
      <c r="Q1101" s="216"/>
      <c r="R1101" s="216"/>
      <c r="S1101" s="216"/>
      <c r="T1101" s="216"/>
      <c r="U1101" s="216"/>
      <c r="V1101" s="216"/>
      <c r="W1101" s="216"/>
      <c r="X1101" s="216"/>
    </row>
    <row r="1102" spans="1:24" ht="15" customHeight="1">
      <c r="A1102" s="134" t="s">
        <v>3538</v>
      </c>
      <c r="B1102" s="134" t="s">
        <v>3539</v>
      </c>
      <c r="C1102" s="133" t="s">
        <v>105</v>
      </c>
      <c r="D1102" s="134" t="s">
        <v>3540</v>
      </c>
      <c r="E1102" s="426" t="s">
        <v>3541</v>
      </c>
      <c r="F1102" s="238" t="s">
        <v>1338</v>
      </c>
      <c r="G1102" s="99">
        <v>4</v>
      </c>
      <c r="H1102" s="99">
        <v>4</v>
      </c>
      <c r="I1102" s="99">
        <v>4</v>
      </c>
      <c r="J1102" s="385">
        <v>50</v>
      </c>
      <c r="K1102" s="114">
        <v>12.5</v>
      </c>
      <c r="L1102" s="338" t="s">
        <v>1005</v>
      </c>
      <c r="M1102" s="216"/>
      <c r="N1102" s="216"/>
      <c r="O1102" s="216"/>
      <c r="P1102" s="216"/>
      <c r="Q1102" s="216"/>
      <c r="R1102" s="216"/>
      <c r="S1102" s="216"/>
      <c r="T1102" s="216"/>
      <c r="U1102" s="216"/>
      <c r="V1102" s="216"/>
      <c r="W1102" s="216"/>
      <c r="X1102" s="216"/>
    </row>
    <row r="1103" spans="1:24" ht="15" customHeight="1">
      <c r="A1103" s="134" t="s">
        <v>3892</v>
      </c>
      <c r="B1103" s="586" t="s">
        <v>3893</v>
      </c>
      <c r="C1103" s="133" t="s">
        <v>105</v>
      </c>
      <c r="D1103" s="134" t="s">
        <v>3894</v>
      </c>
      <c r="E1103" s="647" t="s">
        <v>942</v>
      </c>
      <c r="F1103" s="134" t="s">
        <v>1338</v>
      </c>
      <c r="G1103" s="379">
        <v>1</v>
      </c>
      <c r="H1103" s="379">
        <v>1</v>
      </c>
      <c r="I1103" s="379">
        <v>4</v>
      </c>
      <c r="J1103" s="272">
        <v>50</v>
      </c>
      <c r="K1103" s="134">
        <f t="shared" ref="K1103:K1232" si="47">J1103/G1103</f>
        <v>50</v>
      </c>
      <c r="L1103" s="338" t="s">
        <v>111</v>
      </c>
      <c r="M1103" s="216"/>
      <c r="N1103" s="216"/>
      <c r="O1103" s="216"/>
      <c r="P1103" s="216"/>
      <c r="Q1103" s="216"/>
      <c r="R1103" s="216"/>
      <c r="S1103" s="216"/>
      <c r="T1103" s="216"/>
      <c r="U1103" s="216"/>
      <c r="V1103" s="216"/>
      <c r="W1103" s="216"/>
      <c r="X1103" s="216"/>
    </row>
    <row r="1104" spans="1:24" ht="15" customHeight="1">
      <c r="A1104" s="134" t="s">
        <v>3892</v>
      </c>
      <c r="B1104" s="586" t="s">
        <v>3893</v>
      </c>
      <c r="C1104" s="133" t="s">
        <v>105</v>
      </c>
      <c r="D1104" s="134" t="s">
        <v>3895</v>
      </c>
      <c r="E1104" s="647" t="s">
        <v>3896</v>
      </c>
      <c r="F1104" s="134" t="s">
        <v>1338</v>
      </c>
      <c r="G1104" s="379">
        <v>1</v>
      </c>
      <c r="H1104" s="379">
        <v>1</v>
      </c>
      <c r="I1104" s="379">
        <v>4</v>
      </c>
      <c r="J1104" s="272">
        <v>50</v>
      </c>
      <c r="K1104" s="134">
        <f t="shared" si="47"/>
        <v>50</v>
      </c>
      <c r="L1104" s="338" t="s">
        <v>111</v>
      </c>
      <c r="M1104" s="216"/>
      <c r="N1104" s="216"/>
      <c r="O1104" s="216"/>
      <c r="P1104" s="216"/>
      <c r="Q1104" s="216"/>
      <c r="R1104" s="216"/>
      <c r="S1104" s="216"/>
      <c r="T1104" s="216"/>
      <c r="U1104" s="216"/>
      <c r="V1104" s="216"/>
      <c r="W1104" s="216"/>
      <c r="X1104" s="216"/>
    </row>
    <row r="1105" spans="1:24" ht="15" customHeight="1">
      <c r="A1105" s="134" t="s">
        <v>3892</v>
      </c>
      <c r="B1105" s="586" t="s">
        <v>3893</v>
      </c>
      <c r="C1105" s="133" t="s">
        <v>105</v>
      </c>
      <c r="D1105" s="134" t="s">
        <v>3897</v>
      </c>
      <c r="E1105" s="647" t="s">
        <v>3898</v>
      </c>
      <c r="F1105" s="134" t="s">
        <v>1338</v>
      </c>
      <c r="G1105" s="379">
        <v>1</v>
      </c>
      <c r="H1105" s="379">
        <v>1</v>
      </c>
      <c r="I1105" s="379">
        <v>4</v>
      </c>
      <c r="J1105" s="272">
        <v>50</v>
      </c>
      <c r="K1105" s="134">
        <f t="shared" si="47"/>
        <v>50</v>
      </c>
      <c r="L1105" s="338" t="s">
        <v>111</v>
      </c>
      <c r="M1105" s="216"/>
      <c r="N1105" s="216"/>
      <c r="O1105" s="216"/>
      <c r="P1105" s="216"/>
      <c r="Q1105" s="216"/>
      <c r="R1105" s="216"/>
      <c r="S1105" s="216"/>
      <c r="T1105" s="216"/>
      <c r="U1105" s="216"/>
      <c r="V1105" s="216"/>
      <c r="W1105" s="216"/>
      <c r="X1105" s="216"/>
    </row>
    <row r="1106" spans="1:24" ht="15" customHeight="1">
      <c r="A1106" s="134" t="s">
        <v>3892</v>
      </c>
      <c r="B1106" s="586" t="s">
        <v>3893</v>
      </c>
      <c r="C1106" s="133" t="s">
        <v>105</v>
      </c>
      <c r="D1106" s="134" t="s">
        <v>3899</v>
      </c>
      <c r="E1106" s="647" t="s">
        <v>3900</v>
      </c>
      <c r="F1106" s="134" t="s">
        <v>1338</v>
      </c>
      <c r="G1106" s="379">
        <v>1</v>
      </c>
      <c r="H1106" s="379">
        <v>1</v>
      </c>
      <c r="I1106" s="379">
        <v>4</v>
      </c>
      <c r="J1106" s="272">
        <v>50</v>
      </c>
      <c r="K1106" s="134">
        <f t="shared" si="47"/>
        <v>50</v>
      </c>
      <c r="L1106" s="338" t="s">
        <v>111</v>
      </c>
      <c r="M1106" s="216"/>
      <c r="N1106" s="216"/>
      <c r="O1106" s="216"/>
      <c r="P1106" s="216"/>
      <c r="Q1106" s="216"/>
      <c r="R1106" s="216"/>
      <c r="S1106" s="216"/>
      <c r="T1106" s="216"/>
      <c r="U1106" s="216"/>
      <c r="V1106" s="216"/>
      <c r="W1106" s="216"/>
      <c r="X1106" s="216"/>
    </row>
    <row r="1107" spans="1:24" ht="15" customHeight="1">
      <c r="A1107" s="134" t="s">
        <v>3892</v>
      </c>
      <c r="B1107" s="586" t="s">
        <v>3893</v>
      </c>
      <c r="C1107" s="133" t="s">
        <v>105</v>
      </c>
      <c r="D1107" s="134" t="s">
        <v>3901</v>
      </c>
      <c r="E1107" s="647" t="s">
        <v>3902</v>
      </c>
      <c r="F1107" s="134" t="s">
        <v>1338</v>
      </c>
      <c r="G1107" s="379">
        <v>1</v>
      </c>
      <c r="H1107" s="379">
        <v>1</v>
      </c>
      <c r="I1107" s="379">
        <v>4</v>
      </c>
      <c r="J1107" s="272">
        <v>50</v>
      </c>
      <c r="K1107" s="134">
        <f t="shared" si="47"/>
        <v>50</v>
      </c>
      <c r="L1107" s="338" t="s">
        <v>111</v>
      </c>
      <c r="M1107" s="216"/>
      <c r="N1107" s="216"/>
      <c r="O1107" s="216"/>
      <c r="P1107" s="216"/>
      <c r="Q1107" s="216"/>
      <c r="R1107" s="216"/>
      <c r="S1107" s="216"/>
      <c r="T1107" s="216"/>
      <c r="U1107" s="216"/>
      <c r="V1107" s="216"/>
      <c r="W1107" s="216"/>
      <c r="X1107" s="216"/>
    </row>
    <row r="1108" spans="1:24" ht="15" customHeight="1">
      <c r="A1108" s="134" t="s">
        <v>3892</v>
      </c>
      <c r="B1108" s="586" t="s">
        <v>3893</v>
      </c>
      <c r="C1108" s="133" t="s">
        <v>105</v>
      </c>
      <c r="D1108" s="134" t="s">
        <v>3903</v>
      </c>
      <c r="E1108" s="647" t="s">
        <v>3904</v>
      </c>
      <c r="F1108" s="134" t="s">
        <v>1338</v>
      </c>
      <c r="G1108" s="379">
        <v>1</v>
      </c>
      <c r="H1108" s="379">
        <v>1</v>
      </c>
      <c r="I1108" s="379">
        <v>4</v>
      </c>
      <c r="J1108" s="272">
        <v>50</v>
      </c>
      <c r="K1108" s="134">
        <f t="shared" si="47"/>
        <v>50</v>
      </c>
      <c r="L1108" s="338" t="s">
        <v>111</v>
      </c>
      <c r="M1108" s="216"/>
      <c r="N1108" s="216"/>
      <c r="O1108" s="216"/>
      <c r="P1108" s="216"/>
      <c r="Q1108" s="216"/>
      <c r="R1108" s="216"/>
      <c r="S1108" s="216"/>
      <c r="T1108" s="216"/>
      <c r="U1108" s="216"/>
      <c r="V1108" s="216"/>
      <c r="W1108" s="216"/>
      <c r="X1108" s="216"/>
    </row>
    <row r="1109" spans="1:24" ht="15" customHeight="1">
      <c r="A1109" s="134" t="s">
        <v>3892</v>
      </c>
      <c r="B1109" s="586" t="s">
        <v>3893</v>
      </c>
      <c r="C1109" s="133" t="s">
        <v>105</v>
      </c>
      <c r="D1109" s="134" t="s">
        <v>3905</v>
      </c>
      <c r="E1109" s="647" t="s">
        <v>3906</v>
      </c>
      <c r="F1109" s="134" t="s">
        <v>1338</v>
      </c>
      <c r="G1109" s="379">
        <v>1</v>
      </c>
      <c r="H1109" s="379">
        <v>1</v>
      </c>
      <c r="I1109" s="379">
        <v>4</v>
      </c>
      <c r="J1109" s="272">
        <v>50</v>
      </c>
      <c r="K1109" s="134">
        <f t="shared" si="47"/>
        <v>50</v>
      </c>
      <c r="L1109" s="338" t="s">
        <v>111</v>
      </c>
      <c r="M1109" s="216"/>
      <c r="N1109" s="216"/>
      <c r="O1109" s="216"/>
      <c r="P1109" s="216"/>
      <c r="Q1109" s="216"/>
      <c r="R1109" s="216"/>
      <c r="S1109" s="216"/>
      <c r="T1109" s="216"/>
      <c r="U1109" s="216"/>
      <c r="V1109" s="216"/>
      <c r="W1109" s="216"/>
      <c r="X1109" s="216"/>
    </row>
    <row r="1110" spans="1:24" ht="15" customHeight="1">
      <c r="A1110" s="134" t="s">
        <v>3892</v>
      </c>
      <c r="B1110" s="586" t="s">
        <v>3893</v>
      </c>
      <c r="C1110" s="133" t="s">
        <v>105</v>
      </c>
      <c r="D1110" s="134" t="s">
        <v>3907</v>
      </c>
      <c r="E1110" s="647" t="s">
        <v>3908</v>
      </c>
      <c r="F1110" s="134" t="s">
        <v>1338</v>
      </c>
      <c r="G1110" s="379">
        <v>1</v>
      </c>
      <c r="H1110" s="379">
        <v>1</v>
      </c>
      <c r="I1110" s="379">
        <v>4</v>
      </c>
      <c r="J1110" s="272">
        <v>50</v>
      </c>
      <c r="K1110" s="134">
        <f t="shared" si="47"/>
        <v>50</v>
      </c>
      <c r="L1110" s="338" t="s">
        <v>111</v>
      </c>
      <c r="M1110" s="216"/>
      <c r="N1110" s="216"/>
      <c r="O1110" s="216"/>
      <c r="P1110" s="216"/>
      <c r="Q1110" s="216"/>
      <c r="R1110" s="216"/>
      <c r="S1110" s="216"/>
      <c r="T1110" s="216"/>
      <c r="U1110" s="216"/>
      <c r="V1110" s="216"/>
      <c r="W1110" s="216"/>
      <c r="X1110" s="216"/>
    </row>
    <row r="1111" spans="1:24" ht="15" customHeight="1">
      <c r="A1111" s="134" t="s">
        <v>3892</v>
      </c>
      <c r="B1111" s="586" t="s">
        <v>3893</v>
      </c>
      <c r="C1111" s="133" t="s">
        <v>105</v>
      </c>
      <c r="D1111" s="134" t="s">
        <v>3909</v>
      </c>
      <c r="E1111" s="647" t="s">
        <v>3910</v>
      </c>
      <c r="F1111" s="134" t="s">
        <v>1338</v>
      </c>
      <c r="G1111" s="379">
        <v>1</v>
      </c>
      <c r="H1111" s="379">
        <v>1</v>
      </c>
      <c r="I1111" s="379">
        <v>4</v>
      </c>
      <c r="J1111" s="272">
        <v>50</v>
      </c>
      <c r="K1111" s="134">
        <f t="shared" si="47"/>
        <v>50</v>
      </c>
      <c r="L1111" s="338" t="s">
        <v>111</v>
      </c>
      <c r="M1111" s="216"/>
      <c r="N1111" s="216"/>
      <c r="O1111" s="216"/>
      <c r="P1111" s="216"/>
      <c r="Q1111" s="216"/>
      <c r="R1111" s="216"/>
      <c r="S1111" s="216"/>
      <c r="T1111" s="216"/>
      <c r="U1111" s="216"/>
      <c r="V1111" s="216"/>
      <c r="W1111" s="216"/>
      <c r="X1111" s="216"/>
    </row>
    <row r="1112" spans="1:24" ht="15" customHeight="1">
      <c r="A1112" s="134" t="s">
        <v>3892</v>
      </c>
      <c r="B1112" s="586" t="s">
        <v>3893</v>
      </c>
      <c r="C1112" s="133" t="s">
        <v>105</v>
      </c>
      <c r="D1112" s="134" t="s">
        <v>3911</v>
      </c>
      <c r="E1112" s="647" t="s">
        <v>3912</v>
      </c>
      <c r="F1112" s="134" t="s">
        <v>1338</v>
      </c>
      <c r="G1112" s="379">
        <v>1</v>
      </c>
      <c r="H1112" s="379">
        <v>1</v>
      </c>
      <c r="I1112" s="379">
        <v>4</v>
      </c>
      <c r="J1112" s="272">
        <v>50</v>
      </c>
      <c r="K1112" s="134">
        <f t="shared" si="47"/>
        <v>50</v>
      </c>
      <c r="L1112" s="338" t="s">
        <v>111</v>
      </c>
      <c r="M1112" s="216"/>
      <c r="N1112" s="216"/>
      <c r="O1112" s="216"/>
      <c r="P1112" s="216"/>
      <c r="Q1112" s="216"/>
      <c r="R1112" s="216"/>
      <c r="S1112" s="216"/>
      <c r="T1112" s="216"/>
      <c r="U1112" s="216"/>
      <c r="V1112" s="216"/>
      <c r="W1112" s="216"/>
      <c r="X1112" s="216"/>
    </row>
    <row r="1113" spans="1:24" ht="15" customHeight="1">
      <c r="A1113" s="134" t="s">
        <v>3892</v>
      </c>
      <c r="B1113" s="586" t="s">
        <v>3893</v>
      </c>
      <c r="C1113" s="133" t="s">
        <v>105</v>
      </c>
      <c r="D1113" s="134" t="s">
        <v>3913</v>
      </c>
      <c r="E1113" s="647" t="s">
        <v>3914</v>
      </c>
      <c r="F1113" s="134" t="s">
        <v>1338</v>
      </c>
      <c r="G1113" s="379">
        <v>1</v>
      </c>
      <c r="H1113" s="379">
        <v>1</v>
      </c>
      <c r="I1113" s="379">
        <v>4</v>
      </c>
      <c r="J1113" s="272">
        <v>50</v>
      </c>
      <c r="K1113" s="134">
        <f t="shared" si="47"/>
        <v>50</v>
      </c>
      <c r="L1113" s="338" t="s">
        <v>111</v>
      </c>
      <c r="M1113" s="216"/>
      <c r="N1113" s="216"/>
      <c r="O1113" s="216"/>
      <c r="P1113" s="216"/>
      <c r="Q1113" s="216"/>
      <c r="R1113" s="216"/>
      <c r="S1113" s="216"/>
      <c r="T1113" s="216"/>
      <c r="U1113" s="216"/>
      <c r="V1113" s="216"/>
      <c r="W1113" s="216"/>
      <c r="X1113" s="216"/>
    </row>
    <row r="1114" spans="1:24" ht="15" customHeight="1">
      <c r="A1114" s="134" t="s">
        <v>3892</v>
      </c>
      <c r="B1114" s="586" t="s">
        <v>3893</v>
      </c>
      <c r="C1114" s="133" t="s">
        <v>105</v>
      </c>
      <c r="D1114" s="134" t="s">
        <v>3915</v>
      </c>
      <c r="E1114" s="647" t="s">
        <v>3916</v>
      </c>
      <c r="F1114" s="134" t="s">
        <v>1338</v>
      </c>
      <c r="G1114" s="379">
        <v>1</v>
      </c>
      <c r="H1114" s="379">
        <v>1</v>
      </c>
      <c r="I1114" s="379">
        <v>4</v>
      </c>
      <c r="J1114" s="272">
        <v>50</v>
      </c>
      <c r="K1114" s="134">
        <f t="shared" si="47"/>
        <v>50</v>
      </c>
      <c r="L1114" s="338" t="s">
        <v>111</v>
      </c>
      <c r="M1114" s="216"/>
      <c r="N1114" s="216"/>
      <c r="O1114" s="216"/>
      <c r="P1114" s="216"/>
      <c r="Q1114" s="216"/>
      <c r="R1114" s="216"/>
      <c r="S1114" s="216"/>
      <c r="T1114" s="216"/>
      <c r="U1114" s="216"/>
      <c r="V1114" s="216"/>
      <c r="W1114" s="216"/>
      <c r="X1114" s="216"/>
    </row>
    <row r="1115" spans="1:24" ht="15" customHeight="1">
      <c r="A1115" s="134" t="s">
        <v>3892</v>
      </c>
      <c r="B1115" s="586" t="s">
        <v>3893</v>
      </c>
      <c r="C1115" s="133" t="s">
        <v>105</v>
      </c>
      <c r="D1115" s="134" t="s">
        <v>3917</v>
      </c>
      <c r="E1115" s="647" t="s">
        <v>3918</v>
      </c>
      <c r="F1115" s="134" t="s">
        <v>1338</v>
      </c>
      <c r="G1115" s="379">
        <v>1</v>
      </c>
      <c r="H1115" s="379">
        <v>1</v>
      </c>
      <c r="I1115" s="379">
        <v>4</v>
      </c>
      <c r="J1115" s="272">
        <v>50</v>
      </c>
      <c r="K1115" s="134">
        <f t="shared" si="47"/>
        <v>50</v>
      </c>
      <c r="L1115" s="338" t="s">
        <v>111</v>
      </c>
      <c r="M1115" s="216"/>
      <c r="N1115" s="216"/>
      <c r="O1115" s="216"/>
      <c r="P1115" s="216"/>
      <c r="Q1115" s="216"/>
      <c r="R1115" s="216"/>
      <c r="S1115" s="216"/>
      <c r="T1115" s="216"/>
      <c r="U1115" s="216"/>
      <c r="V1115" s="216"/>
      <c r="W1115" s="216"/>
      <c r="X1115" s="216"/>
    </row>
    <row r="1116" spans="1:24" ht="15" customHeight="1">
      <c r="A1116" s="134" t="s">
        <v>3892</v>
      </c>
      <c r="B1116" s="586" t="s">
        <v>3893</v>
      </c>
      <c r="C1116" s="133" t="s">
        <v>105</v>
      </c>
      <c r="D1116" s="134" t="s">
        <v>3919</v>
      </c>
      <c r="E1116" s="647" t="s">
        <v>3920</v>
      </c>
      <c r="F1116" s="134" t="s">
        <v>1338</v>
      </c>
      <c r="G1116" s="379">
        <v>1</v>
      </c>
      <c r="H1116" s="379">
        <v>1</v>
      </c>
      <c r="I1116" s="379">
        <v>4</v>
      </c>
      <c r="J1116" s="272">
        <v>50</v>
      </c>
      <c r="K1116" s="134">
        <f t="shared" si="47"/>
        <v>50</v>
      </c>
      <c r="L1116" s="338" t="s">
        <v>111</v>
      </c>
      <c r="M1116" s="216"/>
      <c r="N1116" s="216"/>
      <c r="O1116" s="216"/>
      <c r="P1116" s="216"/>
      <c r="Q1116" s="216"/>
      <c r="R1116" s="216"/>
      <c r="S1116" s="216"/>
      <c r="T1116" s="216"/>
      <c r="U1116" s="216"/>
      <c r="V1116" s="216"/>
      <c r="W1116" s="216"/>
      <c r="X1116" s="216"/>
    </row>
    <row r="1117" spans="1:24" ht="15" customHeight="1">
      <c r="A1117" s="134" t="s">
        <v>3892</v>
      </c>
      <c r="B1117" s="586" t="s">
        <v>3893</v>
      </c>
      <c r="C1117" s="133" t="s">
        <v>105</v>
      </c>
      <c r="D1117" s="134" t="s">
        <v>3921</v>
      </c>
      <c r="E1117" s="647" t="s">
        <v>3922</v>
      </c>
      <c r="F1117" s="134" t="s">
        <v>1338</v>
      </c>
      <c r="G1117" s="379">
        <v>1</v>
      </c>
      <c r="H1117" s="379">
        <v>1</v>
      </c>
      <c r="I1117" s="379">
        <v>4</v>
      </c>
      <c r="J1117" s="272">
        <v>50</v>
      </c>
      <c r="K1117" s="134">
        <f t="shared" si="47"/>
        <v>50</v>
      </c>
      <c r="L1117" s="338" t="s">
        <v>111</v>
      </c>
      <c r="M1117" s="216"/>
      <c r="N1117" s="216"/>
      <c r="O1117" s="216"/>
      <c r="P1117" s="216"/>
      <c r="Q1117" s="216"/>
      <c r="R1117" s="216"/>
      <c r="S1117" s="216"/>
      <c r="T1117" s="216"/>
      <c r="U1117" s="216"/>
      <c r="V1117" s="216"/>
      <c r="W1117" s="216"/>
      <c r="X1117" s="216"/>
    </row>
    <row r="1118" spans="1:24" ht="15" customHeight="1">
      <c r="A1118" s="134" t="s">
        <v>3892</v>
      </c>
      <c r="B1118" s="586" t="s">
        <v>3893</v>
      </c>
      <c r="C1118" s="133" t="s">
        <v>105</v>
      </c>
      <c r="D1118" s="134" t="s">
        <v>3923</v>
      </c>
      <c r="E1118" s="647" t="s">
        <v>3924</v>
      </c>
      <c r="F1118" s="134" t="s">
        <v>1338</v>
      </c>
      <c r="G1118" s="379">
        <v>1</v>
      </c>
      <c r="H1118" s="379">
        <v>1</v>
      </c>
      <c r="I1118" s="379">
        <v>4</v>
      </c>
      <c r="J1118" s="272">
        <v>50</v>
      </c>
      <c r="K1118" s="134">
        <f t="shared" si="47"/>
        <v>50</v>
      </c>
      <c r="L1118" s="338" t="s">
        <v>111</v>
      </c>
      <c r="M1118" s="216"/>
      <c r="N1118" s="216"/>
      <c r="O1118" s="216"/>
      <c r="P1118" s="216"/>
      <c r="Q1118" s="216"/>
      <c r="R1118" s="216"/>
      <c r="S1118" s="216"/>
      <c r="T1118" s="216"/>
      <c r="U1118" s="216"/>
      <c r="V1118" s="216"/>
      <c r="W1118" s="216"/>
      <c r="X1118" s="216"/>
    </row>
    <row r="1119" spans="1:24" ht="15" customHeight="1">
      <c r="A1119" s="134" t="s">
        <v>3892</v>
      </c>
      <c r="B1119" s="586" t="s">
        <v>3893</v>
      </c>
      <c r="C1119" s="133" t="s">
        <v>105</v>
      </c>
      <c r="D1119" s="134" t="s">
        <v>3925</v>
      </c>
      <c r="E1119" s="647" t="s">
        <v>3926</v>
      </c>
      <c r="F1119" s="134" t="s">
        <v>1338</v>
      </c>
      <c r="G1119" s="379">
        <v>1</v>
      </c>
      <c r="H1119" s="379">
        <v>1</v>
      </c>
      <c r="I1119" s="379">
        <v>4</v>
      </c>
      <c r="J1119" s="272">
        <v>50</v>
      </c>
      <c r="K1119" s="134">
        <f t="shared" si="47"/>
        <v>50</v>
      </c>
      <c r="L1119" s="338" t="s">
        <v>111</v>
      </c>
      <c r="M1119" s="216"/>
      <c r="N1119" s="216"/>
      <c r="O1119" s="216"/>
      <c r="P1119" s="216"/>
      <c r="Q1119" s="216"/>
      <c r="R1119" s="216"/>
      <c r="S1119" s="216"/>
      <c r="T1119" s="216"/>
      <c r="U1119" s="216"/>
      <c r="V1119" s="216"/>
      <c r="W1119" s="216"/>
      <c r="X1119" s="216"/>
    </row>
    <row r="1120" spans="1:24" ht="15" customHeight="1">
      <c r="A1120" s="134" t="s">
        <v>3892</v>
      </c>
      <c r="B1120" s="586" t="s">
        <v>3893</v>
      </c>
      <c r="C1120" s="133" t="s">
        <v>105</v>
      </c>
      <c r="D1120" s="134" t="s">
        <v>3927</v>
      </c>
      <c r="E1120" s="647" t="s">
        <v>3928</v>
      </c>
      <c r="F1120" s="134" t="s">
        <v>1338</v>
      </c>
      <c r="G1120" s="379">
        <v>1</v>
      </c>
      <c r="H1120" s="379">
        <v>1</v>
      </c>
      <c r="I1120" s="379">
        <v>4</v>
      </c>
      <c r="J1120" s="272">
        <v>50</v>
      </c>
      <c r="K1120" s="134">
        <f t="shared" si="47"/>
        <v>50</v>
      </c>
      <c r="L1120" s="338" t="s">
        <v>111</v>
      </c>
      <c r="M1120" s="216"/>
      <c r="N1120" s="216"/>
      <c r="O1120" s="216"/>
      <c r="P1120" s="216"/>
      <c r="Q1120" s="216"/>
      <c r="R1120" s="216"/>
      <c r="S1120" s="216"/>
      <c r="T1120" s="216"/>
      <c r="U1120" s="216"/>
      <c r="V1120" s="216"/>
      <c r="W1120" s="216"/>
      <c r="X1120" s="216"/>
    </row>
    <row r="1121" spans="1:24" ht="15" customHeight="1">
      <c r="A1121" s="134" t="s">
        <v>3892</v>
      </c>
      <c r="B1121" s="586" t="s">
        <v>3893</v>
      </c>
      <c r="C1121" s="133" t="s">
        <v>105</v>
      </c>
      <c r="D1121" s="134" t="s">
        <v>3929</v>
      </c>
      <c r="E1121" s="647" t="s">
        <v>1828</v>
      </c>
      <c r="F1121" s="134" t="s">
        <v>1338</v>
      </c>
      <c r="G1121" s="379">
        <v>1</v>
      </c>
      <c r="H1121" s="379">
        <v>1</v>
      </c>
      <c r="I1121" s="379">
        <v>4</v>
      </c>
      <c r="J1121" s="272">
        <v>50</v>
      </c>
      <c r="K1121" s="134">
        <f t="shared" si="47"/>
        <v>50</v>
      </c>
      <c r="L1121" s="338" t="s">
        <v>111</v>
      </c>
      <c r="M1121" s="216"/>
      <c r="N1121" s="216"/>
      <c r="O1121" s="216"/>
      <c r="P1121" s="216"/>
      <c r="Q1121" s="216"/>
      <c r="R1121" s="216"/>
      <c r="S1121" s="216"/>
      <c r="T1121" s="216"/>
      <c r="U1121" s="216"/>
      <c r="V1121" s="216"/>
      <c r="W1121" s="216"/>
      <c r="X1121" s="216"/>
    </row>
    <row r="1122" spans="1:24" ht="15" customHeight="1">
      <c r="A1122" s="134" t="s">
        <v>3892</v>
      </c>
      <c r="B1122" s="586" t="s">
        <v>3893</v>
      </c>
      <c r="C1122" s="133" t="s">
        <v>105</v>
      </c>
      <c r="D1122" s="134" t="s">
        <v>3930</v>
      </c>
      <c r="E1122" s="647" t="s">
        <v>3931</v>
      </c>
      <c r="F1122" s="134" t="s">
        <v>1338</v>
      </c>
      <c r="G1122" s="379">
        <v>1</v>
      </c>
      <c r="H1122" s="379">
        <v>1</v>
      </c>
      <c r="I1122" s="379">
        <v>4</v>
      </c>
      <c r="J1122" s="272">
        <v>50</v>
      </c>
      <c r="K1122" s="134">
        <f t="shared" si="47"/>
        <v>50</v>
      </c>
      <c r="L1122" s="338" t="s">
        <v>111</v>
      </c>
      <c r="M1122" s="216"/>
      <c r="N1122" s="216"/>
      <c r="O1122" s="216"/>
      <c r="P1122" s="216"/>
      <c r="Q1122" s="216"/>
      <c r="R1122" s="216"/>
      <c r="S1122" s="216"/>
      <c r="T1122" s="216"/>
      <c r="U1122" s="216"/>
      <c r="V1122" s="216"/>
      <c r="W1122" s="216"/>
      <c r="X1122" s="216"/>
    </row>
    <row r="1123" spans="1:24" ht="15" customHeight="1">
      <c r="A1123" s="134" t="s">
        <v>3892</v>
      </c>
      <c r="B1123" s="586" t="s">
        <v>3893</v>
      </c>
      <c r="C1123" s="133" t="s">
        <v>105</v>
      </c>
      <c r="D1123" s="134" t="s">
        <v>3932</v>
      </c>
      <c r="E1123" s="647" t="s">
        <v>3933</v>
      </c>
      <c r="F1123" s="134" t="s">
        <v>1338</v>
      </c>
      <c r="G1123" s="379">
        <v>1</v>
      </c>
      <c r="H1123" s="379">
        <v>1</v>
      </c>
      <c r="I1123" s="379">
        <v>4</v>
      </c>
      <c r="J1123" s="272">
        <v>50</v>
      </c>
      <c r="K1123" s="134">
        <f t="shared" si="47"/>
        <v>50</v>
      </c>
      <c r="L1123" s="338" t="s">
        <v>111</v>
      </c>
      <c r="M1123" s="216"/>
      <c r="N1123" s="216"/>
      <c r="O1123" s="216"/>
      <c r="P1123" s="216"/>
      <c r="Q1123" s="216"/>
      <c r="R1123" s="216"/>
      <c r="S1123" s="216"/>
      <c r="T1123" s="216"/>
      <c r="U1123" s="216"/>
      <c r="V1123" s="216"/>
      <c r="W1123" s="216"/>
      <c r="X1123" s="216"/>
    </row>
    <row r="1124" spans="1:24" ht="15" customHeight="1">
      <c r="A1124" s="134" t="s">
        <v>3892</v>
      </c>
      <c r="B1124" s="586" t="s">
        <v>3893</v>
      </c>
      <c r="C1124" s="133" t="s">
        <v>105</v>
      </c>
      <c r="D1124" s="134" t="s">
        <v>3934</v>
      </c>
      <c r="E1124" s="647" t="s">
        <v>3935</v>
      </c>
      <c r="F1124" s="134" t="s">
        <v>1338</v>
      </c>
      <c r="G1124" s="379">
        <v>1</v>
      </c>
      <c r="H1124" s="379">
        <v>1</v>
      </c>
      <c r="I1124" s="379">
        <v>4</v>
      </c>
      <c r="J1124" s="272">
        <v>50</v>
      </c>
      <c r="K1124" s="134">
        <f t="shared" si="47"/>
        <v>50</v>
      </c>
      <c r="L1124" s="338" t="s">
        <v>111</v>
      </c>
      <c r="M1124" s="216"/>
      <c r="N1124" s="216"/>
      <c r="O1124" s="216"/>
      <c r="P1124" s="216"/>
      <c r="Q1124" s="216"/>
      <c r="R1124" s="216"/>
      <c r="S1124" s="216"/>
      <c r="T1124" s="216"/>
      <c r="U1124" s="216"/>
      <c r="V1124" s="216"/>
      <c r="W1124" s="216"/>
      <c r="X1124" s="216"/>
    </row>
    <row r="1125" spans="1:24" ht="15" customHeight="1">
      <c r="A1125" s="134" t="s">
        <v>3892</v>
      </c>
      <c r="B1125" s="586" t="s">
        <v>3893</v>
      </c>
      <c r="C1125" s="133" t="s">
        <v>105</v>
      </c>
      <c r="D1125" s="134" t="s">
        <v>3936</v>
      </c>
      <c r="E1125" s="647" t="s">
        <v>928</v>
      </c>
      <c r="F1125" s="134" t="s">
        <v>1338</v>
      </c>
      <c r="G1125" s="379">
        <v>1</v>
      </c>
      <c r="H1125" s="379">
        <v>1</v>
      </c>
      <c r="I1125" s="379">
        <v>4</v>
      </c>
      <c r="J1125" s="272">
        <v>50</v>
      </c>
      <c r="K1125" s="134">
        <f t="shared" si="47"/>
        <v>50</v>
      </c>
      <c r="L1125" s="338" t="s">
        <v>111</v>
      </c>
      <c r="M1125" s="216"/>
      <c r="N1125" s="216"/>
      <c r="O1125" s="216"/>
      <c r="P1125" s="216"/>
      <c r="Q1125" s="216"/>
      <c r="R1125" s="216"/>
      <c r="S1125" s="216"/>
      <c r="T1125" s="216"/>
      <c r="U1125" s="216"/>
      <c r="V1125" s="216"/>
      <c r="W1125" s="216"/>
      <c r="X1125" s="216"/>
    </row>
    <row r="1126" spans="1:24" ht="15" customHeight="1">
      <c r="A1126" s="134" t="s">
        <v>3892</v>
      </c>
      <c r="B1126" s="586" t="s">
        <v>3893</v>
      </c>
      <c r="C1126" s="133" t="s">
        <v>105</v>
      </c>
      <c r="D1126" s="134" t="s">
        <v>3937</v>
      </c>
      <c r="E1126" s="647" t="s">
        <v>3938</v>
      </c>
      <c r="F1126" s="134" t="s">
        <v>1338</v>
      </c>
      <c r="G1126" s="379">
        <v>1</v>
      </c>
      <c r="H1126" s="379">
        <v>1</v>
      </c>
      <c r="I1126" s="379">
        <v>4</v>
      </c>
      <c r="J1126" s="272">
        <v>50</v>
      </c>
      <c r="K1126" s="134">
        <f t="shared" si="47"/>
        <v>50</v>
      </c>
      <c r="L1126" s="338" t="s">
        <v>111</v>
      </c>
      <c r="M1126" s="216"/>
      <c r="N1126" s="216"/>
      <c r="O1126" s="216"/>
      <c r="P1126" s="216"/>
      <c r="Q1126" s="216"/>
      <c r="R1126" s="216"/>
      <c r="S1126" s="216"/>
      <c r="T1126" s="216"/>
      <c r="U1126" s="216"/>
      <c r="V1126" s="216"/>
      <c r="W1126" s="216"/>
      <c r="X1126" s="216"/>
    </row>
    <row r="1127" spans="1:24" ht="15" customHeight="1">
      <c r="A1127" s="134" t="s">
        <v>3892</v>
      </c>
      <c r="B1127" s="586" t="s">
        <v>3893</v>
      </c>
      <c r="C1127" s="133" t="s">
        <v>105</v>
      </c>
      <c r="D1127" s="134" t="s">
        <v>3939</v>
      </c>
      <c r="E1127" s="647" t="s">
        <v>3940</v>
      </c>
      <c r="F1127" s="134" t="s">
        <v>1338</v>
      </c>
      <c r="G1127" s="379">
        <v>1</v>
      </c>
      <c r="H1127" s="379">
        <v>1</v>
      </c>
      <c r="I1127" s="379">
        <v>4</v>
      </c>
      <c r="J1127" s="272">
        <v>50</v>
      </c>
      <c r="K1127" s="134">
        <f t="shared" si="47"/>
        <v>50</v>
      </c>
      <c r="L1127" s="338" t="s">
        <v>111</v>
      </c>
      <c r="M1127" s="216"/>
      <c r="N1127" s="216"/>
      <c r="O1127" s="216"/>
      <c r="P1127" s="216"/>
      <c r="Q1127" s="216"/>
      <c r="R1127" s="216"/>
      <c r="S1127" s="216"/>
      <c r="T1127" s="216"/>
      <c r="U1127" s="216"/>
      <c r="V1127" s="216"/>
      <c r="W1127" s="216"/>
      <c r="X1127" s="216"/>
    </row>
    <row r="1128" spans="1:24" ht="15" customHeight="1">
      <c r="A1128" s="134" t="s">
        <v>3892</v>
      </c>
      <c r="B1128" s="586" t="s">
        <v>3893</v>
      </c>
      <c r="C1128" s="133" t="s">
        <v>105</v>
      </c>
      <c r="D1128" s="134" t="s">
        <v>3941</v>
      </c>
      <c r="E1128" s="647" t="s">
        <v>3942</v>
      </c>
      <c r="F1128" s="134" t="s">
        <v>1338</v>
      </c>
      <c r="G1128" s="379">
        <v>1</v>
      </c>
      <c r="H1128" s="379">
        <v>1</v>
      </c>
      <c r="I1128" s="379">
        <v>4</v>
      </c>
      <c r="J1128" s="272">
        <v>50</v>
      </c>
      <c r="K1128" s="134">
        <f t="shared" si="47"/>
        <v>50</v>
      </c>
      <c r="L1128" s="338" t="s">
        <v>111</v>
      </c>
      <c r="M1128" s="216"/>
      <c r="N1128" s="216"/>
      <c r="O1128" s="216"/>
      <c r="P1128" s="216"/>
      <c r="Q1128" s="216"/>
      <c r="R1128" s="216"/>
      <c r="S1128" s="216"/>
      <c r="T1128" s="216"/>
      <c r="U1128" s="216"/>
      <c r="V1128" s="216"/>
      <c r="W1128" s="216"/>
      <c r="X1128" s="216"/>
    </row>
    <row r="1129" spans="1:24" ht="15" customHeight="1">
      <c r="A1129" s="134" t="s">
        <v>3892</v>
      </c>
      <c r="B1129" s="586" t="s">
        <v>3893</v>
      </c>
      <c r="C1129" s="133" t="s">
        <v>105</v>
      </c>
      <c r="D1129" s="134" t="s">
        <v>3943</v>
      </c>
      <c r="E1129" s="647" t="s">
        <v>3944</v>
      </c>
      <c r="F1129" s="134" t="s">
        <v>1338</v>
      </c>
      <c r="G1129" s="379">
        <v>1</v>
      </c>
      <c r="H1129" s="379">
        <v>1</v>
      </c>
      <c r="I1129" s="379">
        <v>4</v>
      </c>
      <c r="J1129" s="272">
        <v>50</v>
      </c>
      <c r="K1129" s="134">
        <f t="shared" si="47"/>
        <v>50</v>
      </c>
      <c r="L1129" s="338" t="s">
        <v>111</v>
      </c>
      <c r="M1129" s="216"/>
      <c r="N1129" s="216"/>
      <c r="O1129" s="216"/>
      <c r="P1129" s="216"/>
      <c r="Q1129" s="216"/>
      <c r="R1129" s="216"/>
      <c r="S1129" s="216"/>
      <c r="T1129" s="216"/>
      <c r="U1129" s="216"/>
      <c r="V1129" s="216"/>
      <c r="W1129" s="216"/>
      <c r="X1129" s="216"/>
    </row>
    <row r="1130" spans="1:24" ht="15" customHeight="1">
      <c r="A1130" s="134" t="s">
        <v>3892</v>
      </c>
      <c r="B1130" s="586" t="s">
        <v>3893</v>
      </c>
      <c r="C1130" s="133" t="s">
        <v>105</v>
      </c>
      <c r="D1130" s="134" t="s">
        <v>3945</v>
      </c>
      <c r="E1130" s="647" t="s">
        <v>3946</v>
      </c>
      <c r="F1130" s="134" t="s">
        <v>1338</v>
      </c>
      <c r="G1130" s="379">
        <v>1</v>
      </c>
      <c r="H1130" s="379">
        <v>1</v>
      </c>
      <c r="I1130" s="379">
        <v>4</v>
      </c>
      <c r="J1130" s="272">
        <v>50</v>
      </c>
      <c r="K1130" s="134">
        <f t="shared" si="47"/>
        <v>50</v>
      </c>
      <c r="L1130" s="338" t="s">
        <v>111</v>
      </c>
      <c r="M1130" s="216"/>
      <c r="N1130" s="216"/>
      <c r="O1130" s="216"/>
      <c r="P1130" s="216"/>
      <c r="Q1130" s="216"/>
      <c r="R1130" s="216"/>
      <c r="S1130" s="216"/>
      <c r="T1130" s="216"/>
      <c r="U1130" s="216"/>
      <c r="V1130" s="216"/>
      <c r="W1130" s="216"/>
      <c r="X1130" s="216"/>
    </row>
    <row r="1131" spans="1:24" ht="15" customHeight="1">
      <c r="A1131" s="134" t="s">
        <v>3892</v>
      </c>
      <c r="B1131" s="586" t="s">
        <v>3893</v>
      </c>
      <c r="C1131" s="586" t="s">
        <v>105</v>
      </c>
      <c r="D1131" s="134" t="s">
        <v>3947</v>
      </c>
      <c r="E1131" s="647" t="s">
        <v>3948</v>
      </c>
      <c r="F1131" s="134" t="s">
        <v>635</v>
      </c>
      <c r="G1131" s="379">
        <v>1</v>
      </c>
      <c r="H1131" s="379">
        <v>1</v>
      </c>
      <c r="I1131" s="379">
        <v>4</v>
      </c>
      <c r="J1131" s="272">
        <v>50</v>
      </c>
      <c r="K1131" s="134">
        <f t="shared" si="47"/>
        <v>50</v>
      </c>
      <c r="L1131" s="338" t="s">
        <v>111</v>
      </c>
      <c r="M1131" s="216"/>
      <c r="N1131" s="216"/>
      <c r="O1131" s="216"/>
      <c r="P1131" s="216"/>
      <c r="Q1131" s="216"/>
      <c r="R1131" s="216"/>
      <c r="S1131" s="216"/>
      <c r="T1131" s="216"/>
      <c r="U1131" s="216"/>
      <c r="V1131" s="216"/>
      <c r="W1131" s="216"/>
      <c r="X1131" s="216"/>
    </row>
    <row r="1132" spans="1:24" ht="15" customHeight="1">
      <c r="A1132" s="134" t="s">
        <v>3892</v>
      </c>
      <c r="B1132" s="586" t="s">
        <v>3893</v>
      </c>
      <c r="C1132" s="586" t="s">
        <v>105</v>
      </c>
      <c r="D1132" s="134" t="s">
        <v>3949</v>
      </c>
      <c r="E1132" s="647" t="s">
        <v>3950</v>
      </c>
      <c r="F1132" s="134" t="s">
        <v>635</v>
      </c>
      <c r="G1132" s="379">
        <v>1</v>
      </c>
      <c r="H1132" s="379">
        <v>1</v>
      </c>
      <c r="I1132" s="379">
        <v>4</v>
      </c>
      <c r="J1132" s="272">
        <v>50</v>
      </c>
      <c r="K1132" s="134">
        <f t="shared" si="47"/>
        <v>50</v>
      </c>
      <c r="L1132" s="338" t="s">
        <v>111</v>
      </c>
      <c r="M1132" s="216"/>
      <c r="N1132" s="216"/>
      <c r="O1132" s="216"/>
      <c r="P1132" s="216"/>
      <c r="Q1132" s="216"/>
      <c r="R1132" s="216"/>
      <c r="S1132" s="216"/>
      <c r="T1132" s="216"/>
      <c r="U1132" s="216"/>
      <c r="V1132" s="216"/>
      <c r="W1132" s="216"/>
      <c r="X1132" s="216"/>
    </row>
    <row r="1133" spans="1:24" ht="15" customHeight="1">
      <c r="A1133" s="134" t="s">
        <v>3892</v>
      </c>
      <c r="B1133" s="586" t="s">
        <v>3893</v>
      </c>
      <c r="C1133" s="586" t="s">
        <v>105</v>
      </c>
      <c r="D1133" s="134" t="s">
        <v>3951</v>
      </c>
      <c r="E1133" s="647" t="s">
        <v>3952</v>
      </c>
      <c r="F1133" s="134" t="s">
        <v>635</v>
      </c>
      <c r="G1133" s="379">
        <v>1</v>
      </c>
      <c r="H1133" s="379">
        <v>1</v>
      </c>
      <c r="I1133" s="379">
        <v>4</v>
      </c>
      <c r="J1133" s="272">
        <v>50</v>
      </c>
      <c r="K1133" s="134">
        <f t="shared" si="47"/>
        <v>50</v>
      </c>
      <c r="L1133" s="338" t="s">
        <v>111</v>
      </c>
      <c r="M1133" s="216"/>
      <c r="N1133" s="216"/>
      <c r="O1133" s="216"/>
      <c r="P1133" s="216"/>
      <c r="Q1133" s="216"/>
      <c r="R1133" s="216"/>
      <c r="S1133" s="216"/>
      <c r="T1133" s="216"/>
      <c r="U1133" s="216"/>
      <c r="V1133" s="216"/>
      <c r="W1133" s="216"/>
      <c r="X1133" s="216"/>
    </row>
    <row r="1134" spans="1:24" ht="15" customHeight="1">
      <c r="A1134" s="134" t="s">
        <v>3892</v>
      </c>
      <c r="B1134" s="586" t="s">
        <v>3893</v>
      </c>
      <c r="C1134" s="586" t="s">
        <v>105</v>
      </c>
      <c r="D1134" s="134" t="s">
        <v>3953</v>
      </c>
      <c r="E1134" s="647" t="s">
        <v>3954</v>
      </c>
      <c r="F1134" s="134" t="s">
        <v>635</v>
      </c>
      <c r="G1134" s="379">
        <v>1</v>
      </c>
      <c r="H1134" s="379">
        <v>1</v>
      </c>
      <c r="I1134" s="379">
        <v>4</v>
      </c>
      <c r="J1134" s="272">
        <v>50</v>
      </c>
      <c r="K1134" s="134">
        <f t="shared" si="47"/>
        <v>50</v>
      </c>
      <c r="L1134" s="338" t="s">
        <v>111</v>
      </c>
      <c r="M1134" s="216"/>
      <c r="N1134" s="216"/>
      <c r="O1134" s="216"/>
      <c r="P1134" s="216"/>
      <c r="Q1134" s="216"/>
      <c r="R1134" s="216"/>
      <c r="S1134" s="216"/>
      <c r="T1134" s="216"/>
      <c r="U1134" s="216"/>
      <c r="V1134" s="216"/>
      <c r="W1134" s="216"/>
      <c r="X1134" s="216"/>
    </row>
    <row r="1135" spans="1:24" ht="15" customHeight="1">
      <c r="A1135" s="134" t="s">
        <v>3892</v>
      </c>
      <c r="B1135" s="586" t="s">
        <v>3893</v>
      </c>
      <c r="C1135" s="586" t="s">
        <v>105</v>
      </c>
      <c r="D1135" s="134" t="s">
        <v>3955</v>
      </c>
      <c r="E1135" s="647" t="s">
        <v>3956</v>
      </c>
      <c r="F1135" s="134" t="s">
        <v>635</v>
      </c>
      <c r="G1135" s="379">
        <v>1</v>
      </c>
      <c r="H1135" s="379">
        <v>1</v>
      </c>
      <c r="I1135" s="379">
        <v>4</v>
      </c>
      <c r="J1135" s="272">
        <v>50</v>
      </c>
      <c r="K1135" s="134">
        <f t="shared" si="47"/>
        <v>50</v>
      </c>
      <c r="L1135" s="338" t="s">
        <v>111</v>
      </c>
      <c r="M1135" s="216"/>
      <c r="N1135" s="216"/>
      <c r="O1135" s="216"/>
      <c r="P1135" s="216"/>
      <c r="Q1135" s="216"/>
      <c r="R1135" s="216"/>
      <c r="S1135" s="216"/>
      <c r="T1135" s="216"/>
      <c r="U1135" s="216"/>
      <c r="V1135" s="216"/>
      <c r="W1135" s="216"/>
      <c r="X1135" s="216"/>
    </row>
    <row r="1136" spans="1:24" ht="15" customHeight="1">
      <c r="A1136" s="134" t="s">
        <v>3892</v>
      </c>
      <c r="B1136" s="586" t="s">
        <v>3893</v>
      </c>
      <c r="C1136" s="586" t="s">
        <v>105</v>
      </c>
      <c r="D1136" s="134" t="s">
        <v>3957</v>
      </c>
      <c r="E1136" s="647" t="s">
        <v>3887</v>
      </c>
      <c r="F1136" s="134" t="s">
        <v>635</v>
      </c>
      <c r="G1136" s="379">
        <v>1</v>
      </c>
      <c r="H1136" s="379">
        <v>1</v>
      </c>
      <c r="I1136" s="379">
        <v>4</v>
      </c>
      <c r="J1136" s="272">
        <v>50</v>
      </c>
      <c r="K1136" s="134">
        <f t="shared" si="47"/>
        <v>50</v>
      </c>
      <c r="L1136" s="338" t="s">
        <v>111</v>
      </c>
      <c r="M1136" s="216"/>
      <c r="N1136" s="216"/>
      <c r="O1136" s="216"/>
      <c r="P1136" s="216"/>
      <c r="Q1136" s="216"/>
      <c r="R1136" s="216"/>
      <c r="S1136" s="216"/>
      <c r="T1136" s="216"/>
      <c r="U1136" s="216"/>
      <c r="V1136" s="216"/>
      <c r="W1136" s="216"/>
      <c r="X1136" s="216"/>
    </row>
    <row r="1137" spans="1:24" ht="15" customHeight="1">
      <c r="A1137" s="134" t="s">
        <v>3892</v>
      </c>
      <c r="B1137" s="586" t="s">
        <v>3893</v>
      </c>
      <c r="C1137" s="586" t="s">
        <v>105</v>
      </c>
      <c r="D1137" s="134" t="s">
        <v>3958</v>
      </c>
      <c r="E1137" s="647" t="s">
        <v>3959</v>
      </c>
      <c r="F1137" s="134" t="s">
        <v>635</v>
      </c>
      <c r="G1137" s="379">
        <v>1</v>
      </c>
      <c r="H1137" s="379">
        <v>1</v>
      </c>
      <c r="I1137" s="379">
        <v>4</v>
      </c>
      <c r="J1137" s="272">
        <v>50</v>
      </c>
      <c r="K1137" s="134">
        <f t="shared" si="47"/>
        <v>50</v>
      </c>
      <c r="L1137" s="338" t="s">
        <v>111</v>
      </c>
      <c r="M1137" s="216"/>
      <c r="N1137" s="216"/>
      <c r="O1137" s="216"/>
      <c r="P1137" s="216"/>
      <c r="Q1137" s="216"/>
      <c r="R1137" s="216"/>
      <c r="S1137" s="216"/>
      <c r="T1137" s="216"/>
      <c r="U1137" s="216"/>
      <c r="V1137" s="216"/>
      <c r="W1137" s="216"/>
      <c r="X1137" s="216"/>
    </row>
    <row r="1138" spans="1:24" ht="15" customHeight="1">
      <c r="A1138" s="134" t="s">
        <v>3892</v>
      </c>
      <c r="B1138" s="586" t="s">
        <v>3893</v>
      </c>
      <c r="C1138" s="586" t="s">
        <v>105</v>
      </c>
      <c r="D1138" s="134" t="s">
        <v>3960</v>
      </c>
      <c r="E1138" s="647" t="s">
        <v>3961</v>
      </c>
      <c r="F1138" s="134" t="s">
        <v>635</v>
      </c>
      <c r="G1138" s="379">
        <v>1</v>
      </c>
      <c r="H1138" s="379">
        <v>1</v>
      </c>
      <c r="I1138" s="379">
        <v>4</v>
      </c>
      <c r="J1138" s="272">
        <v>50</v>
      </c>
      <c r="K1138" s="134">
        <f t="shared" si="47"/>
        <v>50</v>
      </c>
      <c r="L1138" s="338" t="s">
        <v>111</v>
      </c>
      <c r="M1138" s="216"/>
      <c r="N1138" s="216"/>
      <c r="O1138" s="216"/>
      <c r="P1138" s="216"/>
      <c r="Q1138" s="216"/>
      <c r="R1138" s="216"/>
      <c r="S1138" s="216"/>
      <c r="T1138" s="216"/>
      <c r="U1138" s="216"/>
      <c r="V1138" s="216"/>
      <c r="W1138" s="216"/>
      <c r="X1138" s="216"/>
    </row>
    <row r="1139" spans="1:24" ht="15" customHeight="1">
      <c r="A1139" s="134" t="s">
        <v>3892</v>
      </c>
      <c r="B1139" s="586" t="s">
        <v>3893</v>
      </c>
      <c r="C1139" s="586" t="s">
        <v>105</v>
      </c>
      <c r="D1139" s="134" t="s">
        <v>3962</v>
      </c>
      <c r="E1139" s="647" t="s">
        <v>3963</v>
      </c>
      <c r="F1139" s="134" t="s">
        <v>635</v>
      </c>
      <c r="G1139" s="379">
        <v>1</v>
      </c>
      <c r="H1139" s="379">
        <v>1</v>
      </c>
      <c r="I1139" s="379">
        <v>4</v>
      </c>
      <c r="J1139" s="272">
        <v>50</v>
      </c>
      <c r="K1139" s="134">
        <f t="shared" si="47"/>
        <v>50</v>
      </c>
      <c r="L1139" s="338" t="s">
        <v>111</v>
      </c>
      <c r="M1139" s="216"/>
      <c r="N1139" s="216"/>
      <c r="O1139" s="216"/>
      <c r="P1139" s="216"/>
      <c r="Q1139" s="216"/>
      <c r="R1139" s="216"/>
      <c r="S1139" s="216"/>
      <c r="T1139" s="216"/>
      <c r="U1139" s="216"/>
      <c r="V1139" s="216"/>
      <c r="W1139" s="216"/>
      <c r="X1139" s="216"/>
    </row>
    <row r="1140" spans="1:24" ht="15" customHeight="1">
      <c r="A1140" s="134" t="s">
        <v>3892</v>
      </c>
      <c r="B1140" s="586" t="s">
        <v>3893</v>
      </c>
      <c r="C1140" s="586" t="s">
        <v>105</v>
      </c>
      <c r="D1140" s="134" t="s">
        <v>3964</v>
      </c>
      <c r="E1140" s="647" t="s">
        <v>3965</v>
      </c>
      <c r="F1140" s="134" t="s">
        <v>635</v>
      </c>
      <c r="G1140" s="379">
        <v>1</v>
      </c>
      <c r="H1140" s="379">
        <v>1</v>
      </c>
      <c r="I1140" s="379">
        <v>4</v>
      </c>
      <c r="J1140" s="272">
        <v>50</v>
      </c>
      <c r="K1140" s="134">
        <f t="shared" si="47"/>
        <v>50</v>
      </c>
      <c r="L1140" s="338" t="s">
        <v>111</v>
      </c>
      <c r="M1140" s="216"/>
      <c r="N1140" s="216"/>
      <c r="O1140" s="216"/>
      <c r="P1140" s="216"/>
      <c r="Q1140" s="216"/>
      <c r="R1140" s="216"/>
      <c r="S1140" s="216"/>
      <c r="T1140" s="216"/>
      <c r="U1140" s="216"/>
      <c r="V1140" s="216"/>
      <c r="W1140" s="216"/>
      <c r="X1140" s="216"/>
    </row>
    <row r="1141" spans="1:24" ht="15" customHeight="1">
      <c r="A1141" s="302" t="s">
        <v>3966</v>
      </c>
      <c r="B1141" s="648" t="s">
        <v>3967</v>
      </c>
      <c r="C1141" s="301" t="s">
        <v>105</v>
      </c>
      <c r="D1141" s="134" t="s">
        <v>3968</v>
      </c>
      <c r="E1141" s="647" t="s">
        <v>942</v>
      </c>
      <c r="F1141" s="134" t="s">
        <v>1338</v>
      </c>
      <c r="G1141" s="649">
        <v>6</v>
      </c>
      <c r="H1141" s="649">
        <v>6</v>
      </c>
      <c r="I1141" s="649">
        <v>6</v>
      </c>
      <c r="J1141" s="272">
        <v>50</v>
      </c>
      <c r="K1141" s="134">
        <f t="shared" si="47"/>
        <v>8.3333333333333339</v>
      </c>
      <c r="L1141" s="338" t="s">
        <v>111</v>
      </c>
      <c r="M1141" s="216"/>
      <c r="N1141" s="216"/>
      <c r="O1141" s="216"/>
      <c r="P1141" s="216"/>
      <c r="Q1141" s="216"/>
      <c r="R1141" s="216"/>
      <c r="S1141" s="216"/>
      <c r="T1141" s="216"/>
      <c r="U1141" s="216"/>
      <c r="V1141" s="216"/>
      <c r="W1141" s="216"/>
      <c r="X1141" s="216"/>
    </row>
    <row r="1142" spans="1:24" ht="15" customHeight="1">
      <c r="A1142" s="302" t="s">
        <v>3966</v>
      </c>
      <c r="B1142" s="648" t="s">
        <v>3967</v>
      </c>
      <c r="C1142" s="301" t="s">
        <v>105</v>
      </c>
      <c r="D1142" s="134" t="s">
        <v>3969</v>
      </c>
      <c r="E1142" s="647" t="s">
        <v>3970</v>
      </c>
      <c r="F1142" s="134" t="s">
        <v>1338</v>
      </c>
      <c r="G1142" s="649">
        <v>6</v>
      </c>
      <c r="H1142" s="649">
        <v>6</v>
      </c>
      <c r="I1142" s="649">
        <v>6</v>
      </c>
      <c r="J1142" s="272">
        <v>50</v>
      </c>
      <c r="K1142" s="134">
        <f t="shared" si="47"/>
        <v>8.3333333333333339</v>
      </c>
      <c r="L1142" s="338" t="s">
        <v>111</v>
      </c>
      <c r="M1142" s="216"/>
      <c r="N1142" s="216"/>
      <c r="O1142" s="216"/>
      <c r="P1142" s="216"/>
      <c r="Q1142" s="216"/>
      <c r="R1142" s="216"/>
      <c r="S1142" s="216"/>
      <c r="T1142" s="216"/>
      <c r="U1142" s="216"/>
      <c r="V1142" s="216"/>
      <c r="W1142" s="216"/>
      <c r="X1142" s="216"/>
    </row>
    <row r="1143" spans="1:24" ht="15" customHeight="1">
      <c r="A1143" s="302" t="s">
        <v>3966</v>
      </c>
      <c r="B1143" s="648" t="s">
        <v>3967</v>
      </c>
      <c r="C1143" s="301" t="s">
        <v>105</v>
      </c>
      <c r="D1143" s="134" t="s">
        <v>3971</v>
      </c>
      <c r="E1143" s="647" t="s">
        <v>1859</v>
      </c>
      <c r="F1143" s="134" t="s">
        <v>1338</v>
      </c>
      <c r="G1143" s="649">
        <v>6</v>
      </c>
      <c r="H1143" s="649">
        <v>6</v>
      </c>
      <c r="I1143" s="649">
        <v>6</v>
      </c>
      <c r="J1143" s="272">
        <v>50</v>
      </c>
      <c r="K1143" s="134">
        <f t="shared" si="47"/>
        <v>8.3333333333333339</v>
      </c>
      <c r="L1143" s="338" t="s">
        <v>111</v>
      </c>
      <c r="M1143" s="216"/>
      <c r="N1143" s="216"/>
      <c r="O1143" s="216"/>
      <c r="P1143" s="216"/>
      <c r="Q1143" s="216"/>
      <c r="R1143" s="216"/>
      <c r="S1143" s="216"/>
      <c r="T1143" s="216"/>
      <c r="U1143" s="216"/>
      <c r="V1143" s="216"/>
      <c r="W1143" s="216"/>
      <c r="X1143" s="216"/>
    </row>
    <row r="1144" spans="1:24" ht="15" customHeight="1">
      <c r="A1144" s="302" t="s">
        <v>3966</v>
      </c>
      <c r="B1144" s="648" t="s">
        <v>3967</v>
      </c>
      <c r="C1144" s="301" t="s">
        <v>105</v>
      </c>
      <c r="D1144" s="134" t="s">
        <v>3972</v>
      </c>
      <c r="E1144" s="647" t="s">
        <v>1844</v>
      </c>
      <c r="F1144" s="134" t="s">
        <v>1338</v>
      </c>
      <c r="G1144" s="649">
        <v>6</v>
      </c>
      <c r="H1144" s="649">
        <v>6</v>
      </c>
      <c r="I1144" s="649">
        <v>6</v>
      </c>
      <c r="J1144" s="272">
        <v>50</v>
      </c>
      <c r="K1144" s="134">
        <f t="shared" si="47"/>
        <v>8.3333333333333339</v>
      </c>
      <c r="L1144" s="338" t="s">
        <v>111</v>
      </c>
      <c r="M1144" s="216"/>
      <c r="N1144" s="216"/>
      <c r="O1144" s="216"/>
      <c r="P1144" s="216"/>
      <c r="Q1144" s="216"/>
      <c r="R1144" s="216"/>
      <c r="S1144" s="216"/>
      <c r="T1144" s="216"/>
      <c r="U1144" s="216"/>
      <c r="V1144" s="216"/>
      <c r="W1144" s="216"/>
      <c r="X1144" s="216"/>
    </row>
    <row r="1145" spans="1:24" ht="15" customHeight="1">
      <c r="A1145" s="302" t="s">
        <v>3966</v>
      </c>
      <c r="B1145" s="648" t="s">
        <v>3967</v>
      </c>
      <c r="C1145" s="301" t="s">
        <v>105</v>
      </c>
      <c r="D1145" s="134" t="s">
        <v>3973</v>
      </c>
      <c r="E1145" s="647" t="s">
        <v>3974</v>
      </c>
      <c r="F1145" s="134" t="s">
        <v>1338</v>
      </c>
      <c r="G1145" s="649">
        <v>6</v>
      </c>
      <c r="H1145" s="649">
        <v>6</v>
      </c>
      <c r="I1145" s="649">
        <v>6</v>
      </c>
      <c r="J1145" s="272">
        <v>50</v>
      </c>
      <c r="K1145" s="134">
        <f t="shared" si="47"/>
        <v>8.3333333333333339</v>
      </c>
      <c r="L1145" s="338" t="s">
        <v>111</v>
      </c>
      <c r="M1145" s="216"/>
      <c r="N1145" s="216"/>
      <c r="O1145" s="216"/>
      <c r="P1145" s="216"/>
      <c r="Q1145" s="216"/>
      <c r="R1145" s="216"/>
      <c r="S1145" s="216"/>
      <c r="T1145" s="216"/>
      <c r="U1145" s="216"/>
      <c r="V1145" s="216"/>
      <c r="W1145" s="216"/>
      <c r="X1145" s="216"/>
    </row>
    <row r="1146" spans="1:24" ht="15" customHeight="1">
      <c r="A1146" s="302" t="s">
        <v>3966</v>
      </c>
      <c r="B1146" s="648" t="s">
        <v>3967</v>
      </c>
      <c r="C1146" s="301" t="s">
        <v>105</v>
      </c>
      <c r="D1146" s="134" t="s">
        <v>3975</v>
      </c>
      <c r="E1146" s="647" t="s">
        <v>1850</v>
      </c>
      <c r="F1146" s="134" t="s">
        <v>1338</v>
      </c>
      <c r="G1146" s="649">
        <v>6</v>
      </c>
      <c r="H1146" s="649">
        <v>6</v>
      </c>
      <c r="I1146" s="649">
        <v>6</v>
      </c>
      <c r="J1146" s="272">
        <v>50</v>
      </c>
      <c r="K1146" s="134">
        <f t="shared" si="47"/>
        <v>8.3333333333333339</v>
      </c>
      <c r="L1146" s="338" t="s">
        <v>111</v>
      </c>
      <c r="M1146" s="216"/>
      <c r="N1146" s="216"/>
      <c r="O1146" s="216"/>
      <c r="P1146" s="216"/>
      <c r="Q1146" s="216"/>
      <c r="R1146" s="216"/>
      <c r="S1146" s="216"/>
      <c r="T1146" s="216"/>
      <c r="U1146" s="216"/>
      <c r="V1146" s="216"/>
      <c r="W1146" s="216"/>
      <c r="X1146" s="216"/>
    </row>
    <row r="1147" spans="1:24" ht="15" customHeight="1">
      <c r="A1147" s="302" t="s">
        <v>3966</v>
      </c>
      <c r="B1147" s="648" t="s">
        <v>3967</v>
      </c>
      <c r="C1147" s="301" t="s">
        <v>105</v>
      </c>
      <c r="D1147" s="134" t="s">
        <v>3976</v>
      </c>
      <c r="E1147" s="647" t="s">
        <v>3977</v>
      </c>
      <c r="F1147" s="134" t="s">
        <v>1338</v>
      </c>
      <c r="G1147" s="649">
        <v>6</v>
      </c>
      <c r="H1147" s="649">
        <v>6</v>
      </c>
      <c r="I1147" s="649">
        <v>6</v>
      </c>
      <c r="J1147" s="272">
        <v>50</v>
      </c>
      <c r="K1147" s="134">
        <f t="shared" si="47"/>
        <v>8.3333333333333339</v>
      </c>
      <c r="L1147" s="338" t="s">
        <v>111</v>
      </c>
      <c r="M1147" s="216"/>
      <c r="N1147" s="216"/>
      <c r="O1147" s="216"/>
      <c r="P1147" s="216"/>
      <c r="Q1147" s="216"/>
      <c r="R1147" s="216"/>
      <c r="S1147" s="216"/>
      <c r="T1147" s="216"/>
      <c r="U1147" s="216"/>
      <c r="V1147" s="216"/>
      <c r="W1147" s="216"/>
      <c r="X1147" s="216"/>
    </row>
    <row r="1148" spans="1:24" ht="15" customHeight="1">
      <c r="A1148" s="134" t="s">
        <v>3978</v>
      </c>
      <c r="B1148" s="586" t="s">
        <v>3979</v>
      </c>
      <c r="C1148" s="133" t="s">
        <v>105</v>
      </c>
      <c r="D1148" s="134" t="s">
        <v>3980</v>
      </c>
      <c r="E1148" s="647" t="s">
        <v>3981</v>
      </c>
      <c r="F1148" s="134" t="s">
        <v>1338</v>
      </c>
      <c r="G1148" s="649">
        <v>6</v>
      </c>
      <c r="H1148" s="649">
        <v>6</v>
      </c>
      <c r="I1148" s="649">
        <v>6</v>
      </c>
      <c r="J1148" s="272">
        <v>50</v>
      </c>
      <c r="K1148" s="134">
        <f t="shared" si="47"/>
        <v>8.3333333333333339</v>
      </c>
      <c r="L1148" s="338" t="s">
        <v>111</v>
      </c>
      <c r="M1148" s="216"/>
      <c r="N1148" s="216"/>
      <c r="O1148" s="216"/>
      <c r="P1148" s="216"/>
      <c r="Q1148" s="216"/>
      <c r="R1148" s="216"/>
      <c r="S1148" s="216"/>
      <c r="T1148" s="216"/>
      <c r="U1148" s="216"/>
      <c r="V1148" s="216"/>
      <c r="W1148" s="216"/>
      <c r="X1148" s="216"/>
    </row>
    <row r="1149" spans="1:24" ht="15" customHeight="1">
      <c r="A1149" s="134" t="s">
        <v>3978</v>
      </c>
      <c r="B1149" s="586" t="s">
        <v>3979</v>
      </c>
      <c r="C1149" s="133" t="s">
        <v>105</v>
      </c>
      <c r="D1149" s="134" t="s">
        <v>3982</v>
      </c>
      <c r="E1149" s="647" t="s">
        <v>3983</v>
      </c>
      <c r="F1149" s="134" t="s">
        <v>1338</v>
      </c>
      <c r="G1149" s="649">
        <v>6</v>
      </c>
      <c r="H1149" s="649">
        <v>6</v>
      </c>
      <c r="I1149" s="649">
        <v>6</v>
      </c>
      <c r="J1149" s="272">
        <v>50</v>
      </c>
      <c r="K1149" s="134">
        <f t="shared" si="47"/>
        <v>8.3333333333333339</v>
      </c>
      <c r="L1149" s="338" t="s">
        <v>111</v>
      </c>
      <c r="M1149" s="216"/>
      <c r="N1149" s="216"/>
      <c r="O1149" s="216"/>
      <c r="P1149" s="216"/>
      <c r="Q1149" s="216"/>
      <c r="R1149" s="216"/>
      <c r="S1149" s="216"/>
      <c r="T1149" s="216"/>
      <c r="U1149" s="216"/>
      <c r="V1149" s="216"/>
      <c r="W1149" s="216"/>
      <c r="X1149" s="216"/>
    </row>
    <row r="1150" spans="1:24" ht="15" customHeight="1">
      <c r="A1150" s="134" t="s">
        <v>3978</v>
      </c>
      <c r="B1150" s="586" t="s">
        <v>3979</v>
      </c>
      <c r="C1150" s="133" t="s">
        <v>105</v>
      </c>
      <c r="D1150" s="134" t="s">
        <v>3984</v>
      </c>
      <c r="E1150" s="647" t="s">
        <v>1825</v>
      </c>
      <c r="F1150" s="134" t="s">
        <v>1338</v>
      </c>
      <c r="G1150" s="649">
        <v>6</v>
      </c>
      <c r="H1150" s="649">
        <v>6</v>
      </c>
      <c r="I1150" s="649">
        <v>6</v>
      </c>
      <c r="J1150" s="272">
        <v>50</v>
      </c>
      <c r="K1150" s="134">
        <f t="shared" si="47"/>
        <v>8.3333333333333339</v>
      </c>
      <c r="L1150" s="338" t="s">
        <v>111</v>
      </c>
      <c r="M1150" s="216"/>
      <c r="N1150" s="216"/>
      <c r="O1150" s="216"/>
      <c r="P1150" s="216"/>
      <c r="Q1150" s="216"/>
      <c r="R1150" s="216"/>
      <c r="S1150" s="216"/>
      <c r="T1150" s="216"/>
      <c r="U1150" s="216"/>
      <c r="V1150" s="216"/>
      <c r="W1150" s="216"/>
      <c r="X1150" s="216"/>
    </row>
    <row r="1151" spans="1:24" ht="15" customHeight="1">
      <c r="A1151" s="134" t="s">
        <v>3978</v>
      </c>
      <c r="B1151" s="586" t="s">
        <v>3979</v>
      </c>
      <c r="C1151" s="133" t="s">
        <v>105</v>
      </c>
      <c r="D1151" s="134" t="s">
        <v>3985</v>
      </c>
      <c r="E1151" s="647" t="s">
        <v>1828</v>
      </c>
      <c r="F1151" s="134" t="s">
        <v>1338</v>
      </c>
      <c r="G1151" s="649">
        <v>6</v>
      </c>
      <c r="H1151" s="649">
        <v>6</v>
      </c>
      <c r="I1151" s="649">
        <v>6</v>
      </c>
      <c r="J1151" s="272">
        <v>50</v>
      </c>
      <c r="K1151" s="134">
        <f t="shared" si="47"/>
        <v>8.3333333333333339</v>
      </c>
      <c r="L1151" s="338" t="s">
        <v>111</v>
      </c>
      <c r="M1151" s="216"/>
      <c r="N1151" s="216"/>
      <c r="O1151" s="216"/>
      <c r="P1151" s="216"/>
      <c r="Q1151" s="216"/>
      <c r="R1151" s="216"/>
      <c r="S1151" s="216"/>
      <c r="T1151" s="216"/>
      <c r="U1151" s="216"/>
      <c r="V1151" s="216"/>
      <c r="W1151" s="216"/>
      <c r="X1151" s="216"/>
    </row>
    <row r="1152" spans="1:24" ht="15" customHeight="1">
      <c r="A1152" s="134" t="s">
        <v>3978</v>
      </c>
      <c r="B1152" s="586" t="s">
        <v>3979</v>
      </c>
      <c r="C1152" s="133" t="s">
        <v>105</v>
      </c>
      <c r="D1152" s="134" t="s">
        <v>3986</v>
      </c>
      <c r="E1152" s="647" t="s">
        <v>3987</v>
      </c>
      <c r="F1152" s="134" t="s">
        <v>1338</v>
      </c>
      <c r="G1152" s="649">
        <v>6</v>
      </c>
      <c r="H1152" s="649">
        <v>6</v>
      </c>
      <c r="I1152" s="649">
        <v>6</v>
      </c>
      <c r="J1152" s="272">
        <v>50</v>
      </c>
      <c r="K1152" s="134">
        <f t="shared" si="47"/>
        <v>8.3333333333333339</v>
      </c>
      <c r="L1152" s="338" t="s">
        <v>111</v>
      </c>
      <c r="M1152" s="216"/>
      <c r="N1152" s="216"/>
      <c r="O1152" s="216"/>
      <c r="P1152" s="216"/>
      <c r="Q1152" s="216"/>
      <c r="R1152" s="216"/>
      <c r="S1152" s="216"/>
      <c r="T1152" s="216"/>
      <c r="U1152" s="216"/>
      <c r="V1152" s="216"/>
      <c r="W1152" s="216"/>
      <c r="X1152" s="216"/>
    </row>
    <row r="1153" spans="1:24" ht="15" customHeight="1">
      <c r="A1153" s="134" t="s">
        <v>3978</v>
      </c>
      <c r="B1153" s="586" t="s">
        <v>3979</v>
      </c>
      <c r="C1153" s="133" t="s">
        <v>105</v>
      </c>
      <c r="D1153" s="134" t="s">
        <v>3988</v>
      </c>
      <c r="E1153" s="647" t="s">
        <v>3989</v>
      </c>
      <c r="F1153" s="134" t="s">
        <v>1338</v>
      </c>
      <c r="G1153" s="649">
        <v>6</v>
      </c>
      <c r="H1153" s="649">
        <v>6</v>
      </c>
      <c r="I1153" s="649">
        <v>6</v>
      </c>
      <c r="J1153" s="272">
        <v>50</v>
      </c>
      <c r="K1153" s="134">
        <f t="shared" si="47"/>
        <v>8.3333333333333339</v>
      </c>
      <c r="L1153" s="338" t="s">
        <v>111</v>
      </c>
      <c r="M1153" s="216"/>
      <c r="N1153" s="216"/>
      <c r="O1153" s="216"/>
      <c r="P1153" s="216"/>
      <c r="Q1153" s="216"/>
      <c r="R1153" s="216"/>
      <c r="S1153" s="216"/>
      <c r="T1153" s="216"/>
      <c r="U1153" s="216"/>
      <c r="V1153" s="216"/>
      <c r="W1153" s="216"/>
      <c r="X1153" s="216"/>
    </row>
    <row r="1154" spans="1:24" ht="15" customHeight="1">
      <c r="A1154" s="134" t="s">
        <v>3978</v>
      </c>
      <c r="B1154" s="586" t="s">
        <v>3979</v>
      </c>
      <c r="C1154" s="133" t="s">
        <v>105</v>
      </c>
      <c r="D1154" s="134" t="s">
        <v>3990</v>
      </c>
      <c r="E1154" s="647" t="s">
        <v>1820</v>
      </c>
      <c r="F1154" s="134" t="s">
        <v>1338</v>
      </c>
      <c r="G1154" s="649">
        <v>6</v>
      </c>
      <c r="H1154" s="649">
        <v>6</v>
      </c>
      <c r="I1154" s="649">
        <v>6</v>
      </c>
      <c r="J1154" s="272">
        <v>50</v>
      </c>
      <c r="K1154" s="134">
        <f t="shared" si="47"/>
        <v>8.3333333333333339</v>
      </c>
      <c r="L1154" s="338" t="s">
        <v>111</v>
      </c>
      <c r="M1154" s="216"/>
      <c r="N1154" s="216"/>
      <c r="O1154" s="216"/>
      <c r="P1154" s="216"/>
      <c r="Q1154" s="216"/>
      <c r="R1154" s="216"/>
      <c r="S1154" s="216"/>
      <c r="T1154" s="216"/>
      <c r="U1154" s="216"/>
      <c r="V1154" s="216"/>
      <c r="W1154" s="216"/>
      <c r="X1154" s="216"/>
    </row>
    <row r="1155" spans="1:24" ht="15" customHeight="1">
      <c r="A1155" s="134" t="s">
        <v>3991</v>
      </c>
      <c r="B1155" s="133" t="s">
        <v>3992</v>
      </c>
      <c r="C1155" s="133" t="s">
        <v>105</v>
      </c>
      <c r="D1155" s="134" t="s">
        <v>3993</v>
      </c>
      <c r="E1155" s="647" t="s">
        <v>3981</v>
      </c>
      <c r="F1155" s="134" t="s">
        <v>1338</v>
      </c>
      <c r="G1155" s="649">
        <v>1</v>
      </c>
      <c r="H1155" s="649">
        <v>1</v>
      </c>
      <c r="I1155" s="649">
        <v>6</v>
      </c>
      <c r="J1155" s="272">
        <v>50</v>
      </c>
      <c r="K1155" s="134">
        <f t="shared" si="47"/>
        <v>50</v>
      </c>
      <c r="L1155" s="338" t="s">
        <v>111</v>
      </c>
      <c r="M1155" s="216"/>
      <c r="N1155" s="216"/>
      <c r="O1155" s="216"/>
      <c r="P1155" s="216"/>
      <c r="Q1155" s="216"/>
      <c r="R1155" s="216"/>
      <c r="S1155" s="216"/>
      <c r="T1155" s="216"/>
      <c r="U1155" s="216"/>
      <c r="V1155" s="216"/>
      <c r="W1155" s="216"/>
      <c r="X1155" s="216"/>
    </row>
    <row r="1156" spans="1:24" ht="15" customHeight="1">
      <c r="A1156" s="134" t="s">
        <v>3991</v>
      </c>
      <c r="B1156" s="133" t="s">
        <v>3992</v>
      </c>
      <c r="C1156" s="133" t="s">
        <v>105</v>
      </c>
      <c r="D1156" s="134" t="s">
        <v>3994</v>
      </c>
      <c r="E1156" s="647" t="s">
        <v>3910</v>
      </c>
      <c r="F1156" s="134" t="s">
        <v>1338</v>
      </c>
      <c r="G1156" s="649">
        <v>1</v>
      </c>
      <c r="H1156" s="649">
        <v>1</v>
      </c>
      <c r="I1156" s="649">
        <v>6</v>
      </c>
      <c r="J1156" s="272">
        <v>50</v>
      </c>
      <c r="K1156" s="134">
        <f t="shared" si="47"/>
        <v>50</v>
      </c>
      <c r="L1156" s="338" t="s">
        <v>111</v>
      </c>
      <c r="M1156" s="216"/>
      <c r="N1156" s="216"/>
      <c r="O1156" s="216"/>
      <c r="P1156" s="216"/>
      <c r="Q1156" s="216"/>
      <c r="R1156" s="216"/>
      <c r="S1156" s="216"/>
      <c r="T1156" s="216"/>
      <c r="U1156" s="216"/>
      <c r="V1156" s="216"/>
      <c r="W1156" s="216"/>
      <c r="X1156" s="216"/>
    </row>
    <row r="1157" spans="1:24" ht="15" customHeight="1">
      <c r="A1157" s="134" t="s">
        <v>3991</v>
      </c>
      <c r="B1157" s="133" t="s">
        <v>3992</v>
      </c>
      <c r="C1157" s="133" t="s">
        <v>105</v>
      </c>
      <c r="D1157" s="134" t="s">
        <v>3995</v>
      </c>
      <c r="E1157" s="647" t="s">
        <v>3996</v>
      </c>
      <c r="F1157" s="134" t="s">
        <v>1338</v>
      </c>
      <c r="G1157" s="649">
        <v>1</v>
      </c>
      <c r="H1157" s="649">
        <v>1</v>
      </c>
      <c r="I1157" s="649">
        <v>6</v>
      </c>
      <c r="J1157" s="272">
        <v>50</v>
      </c>
      <c r="K1157" s="134">
        <f t="shared" si="47"/>
        <v>50</v>
      </c>
      <c r="L1157" s="338" t="s">
        <v>111</v>
      </c>
      <c r="M1157" s="216"/>
      <c r="N1157" s="216"/>
      <c r="O1157" s="216"/>
      <c r="P1157" s="216"/>
      <c r="Q1157" s="216"/>
      <c r="R1157" s="216"/>
      <c r="S1157" s="216"/>
      <c r="T1157" s="216"/>
      <c r="U1157" s="216"/>
      <c r="V1157" s="216"/>
      <c r="W1157" s="216"/>
      <c r="X1157" s="216"/>
    </row>
    <row r="1158" spans="1:24" ht="15" customHeight="1">
      <c r="A1158" s="134" t="s">
        <v>3991</v>
      </c>
      <c r="B1158" s="133" t="s">
        <v>3992</v>
      </c>
      <c r="C1158" s="133" t="s">
        <v>105</v>
      </c>
      <c r="D1158" s="134" t="s">
        <v>3997</v>
      </c>
      <c r="E1158" s="647" t="s">
        <v>3998</v>
      </c>
      <c r="F1158" s="134" t="s">
        <v>1338</v>
      </c>
      <c r="G1158" s="649">
        <v>1</v>
      </c>
      <c r="H1158" s="649">
        <v>1</v>
      </c>
      <c r="I1158" s="649">
        <v>6</v>
      </c>
      <c r="J1158" s="272">
        <v>50</v>
      </c>
      <c r="K1158" s="134">
        <f t="shared" si="47"/>
        <v>50</v>
      </c>
      <c r="L1158" s="338" t="s">
        <v>111</v>
      </c>
      <c r="M1158" s="216"/>
      <c r="N1158" s="216"/>
      <c r="O1158" s="216"/>
      <c r="P1158" s="216"/>
      <c r="Q1158" s="216"/>
      <c r="R1158" s="216"/>
      <c r="S1158" s="216"/>
      <c r="T1158" s="216"/>
      <c r="U1158" s="216"/>
      <c r="V1158" s="216"/>
      <c r="W1158" s="216"/>
      <c r="X1158" s="216"/>
    </row>
    <row r="1159" spans="1:24" ht="15" customHeight="1">
      <c r="A1159" s="134" t="s">
        <v>3991</v>
      </c>
      <c r="B1159" s="133" t="s">
        <v>3992</v>
      </c>
      <c r="C1159" s="133" t="s">
        <v>105</v>
      </c>
      <c r="D1159" s="134" t="s">
        <v>3999</v>
      </c>
      <c r="E1159" s="647" t="s">
        <v>1825</v>
      </c>
      <c r="F1159" s="134" t="s">
        <v>1338</v>
      </c>
      <c r="G1159" s="649">
        <v>1</v>
      </c>
      <c r="H1159" s="649">
        <v>1</v>
      </c>
      <c r="I1159" s="649">
        <v>6</v>
      </c>
      <c r="J1159" s="272">
        <v>50</v>
      </c>
      <c r="K1159" s="134">
        <f t="shared" si="47"/>
        <v>50</v>
      </c>
      <c r="L1159" s="338" t="s">
        <v>111</v>
      </c>
      <c r="M1159" s="216"/>
      <c r="N1159" s="216"/>
      <c r="O1159" s="216"/>
      <c r="P1159" s="216"/>
      <c r="Q1159" s="216"/>
      <c r="R1159" s="216"/>
      <c r="S1159" s="216"/>
      <c r="T1159" s="216"/>
      <c r="U1159" s="216"/>
      <c r="V1159" s="216"/>
      <c r="W1159" s="216"/>
      <c r="X1159" s="216"/>
    </row>
    <row r="1160" spans="1:24" ht="15" customHeight="1">
      <c r="A1160" s="134" t="s">
        <v>3991</v>
      </c>
      <c r="B1160" s="133" t="s">
        <v>3992</v>
      </c>
      <c r="C1160" s="133" t="s">
        <v>105</v>
      </c>
      <c r="D1160" s="134" t="s">
        <v>4000</v>
      </c>
      <c r="E1160" s="647" t="s">
        <v>3931</v>
      </c>
      <c r="F1160" s="134" t="s">
        <v>1338</v>
      </c>
      <c r="G1160" s="649">
        <v>1</v>
      </c>
      <c r="H1160" s="649">
        <v>1</v>
      </c>
      <c r="I1160" s="649">
        <v>6</v>
      </c>
      <c r="J1160" s="272">
        <v>50</v>
      </c>
      <c r="K1160" s="134">
        <f t="shared" si="47"/>
        <v>50</v>
      </c>
      <c r="L1160" s="338" t="s">
        <v>111</v>
      </c>
      <c r="M1160" s="216"/>
      <c r="N1160" s="216"/>
      <c r="O1160" s="216"/>
      <c r="P1160" s="216"/>
      <c r="Q1160" s="216"/>
      <c r="R1160" s="216"/>
      <c r="S1160" s="216"/>
      <c r="T1160" s="216"/>
      <c r="U1160" s="216"/>
      <c r="V1160" s="216"/>
      <c r="W1160" s="216"/>
      <c r="X1160" s="216"/>
    </row>
    <row r="1161" spans="1:24" ht="15" customHeight="1">
      <c r="A1161" s="134" t="s">
        <v>3991</v>
      </c>
      <c r="B1161" s="133" t="s">
        <v>3992</v>
      </c>
      <c r="C1161" s="133" t="s">
        <v>105</v>
      </c>
      <c r="D1161" s="134" t="s">
        <v>4001</v>
      </c>
      <c r="E1161" s="647" t="s">
        <v>4002</v>
      </c>
      <c r="F1161" s="134" t="s">
        <v>1338</v>
      </c>
      <c r="G1161" s="649">
        <v>1</v>
      </c>
      <c r="H1161" s="649">
        <v>1</v>
      </c>
      <c r="I1161" s="649">
        <v>6</v>
      </c>
      <c r="J1161" s="272">
        <v>50</v>
      </c>
      <c r="K1161" s="134">
        <f t="shared" si="47"/>
        <v>50</v>
      </c>
      <c r="L1161" s="338" t="s">
        <v>111</v>
      </c>
      <c r="M1161" s="216"/>
      <c r="N1161" s="216"/>
      <c r="O1161" s="216"/>
      <c r="P1161" s="216"/>
      <c r="Q1161" s="216"/>
      <c r="R1161" s="216"/>
      <c r="S1161" s="216"/>
      <c r="T1161" s="216"/>
      <c r="U1161" s="216"/>
      <c r="V1161" s="216"/>
      <c r="W1161" s="216"/>
      <c r="X1161" s="216"/>
    </row>
    <row r="1162" spans="1:24" ht="15" customHeight="1">
      <c r="A1162" s="134" t="s">
        <v>3991</v>
      </c>
      <c r="B1162" s="133" t="s">
        <v>3992</v>
      </c>
      <c r="C1162" s="133" t="s">
        <v>105</v>
      </c>
      <c r="D1162" s="134" t="s">
        <v>4003</v>
      </c>
      <c r="E1162" s="647" t="s">
        <v>4004</v>
      </c>
      <c r="F1162" s="134" t="s">
        <v>1338</v>
      </c>
      <c r="G1162" s="649">
        <v>1</v>
      </c>
      <c r="H1162" s="649">
        <v>1</v>
      </c>
      <c r="I1162" s="649">
        <v>6</v>
      </c>
      <c r="J1162" s="272">
        <v>50</v>
      </c>
      <c r="K1162" s="134">
        <f t="shared" si="47"/>
        <v>50</v>
      </c>
      <c r="L1162" s="338" t="s">
        <v>111</v>
      </c>
      <c r="M1162" s="216"/>
      <c r="N1162" s="216"/>
      <c r="O1162" s="216"/>
      <c r="P1162" s="216"/>
      <c r="Q1162" s="216"/>
      <c r="R1162" s="216"/>
      <c r="S1162" s="216"/>
      <c r="T1162" s="216"/>
      <c r="U1162" s="216"/>
      <c r="V1162" s="216"/>
      <c r="W1162" s="216"/>
      <c r="X1162" s="216"/>
    </row>
    <row r="1163" spans="1:24" ht="15" customHeight="1">
      <c r="A1163" s="134" t="s">
        <v>3991</v>
      </c>
      <c r="B1163" s="133" t="s">
        <v>3992</v>
      </c>
      <c r="C1163" s="133" t="s">
        <v>105</v>
      </c>
      <c r="D1163" s="134" t="s">
        <v>4005</v>
      </c>
      <c r="E1163" s="647" t="s">
        <v>4006</v>
      </c>
      <c r="F1163" s="134" t="s">
        <v>1338</v>
      </c>
      <c r="G1163" s="649">
        <v>1</v>
      </c>
      <c r="H1163" s="649">
        <v>1</v>
      </c>
      <c r="I1163" s="649">
        <v>6</v>
      </c>
      <c r="J1163" s="272">
        <v>50</v>
      </c>
      <c r="K1163" s="134">
        <f t="shared" si="47"/>
        <v>50</v>
      </c>
      <c r="L1163" s="338" t="s">
        <v>111</v>
      </c>
      <c r="M1163" s="216"/>
      <c r="N1163" s="216"/>
      <c r="O1163" s="216"/>
      <c r="P1163" s="216"/>
      <c r="Q1163" s="216"/>
      <c r="R1163" s="216"/>
      <c r="S1163" s="216"/>
      <c r="T1163" s="216"/>
      <c r="U1163" s="216"/>
      <c r="V1163" s="216"/>
      <c r="W1163" s="216"/>
      <c r="X1163" s="216"/>
    </row>
    <row r="1164" spans="1:24" ht="15" customHeight="1">
      <c r="A1164" s="134" t="s">
        <v>3991</v>
      </c>
      <c r="B1164" s="133" t="s">
        <v>3992</v>
      </c>
      <c r="C1164" s="133" t="s">
        <v>105</v>
      </c>
      <c r="D1164" s="134" t="s">
        <v>4007</v>
      </c>
      <c r="E1164" s="647" t="s">
        <v>4008</v>
      </c>
      <c r="F1164" s="134" t="s">
        <v>1338</v>
      </c>
      <c r="G1164" s="649">
        <v>1</v>
      </c>
      <c r="H1164" s="649">
        <v>1</v>
      </c>
      <c r="I1164" s="649">
        <v>6</v>
      </c>
      <c r="J1164" s="272">
        <v>50</v>
      </c>
      <c r="K1164" s="134">
        <f t="shared" si="47"/>
        <v>50</v>
      </c>
      <c r="L1164" s="338" t="s">
        <v>111</v>
      </c>
      <c r="M1164" s="216"/>
      <c r="N1164" s="216"/>
      <c r="O1164" s="216"/>
      <c r="P1164" s="216"/>
      <c r="Q1164" s="216"/>
      <c r="R1164" s="216"/>
      <c r="S1164" s="216"/>
      <c r="T1164" s="216"/>
      <c r="U1164" s="216"/>
      <c r="V1164" s="216"/>
      <c r="W1164" s="216"/>
      <c r="X1164" s="216"/>
    </row>
    <row r="1165" spans="1:24" ht="15" customHeight="1">
      <c r="A1165" s="134" t="s">
        <v>3991</v>
      </c>
      <c r="B1165" s="133" t="s">
        <v>3992</v>
      </c>
      <c r="C1165" s="133" t="s">
        <v>105</v>
      </c>
      <c r="D1165" s="134" t="s">
        <v>4009</v>
      </c>
      <c r="E1165" s="647" t="s">
        <v>1850</v>
      </c>
      <c r="F1165" s="134" t="s">
        <v>1338</v>
      </c>
      <c r="G1165" s="649">
        <v>1</v>
      </c>
      <c r="H1165" s="649">
        <v>1</v>
      </c>
      <c r="I1165" s="649">
        <v>6</v>
      </c>
      <c r="J1165" s="272">
        <v>50</v>
      </c>
      <c r="K1165" s="134">
        <f t="shared" si="47"/>
        <v>50</v>
      </c>
      <c r="L1165" s="338" t="s">
        <v>111</v>
      </c>
      <c r="M1165" s="216"/>
      <c r="N1165" s="216"/>
      <c r="O1165" s="216"/>
      <c r="P1165" s="216"/>
      <c r="Q1165" s="216"/>
      <c r="R1165" s="216"/>
      <c r="S1165" s="216"/>
      <c r="T1165" s="216"/>
      <c r="U1165" s="216"/>
      <c r="V1165" s="216"/>
      <c r="W1165" s="216"/>
      <c r="X1165" s="216"/>
    </row>
    <row r="1166" spans="1:24" ht="15" customHeight="1">
      <c r="A1166" s="134" t="s">
        <v>3991</v>
      </c>
      <c r="B1166" s="133" t="s">
        <v>3992</v>
      </c>
      <c r="C1166" s="133" t="s">
        <v>105</v>
      </c>
      <c r="D1166" s="134" t="s">
        <v>4010</v>
      </c>
      <c r="E1166" s="647" t="s">
        <v>3942</v>
      </c>
      <c r="F1166" s="134" t="s">
        <v>1338</v>
      </c>
      <c r="G1166" s="649">
        <v>1</v>
      </c>
      <c r="H1166" s="649">
        <v>1</v>
      </c>
      <c r="I1166" s="649">
        <v>6</v>
      </c>
      <c r="J1166" s="272">
        <v>50</v>
      </c>
      <c r="K1166" s="134">
        <f t="shared" si="47"/>
        <v>50</v>
      </c>
      <c r="L1166" s="338" t="s">
        <v>111</v>
      </c>
      <c r="M1166" s="216"/>
      <c r="N1166" s="216"/>
      <c r="O1166" s="216"/>
      <c r="P1166" s="216"/>
      <c r="Q1166" s="216"/>
      <c r="R1166" s="216"/>
      <c r="S1166" s="216"/>
      <c r="T1166" s="216"/>
      <c r="U1166" s="216"/>
      <c r="V1166" s="216"/>
      <c r="W1166" s="216"/>
      <c r="X1166" s="216"/>
    </row>
    <row r="1167" spans="1:24" ht="15" customHeight="1">
      <c r="A1167" s="134" t="s">
        <v>3991</v>
      </c>
      <c r="B1167" s="133" t="s">
        <v>3992</v>
      </c>
      <c r="C1167" s="133" t="s">
        <v>105</v>
      </c>
      <c r="D1167" s="134" t="s">
        <v>4011</v>
      </c>
      <c r="E1167" s="647" t="s">
        <v>3946</v>
      </c>
      <c r="F1167" s="134" t="s">
        <v>1338</v>
      </c>
      <c r="G1167" s="649">
        <v>1</v>
      </c>
      <c r="H1167" s="649">
        <v>1</v>
      </c>
      <c r="I1167" s="649">
        <v>6</v>
      </c>
      <c r="J1167" s="272">
        <v>50</v>
      </c>
      <c r="K1167" s="134">
        <f t="shared" si="47"/>
        <v>50</v>
      </c>
      <c r="L1167" s="338" t="s">
        <v>111</v>
      </c>
      <c r="M1167" s="216"/>
      <c r="N1167" s="216"/>
      <c r="O1167" s="216"/>
      <c r="P1167" s="216"/>
      <c r="Q1167" s="216"/>
      <c r="R1167" s="216"/>
      <c r="S1167" s="216"/>
      <c r="T1167" s="216"/>
      <c r="U1167" s="216"/>
      <c r="V1167" s="216"/>
      <c r="W1167" s="216"/>
      <c r="X1167" s="216"/>
    </row>
    <row r="1168" spans="1:24" ht="15" customHeight="1">
      <c r="A1168" s="134" t="s">
        <v>3991</v>
      </c>
      <c r="B1168" s="133" t="s">
        <v>3992</v>
      </c>
      <c r="C1168" s="133" t="s">
        <v>105</v>
      </c>
      <c r="D1168" s="134" t="s">
        <v>4012</v>
      </c>
      <c r="E1168" s="647" t="s">
        <v>4013</v>
      </c>
      <c r="F1168" s="134" t="s">
        <v>635</v>
      </c>
      <c r="G1168" s="649">
        <v>1</v>
      </c>
      <c r="H1168" s="649">
        <v>1</v>
      </c>
      <c r="I1168" s="649">
        <v>6</v>
      </c>
      <c r="J1168" s="272">
        <v>50</v>
      </c>
      <c r="K1168" s="134">
        <f t="shared" si="47"/>
        <v>50</v>
      </c>
      <c r="L1168" s="338" t="s">
        <v>111</v>
      </c>
      <c r="M1168" s="216"/>
      <c r="N1168" s="216"/>
      <c r="O1168" s="216"/>
      <c r="P1168" s="216"/>
      <c r="Q1168" s="216"/>
      <c r="R1168" s="216"/>
      <c r="S1168" s="216"/>
      <c r="T1168" s="216"/>
      <c r="U1168" s="216"/>
      <c r="V1168" s="216"/>
      <c r="W1168" s="216"/>
      <c r="X1168" s="216"/>
    </row>
    <row r="1169" spans="1:24" ht="15" customHeight="1">
      <c r="A1169" s="134" t="s">
        <v>3991</v>
      </c>
      <c r="B1169" s="133" t="s">
        <v>3992</v>
      </c>
      <c r="C1169" s="133" t="s">
        <v>105</v>
      </c>
      <c r="D1169" s="134" t="s">
        <v>3958</v>
      </c>
      <c r="E1169" s="647" t="s">
        <v>3959</v>
      </c>
      <c r="F1169" s="134" t="s">
        <v>635</v>
      </c>
      <c r="G1169" s="649">
        <v>1</v>
      </c>
      <c r="H1169" s="649">
        <v>1</v>
      </c>
      <c r="I1169" s="649">
        <v>6</v>
      </c>
      <c r="J1169" s="272">
        <v>50</v>
      </c>
      <c r="K1169" s="134">
        <f t="shared" si="47"/>
        <v>50</v>
      </c>
      <c r="L1169" s="338" t="s">
        <v>111</v>
      </c>
      <c r="M1169" s="216"/>
      <c r="N1169" s="216"/>
      <c r="O1169" s="216"/>
      <c r="P1169" s="216"/>
      <c r="Q1169" s="216"/>
      <c r="R1169" s="216"/>
      <c r="S1169" s="216"/>
      <c r="T1169" s="216"/>
      <c r="U1169" s="216"/>
      <c r="V1169" s="216"/>
      <c r="W1169" s="216"/>
      <c r="X1169" s="216"/>
    </row>
    <row r="1170" spans="1:24" ht="15" customHeight="1">
      <c r="A1170" s="134" t="s">
        <v>3991</v>
      </c>
      <c r="B1170" s="133" t="s">
        <v>3992</v>
      </c>
      <c r="C1170" s="133" t="s">
        <v>105</v>
      </c>
      <c r="D1170" s="134" t="s">
        <v>4014</v>
      </c>
      <c r="E1170" s="647" t="s">
        <v>4015</v>
      </c>
      <c r="F1170" s="134" t="s">
        <v>635</v>
      </c>
      <c r="G1170" s="649">
        <v>1</v>
      </c>
      <c r="H1170" s="649">
        <v>1</v>
      </c>
      <c r="I1170" s="649">
        <v>6</v>
      </c>
      <c r="J1170" s="272">
        <v>50</v>
      </c>
      <c r="K1170" s="134">
        <f t="shared" si="47"/>
        <v>50</v>
      </c>
      <c r="L1170" s="338" t="s">
        <v>111</v>
      </c>
      <c r="M1170" s="216"/>
      <c r="N1170" s="216"/>
      <c r="O1170" s="216"/>
      <c r="P1170" s="216"/>
      <c r="Q1170" s="216"/>
      <c r="R1170" s="216"/>
      <c r="S1170" s="216"/>
      <c r="T1170" s="216"/>
      <c r="U1170" s="216"/>
      <c r="V1170" s="216"/>
      <c r="W1170" s="216"/>
      <c r="X1170" s="216"/>
    </row>
    <row r="1171" spans="1:24" ht="15" customHeight="1">
      <c r="A1171" s="134" t="s">
        <v>4016</v>
      </c>
      <c r="B1171" s="586" t="s">
        <v>4017</v>
      </c>
      <c r="C1171" s="133" t="s">
        <v>105</v>
      </c>
      <c r="D1171" s="399" t="s">
        <v>4018</v>
      </c>
      <c r="E1171" s="378" t="s">
        <v>4019</v>
      </c>
      <c r="F1171" s="134" t="s">
        <v>1338</v>
      </c>
      <c r="G1171" s="649">
        <v>1</v>
      </c>
      <c r="H1171" s="649">
        <v>1</v>
      </c>
      <c r="I1171" s="649">
        <v>1</v>
      </c>
      <c r="J1171" s="272">
        <v>50</v>
      </c>
      <c r="K1171" s="134">
        <f t="shared" si="47"/>
        <v>50</v>
      </c>
      <c r="L1171" s="338" t="s">
        <v>111</v>
      </c>
      <c r="M1171" s="216"/>
      <c r="N1171" s="216"/>
      <c r="O1171" s="216"/>
      <c r="P1171" s="216"/>
      <c r="Q1171" s="216"/>
      <c r="R1171" s="216"/>
      <c r="S1171" s="216"/>
      <c r="T1171" s="216"/>
      <c r="U1171" s="216"/>
      <c r="V1171" s="216"/>
      <c r="W1171" s="216"/>
      <c r="X1171" s="216"/>
    </row>
    <row r="1172" spans="1:24" ht="15" customHeight="1">
      <c r="A1172" s="134" t="s">
        <v>4020</v>
      </c>
      <c r="B1172" s="586" t="s">
        <v>4021</v>
      </c>
      <c r="C1172" s="133" t="s">
        <v>105</v>
      </c>
      <c r="D1172" s="134" t="s">
        <v>4022</v>
      </c>
      <c r="E1172" s="647" t="s">
        <v>4023</v>
      </c>
      <c r="F1172" s="134" t="s">
        <v>1338</v>
      </c>
      <c r="G1172" s="649">
        <v>3</v>
      </c>
      <c r="H1172" s="649">
        <v>1</v>
      </c>
      <c r="I1172" s="649">
        <v>5</v>
      </c>
      <c r="J1172" s="272">
        <v>50</v>
      </c>
      <c r="K1172" s="134">
        <f t="shared" si="47"/>
        <v>16.666666666666668</v>
      </c>
      <c r="L1172" s="338" t="s">
        <v>111</v>
      </c>
      <c r="M1172" s="216"/>
      <c r="N1172" s="216"/>
      <c r="O1172" s="216"/>
      <c r="P1172" s="216"/>
      <c r="Q1172" s="216"/>
      <c r="R1172" s="216"/>
      <c r="S1172" s="216"/>
      <c r="T1172" s="216"/>
      <c r="U1172" s="216"/>
      <c r="V1172" s="216"/>
      <c r="W1172" s="216"/>
      <c r="X1172" s="216"/>
    </row>
    <row r="1173" spans="1:24" ht="15" customHeight="1">
      <c r="A1173" s="134" t="s">
        <v>4020</v>
      </c>
      <c r="B1173" s="586" t="s">
        <v>4021</v>
      </c>
      <c r="C1173" s="133" t="s">
        <v>105</v>
      </c>
      <c r="D1173" s="134" t="s">
        <v>4024</v>
      </c>
      <c r="E1173" s="647" t="s">
        <v>4025</v>
      </c>
      <c r="F1173" s="134" t="s">
        <v>635</v>
      </c>
      <c r="G1173" s="649">
        <v>3</v>
      </c>
      <c r="H1173" s="649">
        <v>1</v>
      </c>
      <c r="I1173" s="649">
        <v>5</v>
      </c>
      <c r="J1173" s="272">
        <v>50</v>
      </c>
      <c r="K1173" s="134">
        <f t="shared" si="47"/>
        <v>16.666666666666668</v>
      </c>
      <c r="L1173" s="338" t="s">
        <v>111</v>
      </c>
      <c r="M1173" s="216"/>
      <c r="N1173" s="216"/>
      <c r="O1173" s="216"/>
      <c r="P1173" s="216"/>
      <c r="Q1173" s="216"/>
      <c r="R1173" s="216"/>
      <c r="S1173" s="216"/>
      <c r="T1173" s="216"/>
      <c r="U1173" s="216"/>
      <c r="V1173" s="216"/>
      <c r="W1173" s="216"/>
      <c r="X1173" s="216"/>
    </row>
    <row r="1174" spans="1:24" ht="15" customHeight="1">
      <c r="A1174" s="133" t="s">
        <v>1013</v>
      </c>
      <c r="B1174" s="134" t="s">
        <v>4026</v>
      </c>
      <c r="C1174" s="99" t="s">
        <v>105</v>
      </c>
      <c r="D1174" s="134" t="s">
        <v>4027</v>
      </c>
      <c r="E1174" s="647" t="s">
        <v>4028</v>
      </c>
      <c r="F1174" s="134" t="s">
        <v>1338</v>
      </c>
      <c r="G1174" s="649">
        <v>2</v>
      </c>
      <c r="H1174" s="649">
        <v>2</v>
      </c>
      <c r="I1174" s="649">
        <v>6</v>
      </c>
      <c r="J1174" s="272">
        <v>50</v>
      </c>
      <c r="K1174" s="134">
        <f t="shared" si="47"/>
        <v>25</v>
      </c>
      <c r="L1174" s="338" t="s">
        <v>111</v>
      </c>
      <c r="M1174" s="216"/>
      <c r="N1174" s="216"/>
      <c r="O1174" s="216"/>
      <c r="P1174" s="216"/>
      <c r="Q1174" s="216"/>
      <c r="R1174" s="216"/>
      <c r="S1174" s="216"/>
      <c r="T1174" s="216"/>
      <c r="U1174" s="216"/>
      <c r="V1174" s="216"/>
      <c r="W1174" s="216"/>
      <c r="X1174" s="216"/>
    </row>
    <row r="1175" spans="1:24" ht="15" customHeight="1">
      <c r="A1175" s="133" t="s">
        <v>1013</v>
      </c>
      <c r="B1175" s="134" t="s">
        <v>4026</v>
      </c>
      <c r="C1175" s="99" t="s">
        <v>105</v>
      </c>
      <c r="D1175" s="134" t="s">
        <v>4029</v>
      </c>
      <c r="E1175" s="647" t="s">
        <v>4030</v>
      </c>
      <c r="F1175" s="134" t="s">
        <v>1338</v>
      </c>
      <c r="G1175" s="649">
        <v>2</v>
      </c>
      <c r="H1175" s="649">
        <v>2</v>
      </c>
      <c r="I1175" s="649">
        <v>6</v>
      </c>
      <c r="J1175" s="272">
        <v>50</v>
      </c>
      <c r="K1175" s="134">
        <f t="shared" si="47"/>
        <v>25</v>
      </c>
      <c r="L1175" s="338" t="s">
        <v>111</v>
      </c>
      <c r="M1175" s="216"/>
      <c r="N1175" s="216"/>
      <c r="O1175" s="216"/>
      <c r="P1175" s="216"/>
      <c r="Q1175" s="216"/>
      <c r="R1175" s="216"/>
      <c r="S1175" s="216"/>
      <c r="T1175" s="216"/>
      <c r="U1175" s="216"/>
      <c r="V1175" s="216"/>
      <c r="W1175" s="216"/>
      <c r="X1175" s="216"/>
    </row>
    <row r="1176" spans="1:24" ht="15" customHeight="1">
      <c r="A1176" s="133" t="s">
        <v>1013</v>
      </c>
      <c r="B1176" s="134" t="s">
        <v>4026</v>
      </c>
      <c r="C1176" s="99" t="s">
        <v>105</v>
      </c>
      <c r="D1176" s="134" t="s">
        <v>4031</v>
      </c>
      <c r="E1176" s="647" t="s">
        <v>4032</v>
      </c>
      <c r="F1176" s="134" t="s">
        <v>1338</v>
      </c>
      <c r="G1176" s="649">
        <v>2</v>
      </c>
      <c r="H1176" s="649">
        <v>2</v>
      </c>
      <c r="I1176" s="649">
        <v>6</v>
      </c>
      <c r="J1176" s="272">
        <v>50</v>
      </c>
      <c r="K1176" s="134">
        <f t="shared" si="47"/>
        <v>25</v>
      </c>
      <c r="L1176" s="338" t="s">
        <v>111</v>
      </c>
      <c r="M1176" s="216"/>
      <c r="N1176" s="216"/>
      <c r="O1176" s="216"/>
      <c r="P1176" s="216"/>
      <c r="Q1176" s="216"/>
      <c r="R1176" s="216"/>
      <c r="S1176" s="216"/>
      <c r="T1176" s="216"/>
      <c r="U1176" s="216"/>
      <c r="V1176" s="216"/>
      <c r="W1176" s="216"/>
      <c r="X1176" s="216"/>
    </row>
    <row r="1177" spans="1:24" ht="15" customHeight="1">
      <c r="A1177" s="133" t="s">
        <v>1013</v>
      </c>
      <c r="B1177" s="134" t="s">
        <v>4026</v>
      </c>
      <c r="C1177" s="99" t="s">
        <v>105</v>
      </c>
      <c r="D1177" s="134" t="s">
        <v>4033</v>
      </c>
      <c r="E1177" s="647" t="s">
        <v>1850</v>
      </c>
      <c r="F1177" s="134" t="s">
        <v>1338</v>
      </c>
      <c r="G1177" s="649">
        <v>2</v>
      </c>
      <c r="H1177" s="649">
        <v>2</v>
      </c>
      <c r="I1177" s="649">
        <v>6</v>
      </c>
      <c r="J1177" s="272">
        <v>50</v>
      </c>
      <c r="K1177" s="134">
        <f t="shared" si="47"/>
        <v>25</v>
      </c>
      <c r="L1177" s="338" t="s">
        <v>111</v>
      </c>
      <c r="M1177" s="216"/>
      <c r="N1177" s="216"/>
      <c r="O1177" s="216"/>
      <c r="P1177" s="216"/>
      <c r="Q1177" s="216"/>
      <c r="R1177" s="216"/>
      <c r="S1177" s="216"/>
      <c r="T1177" s="216"/>
      <c r="U1177" s="216"/>
      <c r="V1177" s="216"/>
      <c r="W1177" s="216"/>
      <c r="X1177" s="216"/>
    </row>
    <row r="1178" spans="1:24" ht="15" customHeight="1">
      <c r="A1178" s="133" t="s">
        <v>1013</v>
      </c>
      <c r="B1178" s="134" t="s">
        <v>4026</v>
      </c>
      <c r="C1178" s="99" t="s">
        <v>105</v>
      </c>
      <c r="D1178" s="134" t="s">
        <v>4034</v>
      </c>
      <c r="E1178" s="647" t="s">
        <v>4035</v>
      </c>
      <c r="F1178" s="134" t="s">
        <v>1338</v>
      </c>
      <c r="G1178" s="649">
        <v>2</v>
      </c>
      <c r="H1178" s="649">
        <v>2</v>
      </c>
      <c r="I1178" s="649">
        <v>6</v>
      </c>
      <c r="J1178" s="272">
        <v>50</v>
      </c>
      <c r="K1178" s="134">
        <f t="shared" si="47"/>
        <v>25</v>
      </c>
      <c r="L1178" s="338" t="s">
        <v>111</v>
      </c>
      <c r="M1178" s="216"/>
      <c r="N1178" s="216"/>
      <c r="O1178" s="216"/>
      <c r="P1178" s="216"/>
      <c r="Q1178" s="216"/>
      <c r="R1178" s="216"/>
      <c r="S1178" s="216"/>
      <c r="T1178" s="216"/>
      <c r="U1178" s="216"/>
      <c r="V1178" s="216"/>
      <c r="W1178" s="216"/>
      <c r="X1178" s="216"/>
    </row>
    <row r="1179" spans="1:24" ht="15" customHeight="1">
      <c r="A1179" s="133" t="s">
        <v>1013</v>
      </c>
      <c r="B1179" s="134" t="s">
        <v>4026</v>
      </c>
      <c r="C1179" s="500" t="s">
        <v>105</v>
      </c>
      <c r="D1179" s="302" t="s">
        <v>4036</v>
      </c>
      <c r="E1179" s="647" t="s">
        <v>4037</v>
      </c>
      <c r="F1179" s="134" t="s">
        <v>635</v>
      </c>
      <c r="G1179" s="649">
        <v>2</v>
      </c>
      <c r="H1179" s="649">
        <v>2</v>
      </c>
      <c r="I1179" s="649">
        <v>6</v>
      </c>
      <c r="J1179" s="272">
        <v>50</v>
      </c>
      <c r="K1179" s="134">
        <f t="shared" si="47"/>
        <v>25</v>
      </c>
      <c r="L1179" s="338" t="s">
        <v>111</v>
      </c>
      <c r="M1179" s="216"/>
      <c r="N1179" s="216"/>
      <c r="O1179" s="216"/>
      <c r="P1179" s="216"/>
      <c r="Q1179" s="216"/>
      <c r="R1179" s="216"/>
      <c r="S1179" s="216"/>
      <c r="T1179" s="216"/>
      <c r="U1179" s="216"/>
      <c r="V1179" s="216"/>
      <c r="W1179" s="216"/>
      <c r="X1179" s="216"/>
    </row>
    <row r="1180" spans="1:24" ht="15" customHeight="1">
      <c r="A1180" s="134" t="s">
        <v>4038</v>
      </c>
      <c r="B1180" s="586" t="s">
        <v>4039</v>
      </c>
      <c r="C1180" s="133" t="s">
        <v>105</v>
      </c>
      <c r="D1180" s="134" t="s">
        <v>4040</v>
      </c>
      <c r="E1180" s="647" t="s">
        <v>4041</v>
      </c>
      <c r="F1180" s="134" t="s">
        <v>635</v>
      </c>
      <c r="G1180" s="649">
        <v>2</v>
      </c>
      <c r="H1180" s="649">
        <v>2</v>
      </c>
      <c r="I1180" s="649">
        <v>2</v>
      </c>
      <c r="J1180" s="272">
        <v>50</v>
      </c>
      <c r="K1180" s="134">
        <f t="shared" si="47"/>
        <v>25</v>
      </c>
      <c r="L1180" s="338" t="s">
        <v>111</v>
      </c>
      <c r="M1180" s="216"/>
      <c r="N1180" s="216"/>
      <c r="O1180" s="216"/>
      <c r="P1180" s="216"/>
      <c r="Q1180" s="216"/>
      <c r="R1180" s="216"/>
      <c r="S1180" s="216"/>
      <c r="T1180" s="216"/>
      <c r="U1180" s="216"/>
      <c r="V1180" s="216"/>
      <c r="W1180" s="216"/>
      <c r="X1180" s="216"/>
    </row>
    <row r="1181" spans="1:24" ht="15" customHeight="1">
      <c r="A1181" s="134" t="s">
        <v>4042</v>
      </c>
      <c r="B1181" s="133" t="s">
        <v>4043</v>
      </c>
      <c r="C1181" s="133" t="s">
        <v>105</v>
      </c>
      <c r="D1181" s="134" t="s">
        <v>4044</v>
      </c>
      <c r="E1181" s="647" t="s">
        <v>4045</v>
      </c>
      <c r="F1181" s="134" t="s">
        <v>1338</v>
      </c>
      <c r="G1181" s="649">
        <v>4</v>
      </c>
      <c r="H1181" s="649">
        <v>4</v>
      </c>
      <c r="I1181" s="649">
        <v>4</v>
      </c>
      <c r="J1181" s="272">
        <v>50</v>
      </c>
      <c r="K1181" s="134">
        <f t="shared" si="47"/>
        <v>12.5</v>
      </c>
      <c r="L1181" s="338" t="s">
        <v>111</v>
      </c>
      <c r="M1181" s="216"/>
      <c r="N1181" s="216"/>
      <c r="O1181" s="216"/>
      <c r="P1181" s="216"/>
      <c r="Q1181" s="216"/>
      <c r="R1181" s="216"/>
      <c r="S1181" s="216"/>
      <c r="T1181" s="216"/>
      <c r="U1181" s="216"/>
      <c r="V1181" s="216"/>
      <c r="W1181" s="216"/>
      <c r="X1181" s="216"/>
    </row>
    <row r="1182" spans="1:24" ht="15" customHeight="1">
      <c r="A1182" s="133" t="s">
        <v>4046</v>
      </c>
      <c r="B1182" s="133" t="s">
        <v>4047</v>
      </c>
      <c r="C1182" s="586" t="s">
        <v>105</v>
      </c>
      <c r="D1182" s="134" t="s">
        <v>4048</v>
      </c>
      <c r="E1182" s="647" t="s">
        <v>3920</v>
      </c>
      <c r="F1182" s="134" t="s">
        <v>1338</v>
      </c>
      <c r="G1182" s="649">
        <v>1</v>
      </c>
      <c r="H1182" s="649">
        <v>1</v>
      </c>
      <c r="I1182" s="649">
        <v>6</v>
      </c>
      <c r="J1182" s="272">
        <v>50</v>
      </c>
      <c r="K1182" s="134">
        <f t="shared" si="47"/>
        <v>50</v>
      </c>
      <c r="L1182" s="338" t="s">
        <v>111</v>
      </c>
      <c r="M1182" s="216"/>
      <c r="N1182" s="216"/>
      <c r="O1182" s="216"/>
      <c r="P1182" s="216"/>
      <c r="Q1182" s="216"/>
      <c r="R1182" s="216"/>
      <c r="S1182" s="216"/>
      <c r="T1182" s="216"/>
      <c r="U1182" s="216"/>
      <c r="V1182" s="216"/>
      <c r="W1182" s="216"/>
      <c r="X1182" s="216"/>
    </row>
    <row r="1183" spans="1:24" ht="15" customHeight="1">
      <c r="A1183" s="133" t="s">
        <v>4046</v>
      </c>
      <c r="B1183" s="133" t="s">
        <v>4047</v>
      </c>
      <c r="C1183" s="586" t="s">
        <v>105</v>
      </c>
      <c r="D1183" s="134" t="s">
        <v>4049</v>
      </c>
      <c r="E1183" s="647" t="s">
        <v>3926</v>
      </c>
      <c r="F1183" s="134" t="s">
        <v>1338</v>
      </c>
      <c r="G1183" s="649">
        <v>1</v>
      </c>
      <c r="H1183" s="649">
        <v>1</v>
      </c>
      <c r="I1183" s="649">
        <v>6</v>
      </c>
      <c r="J1183" s="272">
        <v>50</v>
      </c>
      <c r="K1183" s="134">
        <f t="shared" si="47"/>
        <v>50</v>
      </c>
      <c r="L1183" s="338" t="s">
        <v>111</v>
      </c>
      <c r="M1183" s="216"/>
      <c r="N1183" s="216"/>
      <c r="O1183" s="216"/>
      <c r="P1183" s="216"/>
      <c r="Q1183" s="216"/>
      <c r="R1183" s="216"/>
      <c r="S1183" s="216"/>
      <c r="T1183" s="216"/>
      <c r="U1183" s="216"/>
      <c r="V1183" s="216"/>
      <c r="W1183" s="216"/>
      <c r="X1183" s="216"/>
    </row>
    <row r="1184" spans="1:24" ht="15" customHeight="1">
      <c r="A1184" s="133" t="s">
        <v>4046</v>
      </c>
      <c r="B1184" s="133" t="s">
        <v>4047</v>
      </c>
      <c r="C1184" s="586" t="s">
        <v>105</v>
      </c>
      <c r="D1184" s="134" t="s">
        <v>4050</v>
      </c>
      <c r="E1184" s="647" t="s">
        <v>3931</v>
      </c>
      <c r="F1184" s="134" t="s">
        <v>1338</v>
      </c>
      <c r="G1184" s="649">
        <v>1</v>
      </c>
      <c r="H1184" s="649">
        <v>1</v>
      </c>
      <c r="I1184" s="649">
        <v>6</v>
      </c>
      <c r="J1184" s="272">
        <v>50</v>
      </c>
      <c r="K1184" s="134">
        <f t="shared" si="47"/>
        <v>50</v>
      </c>
      <c r="L1184" s="338" t="s">
        <v>111</v>
      </c>
      <c r="M1184" s="216"/>
      <c r="N1184" s="216"/>
      <c r="O1184" s="216"/>
      <c r="P1184" s="216"/>
      <c r="Q1184" s="216"/>
      <c r="R1184" s="216"/>
      <c r="S1184" s="216"/>
      <c r="T1184" s="216"/>
      <c r="U1184" s="216"/>
      <c r="V1184" s="216"/>
      <c r="W1184" s="216"/>
      <c r="X1184" s="216"/>
    </row>
    <row r="1185" spans="1:24" ht="15" customHeight="1">
      <c r="A1185" s="133" t="s">
        <v>4046</v>
      </c>
      <c r="B1185" s="133" t="s">
        <v>4047</v>
      </c>
      <c r="C1185" s="586" t="s">
        <v>105</v>
      </c>
      <c r="D1185" s="134" t="s">
        <v>4051</v>
      </c>
      <c r="E1185" s="647" t="s">
        <v>4004</v>
      </c>
      <c r="F1185" s="134" t="s">
        <v>1338</v>
      </c>
      <c r="G1185" s="649">
        <v>1</v>
      </c>
      <c r="H1185" s="649">
        <v>1</v>
      </c>
      <c r="I1185" s="649">
        <v>6</v>
      </c>
      <c r="J1185" s="272">
        <v>50</v>
      </c>
      <c r="K1185" s="134">
        <f t="shared" si="47"/>
        <v>50</v>
      </c>
      <c r="L1185" s="338" t="s">
        <v>111</v>
      </c>
      <c r="M1185" s="216"/>
      <c r="N1185" s="216"/>
      <c r="O1185" s="216"/>
      <c r="P1185" s="216"/>
      <c r="Q1185" s="216"/>
      <c r="R1185" s="216"/>
      <c r="S1185" s="216"/>
      <c r="T1185" s="216"/>
      <c r="U1185" s="216"/>
      <c r="V1185" s="216"/>
      <c r="W1185" s="216"/>
      <c r="X1185" s="216"/>
    </row>
    <row r="1186" spans="1:24" ht="15" customHeight="1">
      <c r="A1186" s="133" t="s">
        <v>4046</v>
      </c>
      <c r="B1186" s="133" t="s">
        <v>4047</v>
      </c>
      <c r="C1186" s="586" t="s">
        <v>105</v>
      </c>
      <c r="D1186" s="134" t="s">
        <v>4052</v>
      </c>
      <c r="E1186" s="647" t="s">
        <v>4006</v>
      </c>
      <c r="F1186" s="134" t="s">
        <v>1338</v>
      </c>
      <c r="G1186" s="649">
        <v>1</v>
      </c>
      <c r="H1186" s="649">
        <v>1</v>
      </c>
      <c r="I1186" s="649">
        <v>6</v>
      </c>
      <c r="J1186" s="272">
        <v>50</v>
      </c>
      <c r="K1186" s="134">
        <f t="shared" si="47"/>
        <v>50</v>
      </c>
      <c r="L1186" s="338" t="s">
        <v>111</v>
      </c>
      <c r="M1186" s="216"/>
      <c r="N1186" s="216"/>
      <c r="O1186" s="216"/>
      <c r="P1186" s="216"/>
      <c r="Q1186" s="216"/>
      <c r="R1186" s="216"/>
      <c r="S1186" s="216"/>
      <c r="T1186" s="216"/>
      <c r="U1186" s="216"/>
      <c r="V1186" s="216"/>
      <c r="W1186" s="216"/>
      <c r="X1186" s="216"/>
    </row>
    <row r="1187" spans="1:24" ht="15" customHeight="1">
      <c r="A1187" s="133" t="s">
        <v>4046</v>
      </c>
      <c r="B1187" s="133" t="s">
        <v>4047</v>
      </c>
      <c r="C1187" s="586" t="s">
        <v>105</v>
      </c>
      <c r="D1187" s="134" t="s">
        <v>4053</v>
      </c>
      <c r="E1187" s="647" t="s">
        <v>1850</v>
      </c>
      <c r="F1187" s="134" t="s">
        <v>1338</v>
      </c>
      <c r="G1187" s="649">
        <v>1</v>
      </c>
      <c r="H1187" s="649">
        <v>1</v>
      </c>
      <c r="I1187" s="649">
        <v>6</v>
      </c>
      <c r="J1187" s="272">
        <v>50</v>
      </c>
      <c r="K1187" s="134">
        <f t="shared" si="47"/>
        <v>50</v>
      </c>
      <c r="L1187" s="338" t="s">
        <v>111</v>
      </c>
      <c r="M1187" s="216"/>
      <c r="N1187" s="216"/>
      <c r="O1187" s="216"/>
      <c r="P1187" s="216"/>
      <c r="Q1187" s="216"/>
      <c r="R1187" s="216"/>
      <c r="S1187" s="216"/>
      <c r="T1187" s="216"/>
      <c r="U1187" s="216"/>
      <c r="V1187" s="216"/>
      <c r="W1187" s="216"/>
      <c r="X1187" s="216"/>
    </row>
    <row r="1188" spans="1:24" ht="15" customHeight="1">
      <c r="A1188" s="133" t="s">
        <v>4046</v>
      </c>
      <c r="B1188" s="133" t="s">
        <v>4047</v>
      </c>
      <c r="C1188" s="586" t="s">
        <v>105</v>
      </c>
      <c r="D1188" s="134" t="s">
        <v>4054</v>
      </c>
      <c r="E1188" s="647" t="s">
        <v>3942</v>
      </c>
      <c r="F1188" s="134" t="s">
        <v>1338</v>
      </c>
      <c r="G1188" s="649">
        <v>1</v>
      </c>
      <c r="H1188" s="649">
        <v>1</v>
      </c>
      <c r="I1188" s="649">
        <v>6</v>
      </c>
      <c r="J1188" s="272">
        <v>50</v>
      </c>
      <c r="K1188" s="134">
        <f t="shared" si="47"/>
        <v>50</v>
      </c>
      <c r="L1188" s="338" t="s">
        <v>111</v>
      </c>
      <c r="M1188" s="216"/>
      <c r="N1188" s="216"/>
      <c r="O1188" s="216"/>
      <c r="P1188" s="216"/>
      <c r="Q1188" s="216"/>
      <c r="R1188" s="216"/>
      <c r="S1188" s="216"/>
      <c r="T1188" s="216"/>
      <c r="U1188" s="216"/>
      <c r="V1188" s="216"/>
      <c r="W1188" s="216"/>
      <c r="X1188" s="216"/>
    </row>
    <row r="1189" spans="1:24" ht="15" customHeight="1">
      <c r="A1189" s="134" t="s">
        <v>4055</v>
      </c>
      <c r="B1189" s="133" t="s">
        <v>4056</v>
      </c>
      <c r="C1189" s="134" t="s">
        <v>105</v>
      </c>
      <c r="D1189" s="134" t="s">
        <v>4057</v>
      </c>
      <c r="E1189" s="647" t="s">
        <v>4058</v>
      </c>
      <c r="F1189" s="245" t="s">
        <v>1338</v>
      </c>
      <c r="G1189" s="134">
        <v>3</v>
      </c>
      <c r="H1189" s="134">
        <v>3</v>
      </c>
      <c r="I1189" s="134">
        <v>3</v>
      </c>
      <c r="J1189" s="650">
        <v>50</v>
      </c>
      <c r="K1189" s="651">
        <f t="shared" si="47"/>
        <v>16.666666666666668</v>
      </c>
      <c r="L1189" s="338" t="s">
        <v>111</v>
      </c>
      <c r="M1189" s="216"/>
      <c r="N1189" s="216"/>
      <c r="O1189" s="216"/>
      <c r="P1189" s="216"/>
      <c r="Q1189" s="216"/>
      <c r="R1189" s="216"/>
      <c r="S1189" s="216"/>
      <c r="T1189" s="216"/>
      <c r="U1189" s="216"/>
      <c r="V1189" s="216"/>
      <c r="W1189" s="216"/>
      <c r="X1189" s="216"/>
    </row>
    <row r="1190" spans="1:24" ht="15" customHeight="1">
      <c r="A1190" s="134" t="s">
        <v>4055</v>
      </c>
      <c r="B1190" s="133" t="s">
        <v>4056</v>
      </c>
      <c r="C1190" s="134" t="s">
        <v>105</v>
      </c>
      <c r="D1190" s="134" t="s">
        <v>4059</v>
      </c>
      <c r="E1190" s="647" t="s">
        <v>4060</v>
      </c>
      <c r="F1190" s="245" t="s">
        <v>1338</v>
      </c>
      <c r="G1190" s="134">
        <v>3</v>
      </c>
      <c r="H1190" s="134">
        <v>3</v>
      </c>
      <c r="I1190" s="134">
        <v>3</v>
      </c>
      <c r="J1190" s="650">
        <v>50</v>
      </c>
      <c r="K1190" s="651">
        <f t="shared" si="47"/>
        <v>16.666666666666668</v>
      </c>
      <c r="L1190" s="338" t="s">
        <v>111</v>
      </c>
      <c r="M1190" s="216"/>
      <c r="N1190" s="216"/>
      <c r="O1190" s="216"/>
      <c r="P1190" s="216"/>
      <c r="Q1190" s="216"/>
      <c r="R1190" s="216"/>
      <c r="S1190" s="216"/>
      <c r="T1190" s="216"/>
      <c r="U1190" s="216"/>
      <c r="V1190" s="216"/>
      <c r="W1190" s="216"/>
      <c r="X1190" s="216"/>
    </row>
    <row r="1191" spans="1:24" ht="15" customHeight="1">
      <c r="A1191" s="91" t="s">
        <v>4061</v>
      </c>
      <c r="B1191" s="131" t="s">
        <v>4062</v>
      </c>
      <c r="C1191" s="134" t="s">
        <v>105</v>
      </c>
      <c r="D1191" s="134" t="s">
        <v>4063</v>
      </c>
      <c r="E1191" s="647" t="s">
        <v>237</v>
      </c>
      <c r="F1191" s="245" t="s">
        <v>1338</v>
      </c>
      <c r="G1191" s="134">
        <v>5</v>
      </c>
      <c r="H1191" s="134">
        <v>5</v>
      </c>
      <c r="I1191" s="134">
        <v>5</v>
      </c>
      <c r="J1191" s="650">
        <v>50</v>
      </c>
      <c r="K1191" s="651">
        <f t="shared" si="47"/>
        <v>10</v>
      </c>
      <c r="L1191" s="338" t="s">
        <v>111</v>
      </c>
      <c r="M1191" s="216"/>
      <c r="N1191" s="216"/>
      <c r="O1191" s="216"/>
      <c r="P1191" s="216"/>
      <c r="Q1191" s="216"/>
      <c r="R1191" s="216"/>
      <c r="S1191" s="216"/>
      <c r="T1191" s="216"/>
      <c r="U1191" s="216"/>
      <c r="V1191" s="216"/>
      <c r="W1191" s="216"/>
      <c r="X1191" s="216"/>
    </row>
    <row r="1192" spans="1:24" ht="15" customHeight="1">
      <c r="A1192" s="91" t="s">
        <v>4061</v>
      </c>
      <c r="B1192" s="131" t="s">
        <v>4062</v>
      </c>
      <c r="C1192" s="134" t="s">
        <v>105</v>
      </c>
      <c r="D1192" s="134" t="s">
        <v>4064</v>
      </c>
      <c r="E1192" s="647" t="s">
        <v>1802</v>
      </c>
      <c r="F1192" s="245" t="s">
        <v>1338</v>
      </c>
      <c r="G1192" s="134">
        <v>5</v>
      </c>
      <c r="H1192" s="134">
        <v>5</v>
      </c>
      <c r="I1192" s="134">
        <v>5</v>
      </c>
      <c r="J1192" s="650">
        <v>50</v>
      </c>
      <c r="K1192" s="651">
        <f t="shared" si="47"/>
        <v>10</v>
      </c>
      <c r="L1192" s="338" t="s">
        <v>111</v>
      </c>
      <c r="M1192" s="216"/>
      <c r="N1192" s="216"/>
      <c r="O1192" s="216"/>
      <c r="P1192" s="216"/>
      <c r="Q1192" s="216"/>
      <c r="R1192" s="216"/>
      <c r="S1192" s="216"/>
      <c r="T1192" s="216"/>
      <c r="U1192" s="216"/>
      <c r="V1192" s="216"/>
      <c r="W1192" s="216"/>
      <c r="X1192" s="216"/>
    </row>
    <row r="1193" spans="1:24" ht="15" customHeight="1">
      <c r="A1193" s="91" t="s">
        <v>4061</v>
      </c>
      <c r="B1193" s="131" t="s">
        <v>4062</v>
      </c>
      <c r="C1193" s="134" t="s">
        <v>105</v>
      </c>
      <c r="D1193" s="134" t="s">
        <v>4065</v>
      </c>
      <c r="E1193" s="647" t="s">
        <v>1804</v>
      </c>
      <c r="F1193" s="245" t="s">
        <v>1338</v>
      </c>
      <c r="G1193" s="134">
        <v>5</v>
      </c>
      <c r="H1193" s="134">
        <v>5</v>
      </c>
      <c r="I1193" s="134">
        <v>5</v>
      </c>
      <c r="J1193" s="650">
        <v>50</v>
      </c>
      <c r="K1193" s="651">
        <f t="shared" si="47"/>
        <v>10</v>
      </c>
      <c r="L1193" s="338" t="s">
        <v>111</v>
      </c>
      <c r="M1193" s="216"/>
      <c r="N1193" s="216"/>
      <c r="O1193" s="216"/>
      <c r="P1193" s="216"/>
      <c r="Q1193" s="216"/>
      <c r="R1193" s="216"/>
      <c r="S1193" s="216"/>
      <c r="T1193" s="216"/>
      <c r="U1193" s="216"/>
      <c r="V1193" s="216"/>
      <c r="W1193" s="216"/>
      <c r="X1193" s="216"/>
    </row>
    <row r="1194" spans="1:24" ht="15" customHeight="1">
      <c r="A1194" s="91" t="s">
        <v>4061</v>
      </c>
      <c r="B1194" s="131" t="s">
        <v>4062</v>
      </c>
      <c r="C1194" s="134" t="s">
        <v>105</v>
      </c>
      <c r="D1194" s="134" t="s">
        <v>4066</v>
      </c>
      <c r="E1194" s="647" t="s">
        <v>1800</v>
      </c>
      <c r="F1194" s="245" t="s">
        <v>1338</v>
      </c>
      <c r="G1194" s="134">
        <v>5</v>
      </c>
      <c r="H1194" s="134">
        <v>5</v>
      </c>
      <c r="I1194" s="134">
        <v>5</v>
      </c>
      <c r="J1194" s="650">
        <v>50</v>
      </c>
      <c r="K1194" s="651">
        <f t="shared" si="47"/>
        <v>10</v>
      </c>
      <c r="L1194" s="338" t="s">
        <v>111</v>
      </c>
      <c r="M1194" s="216"/>
      <c r="N1194" s="216"/>
      <c r="O1194" s="216"/>
      <c r="P1194" s="216"/>
      <c r="Q1194" s="216"/>
      <c r="R1194" s="216"/>
      <c r="S1194" s="216"/>
      <c r="T1194" s="216"/>
      <c r="U1194" s="216"/>
      <c r="V1194" s="216"/>
      <c r="W1194" s="216"/>
      <c r="X1194" s="216"/>
    </row>
    <row r="1195" spans="1:24" ht="15" customHeight="1">
      <c r="A1195" s="91" t="s">
        <v>4061</v>
      </c>
      <c r="B1195" s="131" t="s">
        <v>4062</v>
      </c>
      <c r="C1195" s="134" t="s">
        <v>105</v>
      </c>
      <c r="D1195" s="134" t="s">
        <v>4067</v>
      </c>
      <c r="E1195" s="647" t="s">
        <v>1798</v>
      </c>
      <c r="F1195" s="245" t="s">
        <v>1338</v>
      </c>
      <c r="G1195" s="134">
        <v>5</v>
      </c>
      <c r="H1195" s="134">
        <v>5</v>
      </c>
      <c r="I1195" s="134">
        <v>5</v>
      </c>
      <c r="J1195" s="650">
        <v>50</v>
      </c>
      <c r="K1195" s="651">
        <f t="shared" si="47"/>
        <v>10</v>
      </c>
      <c r="L1195" s="338" t="s">
        <v>111</v>
      </c>
      <c r="M1195" s="216"/>
      <c r="N1195" s="216"/>
      <c r="O1195" s="216"/>
      <c r="P1195" s="216"/>
      <c r="Q1195" s="216"/>
      <c r="R1195" s="216"/>
      <c r="S1195" s="216"/>
      <c r="T1195" s="216"/>
      <c r="U1195" s="216"/>
      <c r="V1195" s="216"/>
      <c r="W1195" s="216"/>
      <c r="X1195" s="216"/>
    </row>
    <row r="1196" spans="1:24" ht="15" customHeight="1">
      <c r="A1196" s="504" t="s">
        <v>4068</v>
      </c>
      <c r="B1196" s="571" t="s">
        <v>4069</v>
      </c>
      <c r="C1196" s="571" t="s">
        <v>105</v>
      </c>
      <c r="D1196" s="256" t="s">
        <v>4070</v>
      </c>
      <c r="E1196" s="652" t="s">
        <v>4032</v>
      </c>
      <c r="F1196" s="653" t="s">
        <v>635</v>
      </c>
      <c r="G1196" s="256">
        <v>4</v>
      </c>
      <c r="H1196" s="256">
        <v>4</v>
      </c>
      <c r="I1196" s="256">
        <v>4</v>
      </c>
      <c r="J1196" s="654">
        <v>50</v>
      </c>
      <c r="K1196" s="655">
        <f t="shared" si="47"/>
        <v>12.5</v>
      </c>
      <c r="L1196" s="338" t="s">
        <v>111</v>
      </c>
      <c r="M1196" s="216"/>
      <c r="N1196" s="216"/>
      <c r="O1196" s="216"/>
      <c r="P1196" s="216"/>
      <c r="Q1196" s="216"/>
      <c r="R1196" s="216"/>
      <c r="S1196" s="216"/>
      <c r="T1196" s="216"/>
      <c r="U1196" s="216"/>
      <c r="V1196" s="216"/>
      <c r="W1196" s="216"/>
      <c r="X1196" s="216"/>
    </row>
    <row r="1197" spans="1:24" ht="15" customHeight="1">
      <c r="A1197" s="134" t="s">
        <v>2410</v>
      </c>
      <c r="B1197" s="133" t="s">
        <v>2411</v>
      </c>
      <c r="C1197" s="133" t="s">
        <v>105</v>
      </c>
      <c r="D1197" s="134" t="s">
        <v>4071</v>
      </c>
      <c r="E1197" s="378" t="s">
        <v>237</v>
      </c>
      <c r="F1197" s="245" t="s">
        <v>1338</v>
      </c>
      <c r="G1197" s="134">
        <v>5</v>
      </c>
      <c r="H1197" s="134">
        <v>5</v>
      </c>
      <c r="I1197" s="134">
        <v>5</v>
      </c>
      <c r="J1197" s="650">
        <v>50</v>
      </c>
      <c r="K1197" s="651">
        <f t="shared" si="47"/>
        <v>10</v>
      </c>
      <c r="L1197" s="338" t="s">
        <v>111</v>
      </c>
      <c r="M1197" s="216"/>
      <c r="N1197" s="216"/>
      <c r="O1197" s="216"/>
      <c r="P1197" s="216"/>
      <c r="Q1197" s="216"/>
      <c r="R1197" s="216"/>
      <c r="S1197" s="216"/>
      <c r="T1197" s="216"/>
      <c r="U1197" s="216"/>
      <c r="V1197" s="216"/>
      <c r="W1197" s="216"/>
      <c r="X1197" s="216"/>
    </row>
    <row r="1198" spans="1:24" ht="15" customHeight="1">
      <c r="A1198" s="134" t="s">
        <v>2410</v>
      </c>
      <c r="B1198" s="133" t="s">
        <v>2411</v>
      </c>
      <c r="C1198" s="133" t="s">
        <v>105</v>
      </c>
      <c r="D1198" s="134" t="s">
        <v>4072</v>
      </c>
      <c r="E1198" s="378" t="s">
        <v>2413</v>
      </c>
      <c r="F1198" s="245" t="s">
        <v>1338</v>
      </c>
      <c r="G1198" s="134">
        <v>5</v>
      </c>
      <c r="H1198" s="134">
        <v>5</v>
      </c>
      <c r="I1198" s="134">
        <v>5</v>
      </c>
      <c r="J1198" s="650">
        <v>50</v>
      </c>
      <c r="K1198" s="651">
        <f t="shared" si="47"/>
        <v>10</v>
      </c>
      <c r="L1198" s="338" t="s">
        <v>111</v>
      </c>
      <c r="M1198" s="216"/>
      <c r="N1198" s="216"/>
      <c r="O1198" s="216"/>
      <c r="P1198" s="216"/>
      <c r="Q1198" s="216"/>
      <c r="R1198" s="216"/>
      <c r="S1198" s="216"/>
      <c r="T1198" s="216"/>
      <c r="U1198" s="216"/>
      <c r="V1198" s="216"/>
      <c r="W1198" s="216"/>
      <c r="X1198" s="216"/>
    </row>
    <row r="1199" spans="1:24" ht="15" customHeight="1">
      <c r="A1199" s="256" t="s">
        <v>4073</v>
      </c>
      <c r="B1199" s="469" t="s">
        <v>4074</v>
      </c>
      <c r="C1199" s="469" t="s">
        <v>105</v>
      </c>
      <c r="D1199" s="134" t="s">
        <v>4075</v>
      </c>
      <c r="E1199" s="652" t="s">
        <v>2592</v>
      </c>
      <c r="F1199" s="653" t="s">
        <v>635</v>
      </c>
      <c r="G1199" s="256">
        <v>8</v>
      </c>
      <c r="H1199" s="256">
        <v>3</v>
      </c>
      <c r="I1199" s="256">
        <v>8</v>
      </c>
      <c r="J1199" s="654">
        <v>50</v>
      </c>
      <c r="K1199" s="656">
        <f t="shared" si="47"/>
        <v>6.25</v>
      </c>
      <c r="L1199" s="338" t="s">
        <v>111</v>
      </c>
      <c r="M1199" s="216"/>
      <c r="N1199" s="216"/>
      <c r="O1199" s="216"/>
      <c r="P1199" s="216"/>
      <c r="Q1199" s="216"/>
      <c r="R1199" s="216"/>
      <c r="S1199" s="216"/>
      <c r="T1199" s="216"/>
      <c r="U1199" s="216"/>
      <c r="V1199" s="216"/>
      <c r="W1199" s="216"/>
      <c r="X1199" s="216"/>
    </row>
    <row r="1200" spans="1:24" ht="15" customHeight="1">
      <c r="A1200" s="91" t="s">
        <v>2414</v>
      </c>
      <c r="B1200" s="133" t="s">
        <v>4076</v>
      </c>
      <c r="C1200" s="133" t="s">
        <v>105</v>
      </c>
      <c r="D1200" s="134" t="s">
        <v>4077</v>
      </c>
      <c r="E1200" s="378" t="s">
        <v>237</v>
      </c>
      <c r="F1200" s="245" t="s">
        <v>1338</v>
      </c>
      <c r="G1200" s="134">
        <v>7</v>
      </c>
      <c r="H1200" s="134">
        <v>7</v>
      </c>
      <c r="I1200" s="134">
        <v>8</v>
      </c>
      <c r="J1200" s="650">
        <v>50</v>
      </c>
      <c r="K1200" s="657">
        <f t="shared" si="47"/>
        <v>7.1428571428571432</v>
      </c>
      <c r="L1200" s="338" t="s">
        <v>111</v>
      </c>
      <c r="M1200" s="216"/>
      <c r="N1200" s="216"/>
      <c r="O1200" s="216"/>
      <c r="P1200" s="216"/>
      <c r="Q1200" s="216"/>
      <c r="R1200" s="216"/>
      <c r="S1200" s="216"/>
      <c r="T1200" s="216"/>
      <c r="U1200" s="216"/>
      <c r="V1200" s="216"/>
      <c r="W1200" s="216"/>
      <c r="X1200" s="216"/>
    </row>
    <row r="1201" spans="1:24" ht="15" customHeight="1">
      <c r="A1201" s="91" t="s">
        <v>2414</v>
      </c>
      <c r="B1201" s="133" t="s">
        <v>4076</v>
      </c>
      <c r="C1201" s="133" t="s">
        <v>105</v>
      </c>
      <c r="D1201" s="134" t="s">
        <v>4078</v>
      </c>
      <c r="E1201" s="378" t="s">
        <v>2417</v>
      </c>
      <c r="F1201" s="245" t="s">
        <v>1338</v>
      </c>
      <c r="G1201" s="134">
        <v>7</v>
      </c>
      <c r="H1201" s="134">
        <v>7</v>
      </c>
      <c r="I1201" s="134">
        <v>8</v>
      </c>
      <c r="J1201" s="650">
        <v>50</v>
      </c>
      <c r="K1201" s="657">
        <f t="shared" si="47"/>
        <v>7.1428571428571432</v>
      </c>
      <c r="L1201" s="338" t="s">
        <v>111</v>
      </c>
      <c r="M1201" s="216"/>
      <c r="N1201" s="216"/>
      <c r="O1201" s="216"/>
      <c r="P1201" s="216"/>
      <c r="Q1201" s="216"/>
      <c r="R1201" s="216"/>
      <c r="S1201" s="216"/>
      <c r="T1201" s="216"/>
      <c r="U1201" s="216"/>
      <c r="V1201" s="216"/>
      <c r="W1201" s="216"/>
      <c r="X1201" s="216"/>
    </row>
    <row r="1202" spans="1:24" ht="15" customHeight="1">
      <c r="A1202" s="134" t="s">
        <v>4079</v>
      </c>
      <c r="B1202" s="133" t="s">
        <v>4080</v>
      </c>
      <c r="C1202" s="133" t="s">
        <v>105</v>
      </c>
      <c r="D1202" s="134" t="s">
        <v>4081</v>
      </c>
      <c r="E1202" s="378" t="s">
        <v>4082</v>
      </c>
      <c r="F1202" s="245" t="s">
        <v>1338</v>
      </c>
      <c r="G1202" s="134">
        <v>4</v>
      </c>
      <c r="H1202" s="134">
        <v>3</v>
      </c>
      <c r="I1202" s="134">
        <v>4</v>
      </c>
      <c r="J1202" s="650">
        <v>50</v>
      </c>
      <c r="K1202" s="657">
        <f t="shared" si="47"/>
        <v>12.5</v>
      </c>
      <c r="L1202" s="338" t="s">
        <v>111</v>
      </c>
      <c r="M1202" s="216"/>
      <c r="N1202" s="216"/>
      <c r="O1202" s="216"/>
      <c r="P1202" s="216"/>
      <c r="Q1202" s="216"/>
      <c r="R1202" s="216"/>
      <c r="S1202" s="216"/>
      <c r="T1202" s="216"/>
      <c r="U1202" s="216"/>
      <c r="V1202" s="216"/>
      <c r="W1202" s="216"/>
      <c r="X1202" s="216"/>
    </row>
    <row r="1203" spans="1:24" ht="15" customHeight="1">
      <c r="A1203" s="91" t="s">
        <v>1006</v>
      </c>
      <c r="B1203" s="133" t="s">
        <v>4083</v>
      </c>
      <c r="C1203" s="133" t="s">
        <v>105</v>
      </c>
      <c r="D1203" s="134" t="s">
        <v>4084</v>
      </c>
      <c r="E1203" s="378" t="s">
        <v>237</v>
      </c>
      <c r="F1203" s="245" t="s">
        <v>1338</v>
      </c>
      <c r="G1203" s="134">
        <v>7</v>
      </c>
      <c r="H1203" s="134">
        <v>7</v>
      </c>
      <c r="I1203" s="134">
        <v>7</v>
      </c>
      <c r="J1203" s="650">
        <v>50</v>
      </c>
      <c r="K1203" s="657">
        <f t="shared" si="47"/>
        <v>7.1428571428571432</v>
      </c>
      <c r="L1203" s="338" t="s">
        <v>111</v>
      </c>
      <c r="M1203" s="216"/>
      <c r="N1203" s="216"/>
      <c r="O1203" s="216"/>
      <c r="P1203" s="216"/>
      <c r="Q1203" s="216"/>
      <c r="R1203" s="216"/>
      <c r="S1203" s="216"/>
      <c r="T1203" s="216"/>
      <c r="U1203" s="216"/>
      <c r="V1203" s="216"/>
      <c r="W1203" s="216"/>
      <c r="X1203" s="216"/>
    </row>
    <row r="1204" spans="1:24" ht="15" customHeight="1">
      <c r="A1204" s="134" t="s">
        <v>4085</v>
      </c>
      <c r="B1204" s="133" t="s">
        <v>4086</v>
      </c>
      <c r="C1204" s="133" t="s">
        <v>105</v>
      </c>
      <c r="D1204" s="134" t="s">
        <v>4087</v>
      </c>
      <c r="E1204" s="378" t="s">
        <v>942</v>
      </c>
      <c r="F1204" s="245" t="s">
        <v>635</v>
      </c>
      <c r="G1204" s="134">
        <v>4</v>
      </c>
      <c r="H1204" s="134">
        <v>4</v>
      </c>
      <c r="I1204" s="134">
        <v>4</v>
      </c>
      <c r="J1204" s="650">
        <v>50</v>
      </c>
      <c r="K1204" s="657">
        <f t="shared" si="47"/>
        <v>12.5</v>
      </c>
      <c r="L1204" s="338" t="s">
        <v>111</v>
      </c>
      <c r="M1204" s="216"/>
      <c r="N1204" s="216"/>
      <c r="O1204" s="216"/>
      <c r="P1204" s="216"/>
      <c r="Q1204" s="216"/>
      <c r="R1204" s="216"/>
      <c r="S1204" s="216"/>
      <c r="T1204" s="216"/>
      <c r="U1204" s="216"/>
      <c r="V1204" s="216"/>
      <c r="W1204" s="216"/>
      <c r="X1204" s="216"/>
    </row>
    <row r="1205" spans="1:24" ht="15" customHeight="1">
      <c r="A1205" s="134" t="s">
        <v>4088</v>
      </c>
      <c r="B1205" s="586" t="s">
        <v>4089</v>
      </c>
      <c r="C1205" s="133" t="s">
        <v>105</v>
      </c>
      <c r="D1205" s="134" t="s">
        <v>4090</v>
      </c>
      <c r="E1205" s="182" t="s">
        <v>4091</v>
      </c>
      <c r="F1205" s="133" t="s">
        <v>635</v>
      </c>
      <c r="G1205" s="99">
        <v>4</v>
      </c>
      <c r="H1205" s="99">
        <v>4</v>
      </c>
      <c r="I1205" s="99">
        <v>4</v>
      </c>
      <c r="J1205" s="385">
        <v>50</v>
      </c>
      <c r="K1205" s="114">
        <f t="shared" si="47"/>
        <v>12.5</v>
      </c>
      <c r="L1205" s="338" t="s">
        <v>111</v>
      </c>
      <c r="M1205" s="216"/>
      <c r="N1205" s="216"/>
      <c r="O1205" s="216"/>
      <c r="P1205" s="216"/>
      <c r="Q1205" s="216"/>
      <c r="R1205" s="216"/>
      <c r="S1205" s="216"/>
      <c r="T1205" s="216"/>
      <c r="U1205" s="216"/>
      <c r="V1205" s="216"/>
      <c r="W1205" s="216"/>
      <c r="X1205" s="216"/>
    </row>
    <row r="1206" spans="1:24" ht="15" customHeight="1">
      <c r="A1206" s="134" t="s">
        <v>4088</v>
      </c>
      <c r="B1206" s="586" t="s">
        <v>4089</v>
      </c>
      <c r="C1206" s="133" t="s">
        <v>105</v>
      </c>
      <c r="D1206" s="134" t="s">
        <v>4092</v>
      </c>
      <c r="E1206" s="182" t="s">
        <v>4093</v>
      </c>
      <c r="F1206" s="133" t="s">
        <v>635</v>
      </c>
      <c r="G1206" s="141">
        <v>4</v>
      </c>
      <c r="H1206" s="132">
        <v>4</v>
      </c>
      <c r="I1206" s="658">
        <v>4</v>
      </c>
      <c r="J1206" s="385">
        <v>50</v>
      </c>
      <c r="K1206" s="114">
        <f t="shared" si="47"/>
        <v>12.5</v>
      </c>
      <c r="L1206" s="338" t="s">
        <v>111</v>
      </c>
      <c r="M1206" s="216"/>
      <c r="N1206" s="216"/>
      <c r="O1206" s="216"/>
      <c r="P1206" s="216"/>
      <c r="Q1206" s="216"/>
      <c r="R1206" s="216"/>
      <c r="S1206" s="216"/>
      <c r="T1206" s="216"/>
      <c r="U1206" s="216"/>
      <c r="V1206" s="216"/>
      <c r="W1206" s="216"/>
      <c r="X1206" s="216"/>
    </row>
    <row r="1207" spans="1:24" ht="15" customHeight="1">
      <c r="A1207" s="107" t="s">
        <v>4094</v>
      </c>
      <c r="B1207" s="659" t="s">
        <v>4095</v>
      </c>
      <c r="C1207" s="660" t="s">
        <v>105</v>
      </c>
      <c r="D1207" s="256" t="s">
        <v>4096</v>
      </c>
      <c r="E1207" s="96" t="s">
        <v>4097</v>
      </c>
      <c r="F1207" s="469" t="s">
        <v>635</v>
      </c>
      <c r="G1207" s="661">
        <v>4</v>
      </c>
      <c r="H1207" s="177">
        <v>4</v>
      </c>
      <c r="I1207" s="177">
        <v>4</v>
      </c>
      <c r="J1207" s="467">
        <v>50</v>
      </c>
      <c r="K1207" s="179">
        <f t="shared" si="47"/>
        <v>12.5</v>
      </c>
      <c r="L1207" s="338" t="s">
        <v>111</v>
      </c>
      <c r="M1207" s="216"/>
      <c r="N1207" s="216"/>
      <c r="O1207" s="216"/>
      <c r="P1207" s="216"/>
      <c r="Q1207" s="216"/>
      <c r="R1207" s="216"/>
      <c r="S1207" s="216"/>
      <c r="T1207" s="216"/>
      <c r="U1207" s="216"/>
      <c r="V1207" s="216"/>
      <c r="W1207" s="216"/>
      <c r="X1207" s="216"/>
    </row>
    <row r="1208" spans="1:24" ht="15" customHeight="1">
      <c r="A1208" s="134" t="s">
        <v>3892</v>
      </c>
      <c r="B1208" s="586" t="s">
        <v>3893</v>
      </c>
      <c r="C1208" s="133" t="s">
        <v>105</v>
      </c>
      <c r="D1208" s="134" t="s">
        <v>4098</v>
      </c>
      <c r="E1208" s="182" t="s">
        <v>4099</v>
      </c>
      <c r="F1208" s="133" t="s">
        <v>4100</v>
      </c>
      <c r="G1208" s="141">
        <v>1</v>
      </c>
      <c r="H1208" s="99">
        <v>1</v>
      </c>
      <c r="I1208" s="99">
        <v>4</v>
      </c>
      <c r="J1208" s="385">
        <v>50</v>
      </c>
      <c r="K1208" s="114">
        <f t="shared" si="47"/>
        <v>50</v>
      </c>
      <c r="L1208" s="338" t="s">
        <v>111</v>
      </c>
      <c r="M1208" s="216"/>
      <c r="N1208" s="216"/>
      <c r="O1208" s="216"/>
      <c r="P1208" s="216"/>
      <c r="Q1208" s="216"/>
      <c r="R1208" s="216"/>
      <c r="S1208" s="216"/>
      <c r="T1208" s="216"/>
      <c r="U1208" s="216"/>
      <c r="V1208" s="216"/>
      <c r="W1208" s="216"/>
      <c r="X1208" s="216"/>
    </row>
    <row r="1209" spans="1:24" ht="15" customHeight="1">
      <c r="A1209" s="134" t="s">
        <v>3892</v>
      </c>
      <c r="B1209" s="586" t="s">
        <v>3893</v>
      </c>
      <c r="C1209" s="133" t="s">
        <v>105</v>
      </c>
      <c r="D1209" s="134" t="s">
        <v>4101</v>
      </c>
      <c r="E1209" s="182" t="s">
        <v>3533</v>
      </c>
      <c r="F1209" s="133" t="s">
        <v>4102</v>
      </c>
      <c r="G1209" s="379">
        <v>1</v>
      </c>
      <c r="H1209" s="379">
        <v>1</v>
      </c>
      <c r="I1209" s="379">
        <v>4</v>
      </c>
      <c r="J1209" s="385">
        <v>50</v>
      </c>
      <c r="K1209" s="114">
        <f t="shared" si="47"/>
        <v>50</v>
      </c>
      <c r="L1209" s="338" t="s">
        <v>111</v>
      </c>
      <c r="M1209" s="216"/>
      <c r="N1209" s="216"/>
      <c r="O1209" s="216"/>
      <c r="P1209" s="216"/>
      <c r="Q1209" s="216"/>
      <c r="R1209" s="216"/>
      <c r="S1209" s="216"/>
      <c r="T1209" s="216"/>
      <c r="U1209" s="216"/>
      <c r="V1209" s="216"/>
      <c r="W1209" s="216"/>
      <c r="X1209" s="216"/>
    </row>
    <row r="1210" spans="1:24" ht="15" customHeight="1">
      <c r="A1210" s="134" t="s">
        <v>3991</v>
      </c>
      <c r="B1210" s="133" t="s">
        <v>3992</v>
      </c>
      <c r="C1210" s="133" t="s">
        <v>105</v>
      </c>
      <c r="D1210" s="134" t="s">
        <v>4103</v>
      </c>
      <c r="E1210" s="182" t="s">
        <v>3533</v>
      </c>
      <c r="F1210" s="134" t="s">
        <v>4102</v>
      </c>
      <c r="G1210" s="649">
        <v>1</v>
      </c>
      <c r="H1210" s="649">
        <v>1</v>
      </c>
      <c r="I1210" s="649">
        <v>6</v>
      </c>
      <c r="J1210" s="385">
        <v>50</v>
      </c>
      <c r="K1210" s="114">
        <f t="shared" si="47"/>
        <v>50</v>
      </c>
      <c r="L1210" s="338" t="s">
        <v>111</v>
      </c>
      <c r="M1210" s="216"/>
      <c r="N1210" s="216"/>
      <c r="O1210" s="216"/>
      <c r="P1210" s="216"/>
      <c r="Q1210" s="216"/>
      <c r="R1210" s="216"/>
      <c r="S1210" s="216"/>
      <c r="T1210" s="216"/>
      <c r="U1210" s="216"/>
      <c r="V1210" s="216"/>
      <c r="W1210" s="216"/>
      <c r="X1210" s="216"/>
    </row>
    <row r="1211" spans="1:24" ht="15" customHeight="1">
      <c r="A1211" s="134" t="s">
        <v>4038</v>
      </c>
      <c r="B1211" s="586" t="s">
        <v>4104</v>
      </c>
      <c r="C1211" s="133" t="s">
        <v>105</v>
      </c>
      <c r="D1211" s="134" t="s">
        <v>4105</v>
      </c>
      <c r="E1211" s="647" t="s">
        <v>4106</v>
      </c>
      <c r="F1211" s="134" t="s">
        <v>4107</v>
      </c>
      <c r="G1211" s="649">
        <v>2</v>
      </c>
      <c r="H1211" s="649">
        <v>2</v>
      </c>
      <c r="I1211" s="649">
        <v>2</v>
      </c>
      <c r="J1211" s="385">
        <v>50</v>
      </c>
      <c r="K1211" s="114">
        <f t="shared" si="47"/>
        <v>25</v>
      </c>
      <c r="L1211" s="338" t="s">
        <v>111</v>
      </c>
      <c r="M1211" s="216"/>
      <c r="N1211" s="216"/>
      <c r="O1211" s="216"/>
      <c r="P1211" s="216"/>
      <c r="Q1211" s="216"/>
      <c r="R1211" s="216"/>
      <c r="S1211" s="216"/>
      <c r="T1211" s="216"/>
      <c r="U1211" s="216"/>
      <c r="V1211" s="216"/>
      <c r="W1211" s="216"/>
      <c r="X1211" s="216"/>
    </row>
    <row r="1212" spans="1:24" ht="15" customHeight="1">
      <c r="A1212" s="302" t="s">
        <v>4108</v>
      </c>
      <c r="B1212" s="648" t="s">
        <v>4109</v>
      </c>
      <c r="C1212" s="301" t="s">
        <v>105</v>
      </c>
      <c r="D1212" s="302" t="s">
        <v>4110</v>
      </c>
      <c r="E1212" s="662" t="s">
        <v>3533</v>
      </c>
      <c r="F1212" s="302" t="s">
        <v>4102</v>
      </c>
      <c r="G1212" s="663">
        <v>5</v>
      </c>
      <c r="H1212" s="99">
        <v>5</v>
      </c>
      <c r="I1212" s="99">
        <v>5</v>
      </c>
      <c r="J1212" s="385">
        <v>50</v>
      </c>
      <c r="K1212" s="114">
        <f t="shared" si="47"/>
        <v>10</v>
      </c>
      <c r="L1212" s="338" t="s">
        <v>111</v>
      </c>
      <c r="M1212" s="216"/>
      <c r="N1212" s="216"/>
      <c r="O1212" s="216"/>
      <c r="P1212" s="216"/>
      <c r="Q1212" s="216"/>
      <c r="R1212" s="216"/>
      <c r="S1212" s="216"/>
      <c r="T1212" s="216"/>
      <c r="U1212" s="216"/>
      <c r="V1212" s="216"/>
      <c r="W1212" s="216"/>
      <c r="X1212" s="216"/>
    </row>
    <row r="1213" spans="1:24" ht="15" customHeight="1">
      <c r="A1213" s="514" t="s">
        <v>4111</v>
      </c>
      <c r="B1213" s="515" t="s">
        <v>4112</v>
      </c>
      <c r="C1213" s="664" t="s">
        <v>105</v>
      </c>
      <c r="D1213" s="302" t="s">
        <v>4113</v>
      </c>
      <c r="E1213" s="662" t="s">
        <v>3533</v>
      </c>
      <c r="F1213" s="302" t="s">
        <v>4102</v>
      </c>
      <c r="G1213" s="663">
        <v>6</v>
      </c>
      <c r="H1213" s="99">
        <v>6</v>
      </c>
      <c r="I1213" s="99">
        <v>6</v>
      </c>
      <c r="J1213" s="385">
        <v>50</v>
      </c>
      <c r="K1213" s="114">
        <f t="shared" si="47"/>
        <v>8.3333333333333339</v>
      </c>
      <c r="L1213" s="338" t="s">
        <v>111</v>
      </c>
      <c r="M1213" s="216"/>
      <c r="N1213" s="216"/>
      <c r="O1213" s="216"/>
      <c r="P1213" s="216"/>
      <c r="Q1213" s="216"/>
      <c r="R1213" s="216"/>
      <c r="S1213" s="216"/>
      <c r="T1213" s="216"/>
      <c r="U1213" s="216"/>
      <c r="V1213" s="216"/>
      <c r="W1213" s="216"/>
      <c r="X1213" s="216"/>
    </row>
    <row r="1214" spans="1:24" ht="15" customHeight="1">
      <c r="A1214" s="134" t="s">
        <v>4055</v>
      </c>
      <c r="B1214" s="586" t="s">
        <v>4056</v>
      </c>
      <c r="C1214" s="99" t="s">
        <v>105</v>
      </c>
      <c r="D1214" s="134" t="s">
        <v>4114</v>
      </c>
      <c r="E1214" s="647" t="s">
        <v>4058</v>
      </c>
      <c r="F1214" s="238" t="s">
        <v>1338</v>
      </c>
      <c r="G1214" s="94">
        <v>3</v>
      </c>
      <c r="H1214" s="94">
        <v>3</v>
      </c>
      <c r="I1214" s="94">
        <v>3</v>
      </c>
      <c r="J1214" s="665">
        <v>50</v>
      </c>
      <c r="K1214" s="564">
        <f t="shared" si="47"/>
        <v>16.666666666666668</v>
      </c>
      <c r="L1214" s="338" t="s">
        <v>112</v>
      </c>
      <c r="M1214" s="216"/>
      <c r="N1214" s="216"/>
      <c r="O1214" s="216"/>
      <c r="P1214" s="216"/>
      <c r="Q1214" s="216"/>
      <c r="R1214" s="216"/>
      <c r="S1214" s="216"/>
      <c r="T1214" s="216"/>
      <c r="U1214" s="216"/>
      <c r="V1214" s="216"/>
      <c r="W1214" s="216"/>
      <c r="X1214" s="216"/>
    </row>
    <row r="1215" spans="1:24" ht="15" customHeight="1">
      <c r="A1215" s="134" t="s">
        <v>4055</v>
      </c>
      <c r="B1215" s="586" t="s">
        <v>4056</v>
      </c>
      <c r="C1215" s="99" t="s">
        <v>105</v>
      </c>
      <c r="D1215" s="134" t="s">
        <v>4115</v>
      </c>
      <c r="E1215" s="647" t="s">
        <v>4060</v>
      </c>
      <c r="F1215" s="238" t="s">
        <v>1338</v>
      </c>
      <c r="G1215" s="94">
        <v>3</v>
      </c>
      <c r="H1215" s="94">
        <v>3</v>
      </c>
      <c r="I1215" s="94">
        <v>3</v>
      </c>
      <c r="J1215" s="665">
        <v>50</v>
      </c>
      <c r="K1215" s="564">
        <f t="shared" si="47"/>
        <v>16.666666666666668</v>
      </c>
      <c r="L1215" s="338" t="s">
        <v>112</v>
      </c>
      <c r="M1215" s="216"/>
      <c r="N1215" s="216"/>
      <c r="O1215" s="216"/>
      <c r="P1215" s="216"/>
      <c r="Q1215" s="216"/>
      <c r="R1215" s="216"/>
      <c r="S1215" s="216"/>
      <c r="T1215" s="216"/>
      <c r="U1215" s="216"/>
      <c r="V1215" s="216"/>
      <c r="W1215" s="216"/>
      <c r="X1215" s="216"/>
    </row>
    <row r="1216" spans="1:24" ht="15" customHeight="1">
      <c r="A1216" s="134" t="s">
        <v>3966</v>
      </c>
      <c r="B1216" s="586" t="s">
        <v>3967</v>
      </c>
      <c r="C1216" s="99" t="s">
        <v>105</v>
      </c>
      <c r="D1216" s="134" t="s">
        <v>3968</v>
      </c>
      <c r="E1216" s="647" t="s">
        <v>942</v>
      </c>
      <c r="F1216" s="99" t="s">
        <v>1338</v>
      </c>
      <c r="G1216" s="394">
        <v>6</v>
      </c>
      <c r="H1216" s="394">
        <v>6</v>
      </c>
      <c r="I1216" s="394">
        <v>6</v>
      </c>
      <c r="J1216" s="119">
        <v>50</v>
      </c>
      <c r="K1216" s="564">
        <f t="shared" si="47"/>
        <v>8.3333333333333339</v>
      </c>
      <c r="L1216" s="338" t="s">
        <v>112</v>
      </c>
      <c r="M1216" s="216"/>
      <c r="N1216" s="216"/>
      <c r="O1216" s="216"/>
      <c r="P1216" s="216"/>
      <c r="Q1216" s="216"/>
      <c r="R1216" s="216"/>
      <c r="S1216" s="216"/>
      <c r="T1216" s="216"/>
      <c r="U1216" s="216"/>
      <c r="V1216" s="216"/>
      <c r="W1216" s="216"/>
      <c r="X1216" s="216"/>
    </row>
    <row r="1217" spans="1:24" ht="15" customHeight="1">
      <c r="A1217" s="134" t="s">
        <v>3966</v>
      </c>
      <c r="B1217" s="586" t="s">
        <v>3967</v>
      </c>
      <c r="C1217" s="99" t="s">
        <v>105</v>
      </c>
      <c r="D1217" s="134" t="s">
        <v>4116</v>
      </c>
      <c r="E1217" s="647" t="s">
        <v>3970</v>
      </c>
      <c r="F1217" s="99" t="s">
        <v>1338</v>
      </c>
      <c r="G1217" s="394">
        <v>6</v>
      </c>
      <c r="H1217" s="394">
        <v>6</v>
      </c>
      <c r="I1217" s="394">
        <v>6</v>
      </c>
      <c r="J1217" s="119">
        <v>50</v>
      </c>
      <c r="K1217" s="564">
        <f t="shared" si="47"/>
        <v>8.3333333333333339</v>
      </c>
      <c r="L1217" s="338" t="s">
        <v>112</v>
      </c>
      <c r="M1217" s="216"/>
      <c r="N1217" s="216"/>
      <c r="O1217" s="216"/>
      <c r="P1217" s="216"/>
      <c r="Q1217" s="216"/>
      <c r="R1217" s="216"/>
      <c r="S1217" s="216"/>
      <c r="T1217" s="216"/>
      <c r="U1217" s="216"/>
      <c r="V1217" s="216"/>
      <c r="W1217" s="216"/>
      <c r="X1217" s="216"/>
    </row>
    <row r="1218" spans="1:24" ht="15" customHeight="1">
      <c r="A1218" s="134" t="s">
        <v>3966</v>
      </c>
      <c r="B1218" s="586" t="s">
        <v>3967</v>
      </c>
      <c r="C1218" s="99" t="s">
        <v>105</v>
      </c>
      <c r="D1218" s="134" t="s">
        <v>4117</v>
      </c>
      <c r="E1218" s="647" t="s">
        <v>1859</v>
      </c>
      <c r="F1218" s="99" t="s">
        <v>1338</v>
      </c>
      <c r="G1218" s="394">
        <v>6</v>
      </c>
      <c r="H1218" s="394">
        <v>6</v>
      </c>
      <c r="I1218" s="394">
        <v>6</v>
      </c>
      <c r="J1218" s="119">
        <v>50</v>
      </c>
      <c r="K1218" s="564">
        <f t="shared" si="47"/>
        <v>8.3333333333333339</v>
      </c>
      <c r="L1218" s="338" t="s">
        <v>112</v>
      </c>
      <c r="M1218" s="216"/>
      <c r="N1218" s="216"/>
      <c r="O1218" s="216"/>
      <c r="P1218" s="216"/>
      <c r="Q1218" s="216"/>
      <c r="R1218" s="216"/>
      <c r="S1218" s="216"/>
      <c r="T1218" s="216"/>
      <c r="U1218" s="216"/>
      <c r="V1218" s="216"/>
      <c r="W1218" s="216"/>
      <c r="X1218" s="216"/>
    </row>
    <row r="1219" spans="1:24" ht="15" customHeight="1">
      <c r="A1219" s="134" t="s">
        <v>3966</v>
      </c>
      <c r="B1219" s="586" t="s">
        <v>3967</v>
      </c>
      <c r="C1219" s="99" t="s">
        <v>105</v>
      </c>
      <c r="D1219" s="134" t="s">
        <v>4118</v>
      </c>
      <c r="E1219" s="647" t="s">
        <v>1844</v>
      </c>
      <c r="F1219" s="99" t="s">
        <v>1338</v>
      </c>
      <c r="G1219" s="394">
        <v>6</v>
      </c>
      <c r="H1219" s="394">
        <v>6</v>
      </c>
      <c r="I1219" s="394">
        <v>6</v>
      </c>
      <c r="J1219" s="119">
        <v>50</v>
      </c>
      <c r="K1219" s="564">
        <f t="shared" si="47"/>
        <v>8.3333333333333339</v>
      </c>
      <c r="L1219" s="338" t="s">
        <v>112</v>
      </c>
      <c r="M1219" s="216"/>
      <c r="N1219" s="216"/>
      <c r="O1219" s="216"/>
      <c r="P1219" s="216"/>
      <c r="Q1219" s="216"/>
      <c r="R1219" s="216"/>
      <c r="S1219" s="216"/>
      <c r="T1219" s="216"/>
      <c r="U1219" s="216"/>
      <c r="V1219" s="216"/>
      <c r="W1219" s="216"/>
      <c r="X1219" s="216"/>
    </row>
    <row r="1220" spans="1:24" ht="15" customHeight="1">
      <c r="A1220" s="134" t="s">
        <v>3966</v>
      </c>
      <c r="B1220" s="586" t="s">
        <v>3967</v>
      </c>
      <c r="C1220" s="99" t="s">
        <v>105</v>
      </c>
      <c r="D1220" s="134" t="s">
        <v>4119</v>
      </c>
      <c r="E1220" s="647" t="s">
        <v>3974</v>
      </c>
      <c r="F1220" s="99" t="s">
        <v>1338</v>
      </c>
      <c r="G1220" s="394">
        <v>6</v>
      </c>
      <c r="H1220" s="394">
        <v>6</v>
      </c>
      <c r="I1220" s="394">
        <v>6</v>
      </c>
      <c r="J1220" s="119">
        <v>50</v>
      </c>
      <c r="K1220" s="564">
        <f t="shared" si="47"/>
        <v>8.3333333333333339</v>
      </c>
      <c r="L1220" s="338" t="s">
        <v>112</v>
      </c>
      <c r="M1220" s="216"/>
      <c r="N1220" s="216"/>
      <c r="O1220" s="216"/>
      <c r="P1220" s="216"/>
      <c r="Q1220" s="216"/>
      <c r="R1220" s="216"/>
      <c r="S1220" s="216"/>
      <c r="T1220" s="216"/>
      <c r="U1220" s="216"/>
      <c r="V1220" s="216"/>
      <c r="W1220" s="216"/>
      <c r="X1220" s="216"/>
    </row>
    <row r="1221" spans="1:24" ht="15" customHeight="1">
      <c r="A1221" s="134" t="s">
        <v>3966</v>
      </c>
      <c r="B1221" s="586" t="s">
        <v>3967</v>
      </c>
      <c r="C1221" s="99" t="s">
        <v>105</v>
      </c>
      <c r="D1221" s="134" t="s">
        <v>4120</v>
      </c>
      <c r="E1221" s="647" t="s">
        <v>3977</v>
      </c>
      <c r="F1221" s="99" t="s">
        <v>1338</v>
      </c>
      <c r="G1221" s="394">
        <v>6</v>
      </c>
      <c r="H1221" s="394">
        <v>6</v>
      </c>
      <c r="I1221" s="394">
        <v>6</v>
      </c>
      <c r="J1221" s="119">
        <v>50</v>
      </c>
      <c r="K1221" s="564">
        <f t="shared" si="47"/>
        <v>8.3333333333333339</v>
      </c>
      <c r="L1221" s="338" t="s">
        <v>112</v>
      </c>
      <c r="M1221" s="216"/>
      <c r="N1221" s="216"/>
      <c r="O1221" s="216"/>
      <c r="P1221" s="216"/>
      <c r="Q1221" s="216"/>
      <c r="R1221" s="216"/>
      <c r="S1221" s="216"/>
      <c r="T1221" s="216"/>
      <c r="U1221" s="216"/>
      <c r="V1221" s="216"/>
      <c r="W1221" s="216"/>
      <c r="X1221" s="216"/>
    </row>
    <row r="1222" spans="1:24" ht="15" customHeight="1">
      <c r="A1222" s="134" t="s">
        <v>3966</v>
      </c>
      <c r="B1222" s="586" t="s">
        <v>3967</v>
      </c>
      <c r="C1222" s="99" t="s">
        <v>105</v>
      </c>
      <c r="D1222" s="134" t="s">
        <v>4121</v>
      </c>
      <c r="E1222" s="647" t="s">
        <v>1850</v>
      </c>
      <c r="F1222" s="99" t="s">
        <v>1338</v>
      </c>
      <c r="G1222" s="394">
        <v>6</v>
      </c>
      <c r="H1222" s="394">
        <v>6</v>
      </c>
      <c r="I1222" s="394">
        <v>6</v>
      </c>
      <c r="J1222" s="119">
        <v>50</v>
      </c>
      <c r="K1222" s="564">
        <f t="shared" si="47"/>
        <v>8.3333333333333339</v>
      </c>
      <c r="L1222" s="338" t="s">
        <v>112</v>
      </c>
      <c r="M1222" s="216"/>
      <c r="N1222" s="216"/>
      <c r="O1222" s="216"/>
      <c r="P1222" s="216"/>
      <c r="Q1222" s="216"/>
      <c r="R1222" s="216"/>
      <c r="S1222" s="216"/>
      <c r="T1222" s="216"/>
      <c r="U1222" s="216"/>
      <c r="V1222" s="216"/>
      <c r="W1222" s="216"/>
      <c r="X1222" s="216"/>
    </row>
    <row r="1223" spans="1:24" ht="15" customHeight="1">
      <c r="A1223" s="134" t="s">
        <v>3978</v>
      </c>
      <c r="B1223" s="586" t="s">
        <v>3979</v>
      </c>
      <c r="C1223" s="99" t="s">
        <v>105</v>
      </c>
      <c r="D1223" s="134" t="s">
        <v>4122</v>
      </c>
      <c r="E1223" s="647" t="s">
        <v>1820</v>
      </c>
      <c r="F1223" s="99" t="s">
        <v>1338</v>
      </c>
      <c r="G1223" s="394">
        <v>6</v>
      </c>
      <c r="H1223" s="394">
        <v>6</v>
      </c>
      <c r="I1223" s="394">
        <v>6</v>
      </c>
      <c r="J1223" s="119">
        <v>50</v>
      </c>
      <c r="K1223" s="564">
        <f t="shared" si="47"/>
        <v>8.3333333333333339</v>
      </c>
      <c r="L1223" s="338" t="s">
        <v>112</v>
      </c>
      <c r="M1223" s="216"/>
      <c r="N1223" s="216"/>
      <c r="O1223" s="216"/>
      <c r="P1223" s="216"/>
      <c r="Q1223" s="216"/>
      <c r="R1223" s="216"/>
      <c r="S1223" s="216"/>
      <c r="T1223" s="216"/>
      <c r="U1223" s="216"/>
      <c r="V1223" s="216"/>
      <c r="W1223" s="216"/>
      <c r="X1223" s="216"/>
    </row>
    <row r="1224" spans="1:24" ht="15" customHeight="1">
      <c r="A1224" s="134" t="s">
        <v>3978</v>
      </c>
      <c r="B1224" s="586" t="s">
        <v>3979</v>
      </c>
      <c r="C1224" s="99" t="s">
        <v>105</v>
      </c>
      <c r="D1224" s="134" t="s">
        <v>4123</v>
      </c>
      <c r="E1224" s="647" t="s">
        <v>3981</v>
      </c>
      <c r="F1224" s="99" t="s">
        <v>1338</v>
      </c>
      <c r="G1224" s="394">
        <v>6</v>
      </c>
      <c r="H1224" s="394">
        <v>6</v>
      </c>
      <c r="I1224" s="394">
        <v>6</v>
      </c>
      <c r="J1224" s="119">
        <v>50</v>
      </c>
      <c r="K1224" s="564">
        <f t="shared" si="47"/>
        <v>8.3333333333333339</v>
      </c>
      <c r="L1224" s="338" t="s">
        <v>112</v>
      </c>
      <c r="M1224" s="216"/>
      <c r="N1224" s="216"/>
      <c r="O1224" s="216"/>
      <c r="P1224" s="216"/>
      <c r="Q1224" s="216"/>
      <c r="R1224" s="216"/>
      <c r="S1224" s="216"/>
      <c r="T1224" s="216"/>
      <c r="U1224" s="216"/>
      <c r="V1224" s="216"/>
      <c r="W1224" s="216"/>
      <c r="X1224" s="216"/>
    </row>
    <row r="1225" spans="1:24" ht="15" customHeight="1">
      <c r="A1225" s="134" t="s">
        <v>3978</v>
      </c>
      <c r="B1225" s="586" t="s">
        <v>3979</v>
      </c>
      <c r="C1225" s="99" t="s">
        <v>105</v>
      </c>
      <c r="D1225" s="134" t="s">
        <v>4124</v>
      </c>
      <c r="E1225" s="647" t="s">
        <v>3983</v>
      </c>
      <c r="F1225" s="99" t="s">
        <v>1338</v>
      </c>
      <c r="G1225" s="394">
        <v>6</v>
      </c>
      <c r="H1225" s="394">
        <v>6</v>
      </c>
      <c r="I1225" s="394">
        <v>6</v>
      </c>
      <c r="J1225" s="119">
        <v>50</v>
      </c>
      <c r="K1225" s="564">
        <f t="shared" si="47"/>
        <v>8.3333333333333339</v>
      </c>
      <c r="L1225" s="338" t="s">
        <v>112</v>
      </c>
      <c r="M1225" s="216"/>
      <c r="N1225" s="216"/>
      <c r="O1225" s="216"/>
      <c r="P1225" s="216"/>
      <c r="Q1225" s="216"/>
      <c r="R1225" s="216"/>
      <c r="S1225" s="216"/>
      <c r="T1225" s="216"/>
      <c r="U1225" s="216"/>
      <c r="V1225" s="216"/>
      <c r="W1225" s="216"/>
      <c r="X1225" s="216"/>
    </row>
    <row r="1226" spans="1:24" ht="15" customHeight="1">
      <c r="A1226" s="134" t="s">
        <v>3978</v>
      </c>
      <c r="B1226" s="586" t="s">
        <v>3979</v>
      </c>
      <c r="C1226" s="99" t="s">
        <v>105</v>
      </c>
      <c r="D1226" s="134" t="s">
        <v>4125</v>
      </c>
      <c r="E1226" s="647" t="s">
        <v>1825</v>
      </c>
      <c r="F1226" s="99" t="s">
        <v>1338</v>
      </c>
      <c r="G1226" s="394">
        <v>6</v>
      </c>
      <c r="H1226" s="394">
        <v>6</v>
      </c>
      <c r="I1226" s="394">
        <v>6</v>
      </c>
      <c r="J1226" s="119">
        <v>50</v>
      </c>
      <c r="K1226" s="564">
        <f t="shared" si="47"/>
        <v>8.3333333333333339</v>
      </c>
      <c r="L1226" s="338" t="s">
        <v>112</v>
      </c>
      <c r="M1226" s="216"/>
      <c r="N1226" s="216"/>
      <c r="O1226" s="216"/>
      <c r="P1226" s="216"/>
      <c r="Q1226" s="216"/>
      <c r="R1226" s="216"/>
      <c r="S1226" s="216"/>
      <c r="T1226" s="216"/>
      <c r="U1226" s="216"/>
      <c r="V1226" s="216"/>
      <c r="W1226" s="216"/>
      <c r="X1226" s="216"/>
    </row>
    <row r="1227" spans="1:24" ht="15" customHeight="1">
      <c r="A1227" s="134" t="s">
        <v>3978</v>
      </c>
      <c r="B1227" s="586" t="s">
        <v>3979</v>
      </c>
      <c r="C1227" s="99" t="s">
        <v>105</v>
      </c>
      <c r="D1227" s="134" t="s">
        <v>4126</v>
      </c>
      <c r="E1227" s="647" t="s">
        <v>1828</v>
      </c>
      <c r="F1227" s="99" t="s">
        <v>1338</v>
      </c>
      <c r="G1227" s="394">
        <v>6</v>
      </c>
      <c r="H1227" s="394">
        <v>6</v>
      </c>
      <c r="I1227" s="394">
        <v>6</v>
      </c>
      <c r="J1227" s="119">
        <v>50</v>
      </c>
      <c r="K1227" s="564">
        <f t="shared" si="47"/>
        <v>8.3333333333333339</v>
      </c>
      <c r="L1227" s="338" t="s">
        <v>112</v>
      </c>
      <c r="M1227" s="216"/>
      <c r="N1227" s="216"/>
      <c r="O1227" s="216"/>
      <c r="P1227" s="216"/>
      <c r="Q1227" s="216"/>
      <c r="R1227" s="216"/>
      <c r="S1227" s="216"/>
      <c r="T1227" s="216"/>
      <c r="U1227" s="216"/>
      <c r="V1227" s="216"/>
      <c r="W1227" s="216"/>
      <c r="X1227" s="216"/>
    </row>
    <row r="1228" spans="1:24" ht="15" customHeight="1">
      <c r="A1228" s="134" t="s">
        <v>3978</v>
      </c>
      <c r="B1228" s="133" t="s">
        <v>3979</v>
      </c>
      <c r="C1228" s="99" t="s">
        <v>105</v>
      </c>
      <c r="D1228" s="134" t="s">
        <v>3986</v>
      </c>
      <c r="E1228" s="647" t="s">
        <v>3987</v>
      </c>
      <c r="F1228" s="99" t="s">
        <v>1338</v>
      </c>
      <c r="G1228" s="119">
        <v>6</v>
      </c>
      <c r="H1228" s="119">
        <v>6</v>
      </c>
      <c r="I1228" s="119">
        <v>6</v>
      </c>
      <c r="J1228" s="119">
        <v>50</v>
      </c>
      <c r="K1228" s="564">
        <f t="shared" si="47"/>
        <v>8.3333333333333339</v>
      </c>
      <c r="L1228" s="338" t="s">
        <v>112</v>
      </c>
      <c r="M1228" s="216"/>
      <c r="N1228" s="216"/>
      <c r="O1228" s="216"/>
      <c r="P1228" s="216"/>
      <c r="Q1228" s="216"/>
      <c r="R1228" s="216"/>
      <c r="S1228" s="216"/>
      <c r="T1228" s="216"/>
      <c r="U1228" s="216"/>
      <c r="V1228" s="216"/>
      <c r="W1228" s="216"/>
      <c r="X1228" s="216"/>
    </row>
    <row r="1229" spans="1:24" ht="15" customHeight="1">
      <c r="A1229" s="134" t="s">
        <v>3978</v>
      </c>
      <c r="B1229" s="133" t="s">
        <v>3979</v>
      </c>
      <c r="C1229" s="99" t="s">
        <v>105</v>
      </c>
      <c r="D1229" s="134" t="s">
        <v>3988</v>
      </c>
      <c r="E1229" s="647" t="s">
        <v>3989</v>
      </c>
      <c r="F1229" s="99" t="s">
        <v>1338</v>
      </c>
      <c r="G1229" s="119">
        <v>6</v>
      </c>
      <c r="H1229" s="119">
        <v>6</v>
      </c>
      <c r="I1229" s="119">
        <v>6</v>
      </c>
      <c r="J1229" s="119">
        <v>50</v>
      </c>
      <c r="K1229" s="564">
        <f t="shared" si="47"/>
        <v>8.3333333333333339</v>
      </c>
      <c r="L1229" s="338" t="s">
        <v>112</v>
      </c>
      <c r="M1229" s="216"/>
      <c r="N1229" s="216"/>
      <c r="O1229" s="216"/>
      <c r="P1229" s="216"/>
      <c r="Q1229" s="216"/>
      <c r="R1229" s="216"/>
      <c r="S1229" s="216"/>
      <c r="T1229" s="216"/>
      <c r="U1229" s="216"/>
      <c r="V1229" s="216"/>
      <c r="W1229" s="216"/>
      <c r="X1229" s="216"/>
    </row>
    <row r="1230" spans="1:24" ht="15" customHeight="1">
      <c r="A1230" s="134" t="s">
        <v>4079</v>
      </c>
      <c r="B1230" s="133" t="s">
        <v>4080</v>
      </c>
      <c r="C1230" s="99" t="s">
        <v>105</v>
      </c>
      <c r="D1230" s="134" t="s">
        <v>4127</v>
      </c>
      <c r="E1230" s="378" t="s">
        <v>4082</v>
      </c>
      <c r="F1230" s="238" t="s">
        <v>1338</v>
      </c>
      <c r="G1230" s="99">
        <v>4</v>
      </c>
      <c r="H1230" s="99">
        <v>3</v>
      </c>
      <c r="I1230" s="99">
        <v>4</v>
      </c>
      <c r="J1230" s="665">
        <v>50</v>
      </c>
      <c r="K1230" s="666">
        <f t="shared" si="47"/>
        <v>12.5</v>
      </c>
      <c r="L1230" s="338" t="s">
        <v>112</v>
      </c>
      <c r="M1230" s="216"/>
      <c r="N1230" s="216"/>
      <c r="O1230" s="216"/>
      <c r="P1230" s="216"/>
      <c r="Q1230" s="216"/>
      <c r="R1230" s="216"/>
      <c r="S1230" s="216"/>
      <c r="T1230" s="216"/>
      <c r="U1230" s="216"/>
      <c r="V1230" s="216"/>
      <c r="W1230" s="216"/>
      <c r="X1230" s="216"/>
    </row>
    <row r="1231" spans="1:24" ht="15" customHeight="1">
      <c r="A1231" s="91" t="s">
        <v>4128</v>
      </c>
      <c r="B1231" s="256" t="s">
        <v>4129</v>
      </c>
      <c r="C1231" s="99" t="s">
        <v>105</v>
      </c>
      <c r="D1231" s="134" t="s">
        <v>4130</v>
      </c>
      <c r="E1231" s="382" t="s">
        <v>4131</v>
      </c>
      <c r="F1231" s="238" t="s">
        <v>635</v>
      </c>
      <c r="G1231" s="94">
        <v>4</v>
      </c>
      <c r="H1231" s="94">
        <v>4</v>
      </c>
      <c r="I1231" s="94">
        <v>4</v>
      </c>
      <c r="J1231" s="383">
        <v>50</v>
      </c>
      <c r="K1231" s="186">
        <f t="shared" si="47"/>
        <v>12.5</v>
      </c>
      <c r="L1231" s="338" t="s">
        <v>112</v>
      </c>
      <c r="M1231" s="216"/>
      <c r="N1231" s="216"/>
      <c r="O1231" s="216"/>
      <c r="P1231" s="216"/>
      <c r="Q1231" s="216"/>
      <c r="R1231" s="216"/>
      <c r="S1231" s="216"/>
      <c r="T1231" s="216"/>
      <c r="U1231" s="216"/>
      <c r="V1231" s="216"/>
      <c r="W1231" s="216"/>
      <c r="X1231" s="216"/>
    </row>
    <row r="1232" spans="1:24" ht="15" customHeight="1">
      <c r="A1232" s="91" t="s">
        <v>4128</v>
      </c>
      <c r="B1232" s="256" t="s">
        <v>4129</v>
      </c>
      <c r="C1232" s="99" t="s">
        <v>105</v>
      </c>
      <c r="D1232" s="134" t="s">
        <v>4132</v>
      </c>
      <c r="E1232" s="382" t="s">
        <v>4133</v>
      </c>
      <c r="F1232" s="238" t="s">
        <v>635</v>
      </c>
      <c r="G1232" s="94">
        <v>4</v>
      </c>
      <c r="H1232" s="94">
        <v>4</v>
      </c>
      <c r="I1232" s="94">
        <v>4</v>
      </c>
      <c r="J1232" s="383">
        <v>50</v>
      </c>
      <c r="K1232" s="186">
        <f t="shared" si="47"/>
        <v>12.5</v>
      </c>
      <c r="L1232" s="338" t="s">
        <v>112</v>
      </c>
      <c r="M1232" s="216"/>
      <c r="N1232" s="216"/>
      <c r="O1232" s="216"/>
      <c r="P1232" s="216"/>
      <c r="Q1232" s="216"/>
      <c r="R1232" s="216"/>
      <c r="S1232" s="216"/>
      <c r="T1232" s="216"/>
      <c r="U1232" s="216"/>
      <c r="V1232" s="216"/>
      <c r="W1232" s="216"/>
      <c r="X1232" s="216"/>
    </row>
    <row r="1233" spans="1:24" ht="15" customHeight="1">
      <c r="A1233" s="302" t="s">
        <v>3567</v>
      </c>
      <c r="B1233" s="302" t="s">
        <v>3568</v>
      </c>
      <c r="C1233" s="301" t="s">
        <v>105</v>
      </c>
      <c r="D1233" s="302" t="s">
        <v>3569</v>
      </c>
      <c r="E1233" s="290" t="s">
        <v>3570</v>
      </c>
      <c r="F1233" s="597" t="s">
        <v>3595</v>
      </c>
      <c r="G1233" s="290">
        <v>2</v>
      </c>
      <c r="H1233" s="290">
        <v>2</v>
      </c>
      <c r="I1233" s="290">
        <v>2</v>
      </c>
      <c r="J1233" s="608">
        <v>50</v>
      </c>
      <c r="K1233" s="642">
        <f>J1233/I1233</f>
        <v>25</v>
      </c>
      <c r="L1233" s="338" t="s">
        <v>113</v>
      </c>
      <c r="M1233" s="216"/>
      <c r="N1233" s="216"/>
      <c r="O1233" s="216"/>
      <c r="P1233" s="216"/>
      <c r="Q1233" s="216"/>
      <c r="R1233" s="216"/>
      <c r="S1233" s="216"/>
      <c r="T1233" s="216"/>
      <c r="U1233" s="216"/>
      <c r="V1233" s="216"/>
      <c r="W1233" s="216"/>
      <c r="X1233" s="216"/>
    </row>
    <row r="1234" spans="1:24" ht="15" customHeight="1">
      <c r="A1234" s="302" t="s">
        <v>3615</v>
      </c>
      <c r="B1234" s="302" t="s">
        <v>3616</v>
      </c>
      <c r="C1234" s="290" t="s">
        <v>105</v>
      </c>
      <c r="D1234" s="302" t="s">
        <v>3617</v>
      </c>
      <c r="E1234" s="290" t="s">
        <v>3618</v>
      </c>
      <c r="F1234" s="597" t="s">
        <v>230</v>
      </c>
      <c r="G1234" s="290">
        <v>4</v>
      </c>
      <c r="H1234" s="290">
        <v>4</v>
      </c>
      <c r="I1234" s="290">
        <v>4</v>
      </c>
      <c r="J1234" s="608">
        <v>50</v>
      </c>
      <c r="K1234" s="642">
        <f t="shared" ref="K1234:K1236" si="48">J1234/H1234</f>
        <v>12.5</v>
      </c>
      <c r="L1234" s="338" t="s">
        <v>113</v>
      </c>
      <c r="M1234" s="216"/>
      <c r="N1234" s="216"/>
      <c r="O1234" s="216"/>
      <c r="P1234" s="216"/>
      <c r="Q1234" s="216"/>
      <c r="R1234" s="216"/>
      <c r="S1234" s="216"/>
      <c r="T1234" s="216"/>
      <c r="U1234" s="216"/>
      <c r="V1234" s="216"/>
      <c r="W1234" s="216"/>
      <c r="X1234" s="216"/>
    </row>
    <row r="1235" spans="1:24" ht="15" customHeight="1">
      <c r="A1235" s="302" t="s">
        <v>3621</v>
      </c>
      <c r="B1235" s="302" t="s">
        <v>3622</v>
      </c>
      <c r="C1235" s="290" t="s">
        <v>105</v>
      </c>
      <c r="D1235" s="302" t="s">
        <v>3623</v>
      </c>
      <c r="E1235" s="290" t="s">
        <v>3624</v>
      </c>
      <c r="F1235" s="597" t="s">
        <v>4134</v>
      </c>
      <c r="G1235" s="290">
        <v>4</v>
      </c>
      <c r="H1235" s="290">
        <v>4</v>
      </c>
      <c r="I1235" s="290">
        <v>4</v>
      </c>
      <c r="J1235" s="608">
        <v>50</v>
      </c>
      <c r="K1235" s="642">
        <f t="shared" si="48"/>
        <v>12.5</v>
      </c>
      <c r="L1235" s="338" t="s">
        <v>113</v>
      </c>
      <c r="M1235" s="216"/>
      <c r="N1235" s="216"/>
      <c r="O1235" s="216"/>
      <c r="P1235" s="216"/>
      <c r="Q1235" s="216"/>
      <c r="R1235" s="216"/>
      <c r="S1235" s="216"/>
      <c r="T1235" s="216"/>
      <c r="U1235" s="216"/>
      <c r="V1235" s="216"/>
      <c r="W1235" s="216"/>
      <c r="X1235" s="216"/>
    </row>
    <row r="1236" spans="1:24" ht="15" customHeight="1">
      <c r="A1236" s="302" t="s">
        <v>3621</v>
      </c>
      <c r="B1236" s="302" t="s">
        <v>3622</v>
      </c>
      <c r="C1236" s="290" t="s">
        <v>105</v>
      </c>
      <c r="D1236" s="302" t="s">
        <v>3626</v>
      </c>
      <c r="E1236" s="290" t="s">
        <v>3627</v>
      </c>
      <c r="F1236" s="597" t="s">
        <v>4135</v>
      </c>
      <c r="G1236" s="290">
        <v>4</v>
      </c>
      <c r="H1236" s="290">
        <v>4</v>
      </c>
      <c r="I1236" s="290">
        <v>4</v>
      </c>
      <c r="J1236" s="608">
        <v>50</v>
      </c>
      <c r="K1236" s="642">
        <f t="shared" si="48"/>
        <v>12.5</v>
      </c>
      <c r="L1236" s="338" t="s">
        <v>113</v>
      </c>
      <c r="M1236" s="216"/>
      <c r="N1236" s="216"/>
      <c r="O1236" s="216"/>
      <c r="P1236" s="216"/>
      <c r="Q1236" s="216"/>
      <c r="R1236" s="216"/>
      <c r="S1236" s="216"/>
      <c r="T1236" s="216"/>
      <c r="U1236" s="216"/>
      <c r="V1236" s="216"/>
      <c r="W1236" s="216"/>
      <c r="X1236" s="216"/>
    </row>
    <row r="1237" spans="1:24" ht="15" customHeight="1">
      <c r="A1237" s="504" t="s">
        <v>4094</v>
      </c>
      <c r="B1237" s="571" t="s">
        <v>4095</v>
      </c>
      <c r="C1237" s="667" t="s">
        <v>105</v>
      </c>
      <c r="D1237" s="504" t="s">
        <v>4136</v>
      </c>
      <c r="E1237" s="293" t="s">
        <v>4097</v>
      </c>
      <c r="F1237" s="571" t="s">
        <v>635</v>
      </c>
      <c r="G1237" s="668">
        <v>4</v>
      </c>
      <c r="H1237" s="316">
        <v>4</v>
      </c>
      <c r="I1237" s="316">
        <v>4</v>
      </c>
      <c r="J1237" s="669">
        <v>50</v>
      </c>
      <c r="K1237" s="670">
        <f>J1237/G1237</f>
        <v>12.5</v>
      </c>
      <c r="L1237" s="338" t="s">
        <v>113</v>
      </c>
      <c r="M1237" s="216"/>
      <c r="N1237" s="216"/>
      <c r="O1237" s="216"/>
      <c r="P1237" s="216"/>
      <c r="Q1237" s="216"/>
      <c r="R1237" s="216"/>
      <c r="S1237" s="216"/>
      <c r="T1237" s="216"/>
      <c r="U1237" s="216"/>
      <c r="V1237" s="216"/>
      <c r="W1237" s="216"/>
      <c r="X1237" s="216"/>
    </row>
    <row r="1238" spans="1:24" ht="15" customHeight="1">
      <c r="A1238" s="302" t="s">
        <v>3629</v>
      </c>
      <c r="B1238" s="302" t="s">
        <v>3630</v>
      </c>
      <c r="C1238" s="290" t="s">
        <v>105</v>
      </c>
      <c r="D1238" s="302" t="s">
        <v>3631</v>
      </c>
      <c r="E1238" s="290" t="s">
        <v>3632</v>
      </c>
      <c r="F1238" s="597" t="s">
        <v>230</v>
      </c>
      <c r="G1238" s="290">
        <v>3</v>
      </c>
      <c r="H1238" s="290">
        <v>3</v>
      </c>
      <c r="I1238" s="290">
        <v>3</v>
      </c>
      <c r="J1238" s="608">
        <v>50</v>
      </c>
      <c r="K1238" s="642">
        <f t="shared" ref="K1238:K1257" si="49">J1238/H1238</f>
        <v>16.666666666666668</v>
      </c>
      <c r="L1238" s="338" t="s">
        <v>113</v>
      </c>
      <c r="M1238" s="216"/>
      <c r="N1238" s="216"/>
      <c r="O1238" s="216"/>
      <c r="P1238" s="216"/>
      <c r="Q1238" s="216"/>
      <c r="R1238" s="216"/>
      <c r="S1238" s="216"/>
      <c r="T1238" s="216"/>
      <c r="U1238" s="216"/>
      <c r="V1238" s="216"/>
      <c r="W1238" s="216"/>
      <c r="X1238" s="216"/>
    </row>
    <row r="1239" spans="1:24" ht="15" customHeight="1">
      <c r="A1239" s="302" t="s">
        <v>3629</v>
      </c>
      <c r="B1239" s="302" t="s">
        <v>3630</v>
      </c>
      <c r="C1239" s="290" t="s">
        <v>105</v>
      </c>
      <c r="D1239" s="302" t="s">
        <v>3633</v>
      </c>
      <c r="E1239" s="290" t="s">
        <v>3634</v>
      </c>
      <c r="F1239" s="597" t="s">
        <v>230</v>
      </c>
      <c r="G1239" s="290">
        <v>3</v>
      </c>
      <c r="H1239" s="290">
        <v>3</v>
      </c>
      <c r="I1239" s="290">
        <v>3</v>
      </c>
      <c r="J1239" s="608">
        <v>50</v>
      </c>
      <c r="K1239" s="642">
        <f t="shared" si="49"/>
        <v>16.666666666666668</v>
      </c>
      <c r="L1239" s="338" t="s">
        <v>113</v>
      </c>
      <c r="M1239" s="216"/>
      <c r="N1239" s="216"/>
      <c r="O1239" s="216"/>
      <c r="P1239" s="216"/>
      <c r="Q1239" s="216"/>
      <c r="R1239" s="216"/>
      <c r="S1239" s="216"/>
      <c r="T1239" s="216"/>
      <c r="U1239" s="216"/>
      <c r="V1239" s="216"/>
      <c r="W1239" s="216"/>
      <c r="X1239" s="216"/>
    </row>
    <row r="1240" spans="1:24" ht="15" customHeight="1">
      <c r="A1240" s="302" t="s">
        <v>3629</v>
      </c>
      <c r="B1240" s="302" t="s">
        <v>3630</v>
      </c>
      <c r="C1240" s="290" t="s">
        <v>105</v>
      </c>
      <c r="D1240" s="302" t="s">
        <v>3635</v>
      </c>
      <c r="E1240" s="290" t="s">
        <v>3636</v>
      </c>
      <c r="F1240" s="597" t="s">
        <v>4137</v>
      </c>
      <c r="G1240" s="290">
        <v>3</v>
      </c>
      <c r="H1240" s="290">
        <v>3</v>
      </c>
      <c r="I1240" s="290">
        <v>3</v>
      </c>
      <c r="J1240" s="608">
        <v>50</v>
      </c>
      <c r="K1240" s="642">
        <f t="shared" si="49"/>
        <v>16.666666666666668</v>
      </c>
      <c r="L1240" s="338" t="s">
        <v>113</v>
      </c>
      <c r="M1240" s="216"/>
      <c r="N1240" s="216"/>
      <c r="O1240" s="216"/>
      <c r="P1240" s="216"/>
      <c r="Q1240" s="216"/>
      <c r="R1240" s="216"/>
      <c r="S1240" s="216"/>
      <c r="T1240" s="216"/>
      <c r="U1240" s="216"/>
      <c r="V1240" s="216"/>
      <c r="W1240" s="216"/>
      <c r="X1240" s="216"/>
    </row>
    <row r="1241" spans="1:24" ht="15" customHeight="1">
      <c r="A1241" s="302" t="s">
        <v>3638</v>
      </c>
      <c r="B1241" s="302" t="s">
        <v>3639</v>
      </c>
      <c r="C1241" s="290" t="s">
        <v>105</v>
      </c>
      <c r="D1241" s="302" t="s">
        <v>3640</v>
      </c>
      <c r="E1241" s="290" t="s">
        <v>3641</v>
      </c>
      <c r="F1241" s="597" t="s">
        <v>2072</v>
      </c>
      <c r="G1241" s="290">
        <v>3</v>
      </c>
      <c r="H1241" s="290">
        <v>3</v>
      </c>
      <c r="I1241" s="290">
        <v>3</v>
      </c>
      <c r="J1241" s="608">
        <v>50</v>
      </c>
      <c r="K1241" s="642">
        <f t="shared" si="49"/>
        <v>16.666666666666668</v>
      </c>
      <c r="L1241" s="338" t="s">
        <v>113</v>
      </c>
      <c r="M1241" s="216"/>
      <c r="N1241" s="216"/>
      <c r="O1241" s="216"/>
      <c r="P1241" s="216"/>
      <c r="Q1241" s="216"/>
      <c r="R1241" s="216"/>
      <c r="S1241" s="216"/>
      <c r="T1241" s="216"/>
      <c r="U1241" s="216"/>
      <c r="V1241" s="216"/>
      <c r="W1241" s="216"/>
      <c r="X1241" s="216"/>
    </row>
    <row r="1242" spans="1:24" ht="15" customHeight="1">
      <c r="A1242" s="302" t="s">
        <v>3638</v>
      </c>
      <c r="B1242" s="302" t="s">
        <v>3639</v>
      </c>
      <c r="C1242" s="290" t="s">
        <v>105</v>
      </c>
      <c r="D1242" s="302" t="s">
        <v>3642</v>
      </c>
      <c r="E1242" s="290" t="s">
        <v>3643</v>
      </c>
      <c r="F1242" s="597" t="s">
        <v>230</v>
      </c>
      <c r="G1242" s="291">
        <v>3</v>
      </c>
      <c r="H1242" s="291">
        <v>3</v>
      </c>
      <c r="I1242" s="291">
        <v>3</v>
      </c>
      <c r="J1242" s="608">
        <v>50</v>
      </c>
      <c r="K1242" s="642">
        <f t="shared" si="49"/>
        <v>16.666666666666668</v>
      </c>
      <c r="L1242" s="338" t="s">
        <v>113</v>
      </c>
      <c r="M1242" s="216"/>
      <c r="N1242" s="216"/>
      <c r="O1242" s="216"/>
      <c r="P1242" s="216"/>
      <c r="Q1242" s="216"/>
      <c r="R1242" s="216"/>
      <c r="S1242" s="216"/>
      <c r="T1242" s="216"/>
      <c r="U1242" s="216"/>
      <c r="V1242" s="216"/>
      <c r="W1242" s="216"/>
      <c r="X1242" s="216"/>
    </row>
    <row r="1243" spans="1:24" ht="15" customHeight="1">
      <c r="A1243" s="302" t="s">
        <v>3638</v>
      </c>
      <c r="B1243" s="302" t="s">
        <v>3639</v>
      </c>
      <c r="C1243" s="290" t="s">
        <v>105</v>
      </c>
      <c r="D1243" s="302" t="s">
        <v>3644</v>
      </c>
      <c r="E1243" s="290" t="s">
        <v>3645</v>
      </c>
      <c r="F1243" s="597" t="s">
        <v>230</v>
      </c>
      <c r="G1243" s="290">
        <v>3</v>
      </c>
      <c r="H1243" s="290">
        <v>3</v>
      </c>
      <c r="I1243" s="290">
        <v>3</v>
      </c>
      <c r="J1243" s="608">
        <v>50</v>
      </c>
      <c r="K1243" s="642">
        <f t="shared" si="49"/>
        <v>16.666666666666668</v>
      </c>
      <c r="L1243" s="338" t="s">
        <v>113</v>
      </c>
      <c r="M1243" s="216"/>
      <c r="N1243" s="216"/>
      <c r="O1243" s="216"/>
      <c r="P1243" s="216"/>
      <c r="Q1243" s="216"/>
      <c r="R1243" s="216"/>
      <c r="S1243" s="216"/>
      <c r="T1243" s="216"/>
      <c r="U1243" s="216"/>
      <c r="V1243" s="216"/>
      <c r="W1243" s="216"/>
      <c r="X1243" s="216"/>
    </row>
    <row r="1244" spans="1:24" ht="15" customHeight="1">
      <c r="A1244" s="302" t="s">
        <v>3638</v>
      </c>
      <c r="B1244" s="302" t="s">
        <v>3639</v>
      </c>
      <c r="C1244" s="290" t="s">
        <v>105</v>
      </c>
      <c r="D1244" s="302" t="s">
        <v>3646</v>
      </c>
      <c r="E1244" s="290" t="s">
        <v>3647</v>
      </c>
      <c r="F1244" s="597" t="s">
        <v>4138</v>
      </c>
      <c r="G1244" s="290">
        <v>3</v>
      </c>
      <c r="H1244" s="290">
        <v>3</v>
      </c>
      <c r="I1244" s="290">
        <v>3</v>
      </c>
      <c r="J1244" s="608">
        <v>50</v>
      </c>
      <c r="K1244" s="642">
        <f t="shared" si="49"/>
        <v>16.666666666666668</v>
      </c>
      <c r="L1244" s="338" t="s">
        <v>113</v>
      </c>
      <c r="M1244" s="216"/>
      <c r="N1244" s="216"/>
      <c r="O1244" s="216"/>
      <c r="P1244" s="216"/>
      <c r="Q1244" s="216"/>
      <c r="R1244" s="216"/>
      <c r="S1244" s="216"/>
      <c r="T1244" s="216"/>
      <c r="U1244" s="216"/>
      <c r="V1244" s="216"/>
      <c r="W1244" s="216"/>
      <c r="X1244" s="216"/>
    </row>
    <row r="1245" spans="1:24" ht="15" customHeight="1">
      <c r="A1245" s="302" t="s">
        <v>3638</v>
      </c>
      <c r="B1245" s="302" t="s">
        <v>3649</v>
      </c>
      <c r="C1245" s="301" t="s">
        <v>105</v>
      </c>
      <c r="D1245" s="302" t="s">
        <v>3650</v>
      </c>
      <c r="E1245" s="290" t="s">
        <v>3651</v>
      </c>
      <c r="F1245" s="597" t="s">
        <v>3652</v>
      </c>
      <c r="G1245" s="290">
        <v>3</v>
      </c>
      <c r="H1245" s="290">
        <v>3</v>
      </c>
      <c r="I1245" s="290">
        <v>3</v>
      </c>
      <c r="J1245" s="608">
        <v>50</v>
      </c>
      <c r="K1245" s="642">
        <f t="shared" si="49"/>
        <v>16.666666666666668</v>
      </c>
      <c r="L1245" s="338" t="s">
        <v>113</v>
      </c>
      <c r="M1245" s="216"/>
      <c r="N1245" s="216"/>
      <c r="O1245" s="216"/>
      <c r="P1245" s="216"/>
      <c r="Q1245" s="216"/>
      <c r="R1245" s="216"/>
      <c r="S1245" s="216"/>
      <c r="T1245" s="216"/>
      <c r="U1245" s="216"/>
      <c r="V1245" s="216"/>
      <c r="W1245" s="216"/>
      <c r="X1245" s="216"/>
    </row>
    <row r="1246" spans="1:24" ht="15" customHeight="1">
      <c r="A1246" s="302" t="s">
        <v>3638</v>
      </c>
      <c r="B1246" s="302" t="s">
        <v>3649</v>
      </c>
      <c r="C1246" s="301" t="s">
        <v>105</v>
      </c>
      <c r="D1246" s="302" t="s">
        <v>3653</v>
      </c>
      <c r="E1246" s="290" t="s">
        <v>3654</v>
      </c>
      <c r="F1246" s="597" t="s">
        <v>4139</v>
      </c>
      <c r="G1246" s="290">
        <v>3</v>
      </c>
      <c r="H1246" s="290">
        <v>3</v>
      </c>
      <c r="I1246" s="290">
        <v>3</v>
      </c>
      <c r="J1246" s="608">
        <v>50</v>
      </c>
      <c r="K1246" s="642">
        <f t="shared" si="49"/>
        <v>16.666666666666668</v>
      </c>
      <c r="L1246" s="338" t="s">
        <v>113</v>
      </c>
      <c r="M1246" s="216"/>
      <c r="N1246" s="216"/>
      <c r="O1246" s="216"/>
      <c r="P1246" s="216"/>
      <c r="Q1246" s="216"/>
      <c r="R1246" s="216"/>
      <c r="S1246" s="216"/>
      <c r="T1246" s="216"/>
      <c r="U1246" s="216"/>
      <c r="V1246" s="216"/>
      <c r="W1246" s="216"/>
      <c r="X1246" s="216"/>
    </row>
    <row r="1247" spans="1:24" ht="15" customHeight="1">
      <c r="A1247" s="302" t="s">
        <v>3638</v>
      </c>
      <c r="B1247" s="302" t="s">
        <v>3649</v>
      </c>
      <c r="C1247" s="301" t="s">
        <v>105</v>
      </c>
      <c r="D1247" s="302" t="s">
        <v>4140</v>
      </c>
      <c r="E1247" s="290" t="s">
        <v>4141</v>
      </c>
      <c r="F1247" s="597" t="s">
        <v>4142</v>
      </c>
      <c r="G1247" s="290">
        <v>3</v>
      </c>
      <c r="H1247" s="290">
        <v>3</v>
      </c>
      <c r="I1247" s="290">
        <v>3</v>
      </c>
      <c r="J1247" s="608">
        <v>50</v>
      </c>
      <c r="K1247" s="642">
        <f t="shared" si="49"/>
        <v>16.666666666666668</v>
      </c>
      <c r="L1247" s="338" t="s">
        <v>113</v>
      </c>
      <c r="M1247" s="216"/>
      <c r="N1247" s="216"/>
      <c r="O1247" s="216"/>
      <c r="P1247" s="216"/>
      <c r="Q1247" s="216"/>
      <c r="R1247" s="216"/>
      <c r="S1247" s="216"/>
      <c r="T1247" s="216"/>
      <c r="U1247" s="216"/>
      <c r="V1247" s="216"/>
      <c r="W1247" s="216"/>
      <c r="X1247" s="216"/>
    </row>
    <row r="1248" spans="1:24" ht="15" customHeight="1">
      <c r="A1248" s="302" t="s">
        <v>3656</v>
      </c>
      <c r="B1248" s="302" t="s">
        <v>3657</v>
      </c>
      <c r="C1248" s="290" t="s">
        <v>105</v>
      </c>
      <c r="D1248" s="302" t="s">
        <v>3658</v>
      </c>
      <c r="E1248" s="290" t="s">
        <v>3659</v>
      </c>
      <c r="F1248" s="597" t="s">
        <v>4143</v>
      </c>
      <c r="G1248" s="290">
        <v>3</v>
      </c>
      <c r="H1248" s="290">
        <v>3</v>
      </c>
      <c r="I1248" s="290">
        <v>3</v>
      </c>
      <c r="J1248" s="608">
        <v>50</v>
      </c>
      <c r="K1248" s="642">
        <f t="shared" si="49"/>
        <v>16.666666666666668</v>
      </c>
      <c r="L1248" s="338" t="s">
        <v>113</v>
      </c>
      <c r="M1248" s="216"/>
      <c r="N1248" s="216"/>
      <c r="O1248" s="216"/>
      <c r="P1248" s="216"/>
      <c r="Q1248" s="216"/>
      <c r="R1248" s="216"/>
      <c r="S1248" s="216"/>
      <c r="T1248" s="216"/>
      <c r="U1248" s="216"/>
      <c r="V1248" s="216"/>
      <c r="W1248" s="216"/>
      <c r="X1248" s="216"/>
    </row>
    <row r="1249" spans="1:24" ht="15" customHeight="1">
      <c r="A1249" s="302" t="s">
        <v>3668</v>
      </c>
      <c r="B1249" s="302" t="s">
        <v>3605</v>
      </c>
      <c r="C1249" s="290" t="s">
        <v>105</v>
      </c>
      <c r="D1249" s="302" t="s">
        <v>3669</v>
      </c>
      <c r="E1249" s="290" t="s">
        <v>3670</v>
      </c>
      <c r="F1249" s="597" t="s">
        <v>2072</v>
      </c>
      <c r="G1249" s="290">
        <v>4</v>
      </c>
      <c r="H1249" s="290">
        <v>4</v>
      </c>
      <c r="I1249" s="290">
        <v>4</v>
      </c>
      <c r="J1249" s="608">
        <v>50</v>
      </c>
      <c r="K1249" s="642">
        <f t="shared" si="49"/>
        <v>12.5</v>
      </c>
      <c r="L1249" s="338" t="s">
        <v>113</v>
      </c>
      <c r="M1249" s="216"/>
      <c r="N1249" s="216"/>
      <c r="O1249" s="216"/>
      <c r="P1249" s="216"/>
      <c r="Q1249" s="216"/>
      <c r="R1249" s="216"/>
      <c r="S1249" s="216"/>
      <c r="T1249" s="216"/>
      <c r="U1249" s="216"/>
      <c r="V1249" s="216"/>
      <c r="W1249" s="216"/>
      <c r="X1249" s="216"/>
    </row>
    <row r="1250" spans="1:24" ht="15" customHeight="1">
      <c r="A1250" s="302" t="s">
        <v>3661</v>
      </c>
      <c r="B1250" s="302" t="s">
        <v>3649</v>
      </c>
      <c r="C1250" s="301" t="s">
        <v>105</v>
      </c>
      <c r="D1250" s="302" t="s">
        <v>3662</v>
      </c>
      <c r="E1250" s="290" t="s">
        <v>3663</v>
      </c>
      <c r="F1250" s="597" t="s">
        <v>4144</v>
      </c>
      <c r="G1250" s="290">
        <v>3</v>
      </c>
      <c r="H1250" s="290">
        <v>3</v>
      </c>
      <c r="I1250" s="290">
        <v>3</v>
      </c>
      <c r="J1250" s="608">
        <v>50</v>
      </c>
      <c r="K1250" s="642">
        <f t="shared" si="49"/>
        <v>16.666666666666668</v>
      </c>
      <c r="L1250" s="338" t="s">
        <v>113</v>
      </c>
      <c r="M1250" s="216"/>
      <c r="N1250" s="216"/>
      <c r="O1250" s="216"/>
      <c r="P1250" s="216"/>
      <c r="Q1250" s="216"/>
      <c r="R1250" s="216"/>
      <c r="S1250" s="216"/>
      <c r="T1250" s="216"/>
      <c r="U1250" s="216"/>
      <c r="V1250" s="216"/>
      <c r="W1250" s="216"/>
      <c r="X1250" s="216"/>
    </row>
    <row r="1251" spans="1:24" ht="15" customHeight="1">
      <c r="A1251" s="302" t="s">
        <v>3661</v>
      </c>
      <c r="B1251" s="302" t="s">
        <v>3649</v>
      </c>
      <c r="C1251" s="301" t="s">
        <v>105</v>
      </c>
      <c r="D1251" s="302" t="s">
        <v>3665</v>
      </c>
      <c r="E1251" s="290" t="s">
        <v>3666</v>
      </c>
      <c r="F1251" s="597" t="s">
        <v>3667</v>
      </c>
      <c r="G1251" s="290">
        <v>3</v>
      </c>
      <c r="H1251" s="290">
        <v>3</v>
      </c>
      <c r="I1251" s="290">
        <v>3</v>
      </c>
      <c r="J1251" s="608">
        <v>50</v>
      </c>
      <c r="K1251" s="642">
        <f t="shared" si="49"/>
        <v>16.666666666666668</v>
      </c>
      <c r="L1251" s="338" t="s">
        <v>113</v>
      </c>
      <c r="M1251" s="216"/>
      <c r="N1251" s="216"/>
      <c r="O1251" s="216"/>
      <c r="P1251" s="216"/>
      <c r="Q1251" s="216"/>
      <c r="R1251" s="216"/>
      <c r="S1251" s="216"/>
      <c r="T1251" s="216"/>
      <c r="U1251" s="216"/>
      <c r="V1251" s="216"/>
      <c r="W1251" s="216"/>
      <c r="X1251" s="216"/>
    </row>
    <row r="1252" spans="1:24" ht="15" customHeight="1">
      <c r="A1252" s="302" t="s">
        <v>4145</v>
      </c>
      <c r="B1252" s="302" t="s">
        <v>4146</v>
      </c>
      <c r="C1252" s="301" t="s">
        <v>105</v>
      </c>
      <c r="D1252" s="302" t="s">
        <v>4147</v>
      </c>
      <c r="E1252" s="290" t="s">
        <v>4148</v>
      </c>
      <c r="F1252" s="597" t="s">
        <v>4149</v>
      </c>
      <c r="G1252" s="290">
        <v>1</v>
      </c>
      <c r="H1252" s="290">
        <v>1</v>
      </c>
      <c r="I1252" s="290">
        <v>3</v>
      </c>
      <c r="J1252" s="608">
        <v>50</v>
      </c>
      <c r="K1252" s="642">
        <f t="shared" si="49"/>
        <v>50</v>
      </c>
      <c r="L1252" s="338" t="s">
        <v>113</v>
      </c>
      <c r="M1252" s="216"/>
      <c r="N1252" s="216"/>
      <c r="O1252" s="216"/>
      <c r="P1252" s="216"/>
      <c r="Q1252" s="216"/>
      <c r="R1252" s="216"/>
      <c r="S1252" s="216"/>
      <c r="T1252" s="216"/>
      <c r="U1252" s="216"/>
      <c r="V1252" s="216"/>
      <c r="W1252" s="216"/>
      <c r="X1252" s="216"/>
    </row>
    <row r="1253" spans="1:24" ht="15" customHeight="1">
      <c r="A1253" s="302" t="s">
        <v>4145</v>
      </c>
      <c r="B1253" s="302" t="s">
        <v>4146</v>
      </c>
      <c r="C1253" s="301" t="s">
        <v>105</v>
      </c>
      <c r="D1253" s="302" t="s">
        <v>4150</v>
      </c>
      <c r="E1253" s="290" t="s">
        <v>4151</v>
      </c>
      <c r="F1253" s="597" t="s">
        <v>4152</v>
      </c>
      <c r="G1253" s="290">
        <v>1</v>
      </c>
      <c r="H1253" s="290">
        <v>1</v>
      </c>
      <c r="I1253" s="290">
        <v>3</v>
      </c>
      <c r="J1253" s="608">
        <v>50</v>
      </c>
      <c r="K1253" s="642">
        <f t="shared" si="49"/>
        <v>50</v>
      </c>
      <c r="L1253" s="338" t="s">
        <v>113</v>
      </c>
      <c r="M1253" s="216"/>
      <c r="N1253" s="216"/>
      <c r="O1253" s="216"/>
      <c r="P1253" s="216"/>
      <c r="Q1253" s="216"/>
      <c r="R1253" s="216"/>
      <c r="S1253" s="216"/>
      <c r="T1253" s="216"/>
      <c r="U1253" s="216"/>
      <c r="V1253" s="216"/>
      <c r="W1253" s="216"/>
      <c r="X1253" s="216"/>
    </row>
    <row r="1254" spans="1:24" ht="15" customHeight="1">
      <c r="A1254" s="302" t="s">
        <v>4145</v>
      </c>
      <c r="B1254" s="302" t="s">
        <v>4146</v>
      </c>
      <c r="C1254" s="301" t="s">
        <v>105</v>
      </c>
      <c r="D1254" s="302" t="s">
        <v>4153</v>
      </c>
      <c r="E1254" s="596" t="s">
        <v>4154</v>
      </c>
      <c r="F1254" s="597" t="s">
        <v>4155</v>
      </c>
      <c r="G1254" s="290">
        <v>1</v>
      </c>
      <c r="H1254" s="290">
        <v>1</v>
      </c>
      <c r="I1254" s="290">
        <v>3</v>
      </c>
      <c r="J1254" s="608">
        <v>50</v>
      </c>
      <c r="K1254" s="642">
        <f t="shared" si="49"/>
        <v>50</v>
      </c>
      <c r="L1254" s="338" t="s">
        <v>113</v>
      </c>
      <c r="M1254" s="216"/>
      <c r="N1254" s="216"/>
      <c r="O1254" s="216"/>
      <c r="P1254" s="216"/>
      <c r="Q1254" s="216"/>
      <c r="R1254" s="216"/>
      <c r="S1254" s="216"/>
      <c r="T1254" s="216"/>
      <c r="U1254" s="216"/>
      <c r="V1254" s="216"/>
      <c r="W1254" s="216"/>
      <c r="X1254" s="216"/>
    </row>
    <row r="1255" spans="1:24" ht="15" customHeight="1">
      <c r="A1255" s="302" t="s">
        <v>3674</v>
      </c>
      <c r="B1255" s="302" t="s">
        <v>3582</v>
      </c>
      <c r="C1255" s="290" t="s">
        <v>105</v>
      </c>
      <c r="D1255" s="302" t="s">
        <v>3675</v>
      </c>
      <c r="E1255" s="290" t="s">
        <v>3676</v>
      </c>
      <c r="F1255" s="597" t="s">
        <v>230</v>
      </c>
      <c r="G1255" s="290">
        <v>6</v>
      </c>
      <c r="H1255" s="290">
        <v>6</v>
      </c>
      <c r="I1255" s="290">
        <v>6</v>
      </c>
      <c r="J1255" s="608">
        <v>50</v>
      </c>
      <c r="K1255" s="642">
        <f t="shared" si="49"/>
        <v>8.3333333333333339</v>
      </c>
      <c r="L1255" s="338" t="s">
        <v>113</v>
      </c>
      <c r="M1255" s="216"/>
      <c r="N1255" s="216"/>
      <c r="O1255" s="216"/>
      <c r="P1255" s="216"/>
      <c r="Q1255" s="216"/>
      <c r="R1255" s="216"/>
      <c r="S1255" s="216"/>
      <c r="T1255" s="216"/>
      <c r="U1255" s="216"/>
      <c r="V1255" s="216"/>
      <c r="W1255" s="216"/>
      <c r="X1255" s="216"/>
    </row>
    <row r="1256" spans="1:24" ht="15" customHeight="1">
      <c r="A1256" s="302" t="s">
        <v>3677</v>
      </c>
      <c r="B1256" s="302" t="s">
        <v>3678</v>
      </c>
      <c r="C1256" s="290" t="s">
        <v>105</v>
      </c>
      <c r="D1256" s="302" t="s">
        <v>3679</v>
      </c>
      <c r="E1256" s="290" t="s">
        <v>3680</v>
      </c>
      <c r="F1256" s="597" t="s">
        <v>230</v>
      </c>
      <c r="G1256" s="290">
        <v>4</v>
      </c>
      <c r="H1256" s="290">
        <v>4</v>
      </c>
      <c r="I1256" s="290">
        <v>4</v>
      </c>
      <c r="J1256" s="608">
        <v>50</v>
      </c>
      <c r="K1256" s="642">
        <f t="shared" si="49"/>
        <v>12.5</v>
      </c>
      <c r="L1256" s="338" t="s">
        <v>113</v>
      </c>
      <c r="M1256" s="216"/>
      <c r="N1256" s="216"/>
      <c r="O1256" s="216"/>
      <c r="P1256" s="216"/>
      <c r="Q1256" s="216"/>
      <c r="R1256" s="216"/>
      <c r="S1256" s="216"/>
      <c r="T1256" s="216"/>
      <c r="U1256" s="216"/>
      <c r="V1256" s="216"/>
      <c r="W1256" s="216"/>
      <c r="X1256" s="216"/>
    </row>
    <row r="1257" spans="1:24" ht="15" customHeight="1">
      <c r="A1257" s="302" t="s">
        <v>3677</v>
      </c>
      <c r="B1257" s="302" t="s">
        <v>3681</v>
      </c>
      <c r="C1257" s="290" t="s">
        <v>105</v>
      </c>
      <c r="D1257" s="302" t="s">
        <v>3682</v>
      </c>
      <c r="E1257" s="290" t="s">
        <v>3683</v>
      </c>
      <c r="F1257" s="597" t="s">
        <v>230</v>
      </c>
      <c r="G1257" s="290">
        <v>4</v>
      </c>
      <c r="H1257" s="290">
        <v>4</v>
      </c>
      <c r="I1257" s="290">
        <v>4</v>
      </c>
      <c r="J1257" s="608">
        <v>50</v>
      </c>
      <c r="K1257" s="642">
        <f t="shared" si="49"/>
        <v>12.5</v>
      </c>
      <c r="L1257" s="338" t="s">
        <v>113</v>
      </c>
      <c r="M1257" s="216"/>
      <c r="N1257" s="216"/>
      <c r="O1257" s="216"/>
      <c r="P1257" s="216"/>
      <c r="Q1257" s="216"/>
      <c r="R1257" s="216"/>
      <c r="S1257" s="216"/>
      <c r="T1257" s="216"/>
      <c r="U1257" s="216"/>
      <c r="V1257" s="216"/>
      <c r="W1257" s="216"/>
      <c r="X1257" s="216"/>
    </row>
    <row r="1258" spans="1:24" ht="15" customHeight="1">
      <c r="A1258" s="302" t="s">
        <v>3677</v>
      </c>
      <c r="B1258" s="302" t="s">
        <v>3681</v>
      </c>
      <c r="C1258" s="290" t="s">
        <v>105</v>
      </c>
      <c r="D1258" s="301" t="s">
        <v>3684</v>
      </c>
      <c r="E1258" s="671" t="s">
        <v>3685</v>
      </c>
      <c r="F1258" s="597" t="s">
        <v>2072</v>
      </c>
      <c r="G1258" s="290">
        <v>4</v>
      </c>
      <c r="H1258" s="290">
        <v>4</v>
      </c>
      <c r="I1258" s="290">
        <v>4</v>
      </c>
      <c r="J1258" s="608">
        <v>50</v>
      </c>
      <c r="K1258" s="672">
        <f t="shared" ref="K1258:K1259" si="50">J1258/I1258</f>
        <v>12.5</v>
      </c>
      <c r="L1258" s="338" t="s">
        <v>113</v>
      </c>
      <c r="M1258" s="216"/>
      <c r="N1258" s="216"/>
      <c r="O1258" s="216"/>
      <c r="P1258" s="216"/>
      <c r="Q1258" s="216"/>
      <c r="R1258" s="216"/>
      <c r="S1258" s="216"/>
      <c r="T1258" s="216"/>
      <c r="U1258" s="216"/>
      <c r="V1258" s="216"/>
      <c r="W1258" s="216"/>
      <c r="X1258" s="216"/>
    </row>
    <row r="1259" spans="1:24" ht="15" customHeight="1">
      <c r="A1259" s="302" t="s">
        <v>4156</v>
      </c>
      <c r="B1259" s="302" t="s">
        <v>399</v>
      </c>
      <c r="C1259" s="301" t="s">
        <v>105</v>
      </c>
      <c r="D1259" s="302" t="s">
        <v>4157</v>
      </c>
      <c r="E1259" s="596" t="s">
        <v>2545</v>
      </c>
      <c r="F1259" s="597" t="s">
        <v>4158</v>
      </c>
      <c r="G1259" s="290">
        <v>6</v>
      </c>
      <c r="H1259" s="290">
        <v>6</v>
      </c>
      <c r="I1259" s="290">
        <v>6</v>
      </c>
      <c r="J1259" s="608">
        <v>50</v>
      </c>
      <c r="K1259" s="642">
        <f t="shared" si="50"/>
        <v>8.3333333333333339</v>
      </c>
      <c r="L1259" s="338" t="s">
        <v>113</v>
      </c>
      <c r="M1259" s="216"/>
      <c r="N1259" s="216"/>
      <c r="O1259" s="216"/>
      <c r="P1259" s="216"/>
      <c r="Q1259" s="216"/>
      <c r="R1259" s="216"/>
      <c r="S1259" s="216"/>
      <c r="T1259" s="216"/>
      <c r="U1259" s="216"/>
      <c r="V1259" s="216"/>
      <c r="W1259" s="216"/>
      <c r="X1259" s="216"/>
    </row>
    <row r="1260" spans="1:24" ht="15" customHeight="1">
      <c r="A1260" s="302" t="s">
        <v>3884</v>
      </c>
      <c r="B1260" s="302" t="s">
        <v>3885</v>
      </c>
      <c r="C1260" s="301"/>
      <c r="D1260" s="302" t="s">
        <v>4159</v>
      </c>
      <c r="E1260" s="646" t="s">
        <v>3887</v>
      </c>
      <c r="F1260" s="597" t="s">
        <v>230</v>
      </c>
      <c r="G1260" s="290">
        <v>2</v>
      </c>
      <c r="H1260" s="290">
        <v>2</v>
      </c>
      <c r="I1260" s="290">
        <v>2</v>
      </c>
      <c r="J1260" s="608">
        <v>50</v>
      </c>
      <c r="K1260" s="642">
        <f>J1260/H1260</f>
        <v>25</v>
      </c>
      <c r="L1260" s="338" t="s">
        <v>113</v>
      </c>
      <c r="M1260" s="216"/>
      <c r="N1260" s="216"/>
      <c r="O1260" s="216"/>
      <c r="P1260" s="216"/>
      <c r="Q1260" s="216"/>
      <c r="R1260" s="216"/>
      <c r="S1260" s="216"/>
      <c r="T1260" s="216"/>
      <c r="U1260" s="216"/>
      <c r="V1260" s="216"/>
      <c r="W1260" s="216"/>
      <c r="X1260" s="216"/>
    </row>
    <row r="1261" spans="1:24" ht="15" customHeight="1">
      <c r="A1261" s="302" t="s">
        <v>3839</v>
      </c>
      <c r="B1261" s="302" t="s">
        <v>3840</v>
      </c>
      <c r="C1261" s="290" t="s">
        <v>105</v>
      </c>
      <c r="D1261" s="301" t="s">
        <v>3841</v>
      </c>
      <c r="E1261" s="598" t="s">
        <v>3842</v>
      </c>
      <c r="F1261" s="597" t="s">
        <v>635</v>
      </c>
      <c r="G1261" s="290">
        <v>4</v>
      </c>
      <c r="H1261" s="290">
        <v>3</v>
      </c>
      <c r="I1261" s="290">
        <v>4</v>
      </c>
      <c r="J1261" s="608">
        <v>50</v>
      </c>
      <c r="K1261" s="642">
        <f>J1261/I1261</f>
        <v>12.5</v>
      </c>
      <c r="L1261" s="338" t="s">
        <v>113</v>
      </c>
      <c r="M1261" s="216"/>
      <c r="N1261" s="216"/>
      <c r="O1261" s="216"/>
      <c r="P1261" s="216"/>
      <c r="Q1261" s="216"/>
      <c r="R1261" s="216"/>
      <c r="S1261" s="216"/>
      <c r="T1261" s="216"/>
      <c r="U1261" s="216"/>
      <c r="V1261" s="216"/>
      <c r="W1261" s="216"/>
      <c r="X1261" s="216"/>
    </row>
    <row r="1262" spans="1:24" ht="15" customHeight="1">
      <c r="A1262" s="302" t="s">
        <v>3966</v>
      </c>
      <c r="B1262" s="648" t="s">
        <v>3967</v>
      </c>
      <c r="C1262" s="301" t="s">
        <v>105</v>
      </c>
      <c r="D1262" s="302" t="s">
        <v>3968</v>
      </c>
      <c r="E1262" s="673" t="s">
        <v>942</v>
      </c>
      <c r="F1262" s="302" t="s">
        <v>1338</v>
      </c>
      <c r="G1262" s="674">
        <v>6</v>
      </c>
      <c r="H1262" s="674">
        <v>6</v>
      </c>
      <c r="I1262" s="674">
        <v>6</v>
      </c>
      <c r="J1262" s="581">
        <v>50</v>
      </c>
      <c r="K1262" s="302">
        <f>J1262/G1262</f>
        <v>8.3333333333333339</v>
      </c>
      <c r="L1262" s="338" t="s">
        <v>113</v>
      </c>
      <c r="M1262" s="216"/>
      <c r="N1262" s="216"/>
      <c r="O1262" s="216"/>
      <c r="P1262" s="216"/>
      <c r="Q1262" s="216"/>
      <c r="R1262" s="216"/>
      <c r="S1262" s="216"/>
      <c r="T1262" s="216"/>
      <c r="U1262" s="216"/>
      <c r="V1262" s="216"/>
      <c r="W1262" s="216"/>
      <c r="X1262" s="216"/>
    </row>
    <row r="1263" spans="1:24" ht="15" customHeight="1">
      <c r="A1263" s="302" t="s">
        <v>3697</v>
      </c>
      <c r="B1263" s="302" t="s">
        <v>3698</v>
      </c>
      <c r="C1263" s="290" t="s">
        <v>105</v>
      </c>
      <c r="D1263" s="302" t="s">
        <v>3699</v>
      </c>
      <c r="E1263" s="290" t="s">
        <v>3700</v>
      </c>
      <c r="F1263" s="597" t="s">
        <v>230</v>
      </c>
      <c r="G1263" s="290">
        <v>4</v>
      </c>
      <c r="H1263" s="290">
        <v>4</v>
      </c>
      <c r="I1263" s="290">
        <v>4</v>
      </c>
      <c r="J1263" s="608">
        <v>50</v>
      </c>
      <c r="K1263" s="642">
        <f>J1263/H1263</f>
        <v>12.5</v>
      </c>
      <c r="L1263" s="338" t="s">
        <v>113</v>
      </c>
      <c r="M1263" s="216"/>
      <c r="N1263" s="216"/>
      <c r="O1263" s="216"/>
      <c r="P1263" s="216"/>
      <c r="Q1263" s="216"/>
      <c r="R1263" s="216"/>
      <c r="S1263" s="216"/>
      <c r="T1263" s="216"/>
      <c r="U1263" s="216"/>
      <c r="V1263" s="216"/>
      <c r="W1263" s="216"/>
      <c r="X1263" s="216"/>
    </row>
    <row r="1264" spans="1:24" ht="15" customHeight="1">
      <c r="A1264" s="504" t="s">
        <v>4160</v>
      </c>
      <c r="B1264" s="504" t="s">
        <v>1842</v>
      </c>
      <c r="C1264" s="571" t="s">
        <v>105</v>
      </c>
      <c r="D1264" s="504" t="s">
        <v>4161</v>
      </c>
      <c r="E1264" s="596" t="s">
        <v>4162</v>
      </c>
      <c r="F1264" s="597" t="s">
        <v>4163</v>
      </c>
      <c r="G1264" s="291">
        <v>6</v>
      </c>
      <c r="H1264" s="291">
        <v>6</v>
      </c>
      <c r="I1264" s="291">
        <v>6</v>
      </c>
      <c r="J1264" s="608">
        <v>50</v>
      </c>
      <c r="K1264" s="642">
        <f t="shared" ref="K1264:K1269" si="51">J1264/I1264</f>
        <v>8.3333333333333339</v>
      </c>
      <c r="L1264" s="338" t="s">
        <v>113</v>
      </c>
      <c r="M1264" s="216"/>
      <c r="N1264" s="216"/>
      <c r="O1264" s="216"/>
      <c r="P1264" s="216"/>
      <c r="Q1264" s="216"/>
      <c r="R1264" s="216"/>
      <c r="S1264" s="216"/>
      <c r="T1264" s="216"/>
      <c r="U1264" s="216"/>
      <c r="V1264" s="216"/>
      <c r="W1264" s="216"/>
      <c r="X1264" s="216"/>
    </row>
    <row r="1265" spans="1:24" ht="15" customHeight="1">
      <c r="A1265" s="302" t="s">
        <v>4160</v>
      </c>
      <c r="B1265" s="302" t="s">
        <v>1842</v>
      </c>
      <c r="C1265" s="571" t="s">
        <v>105</v>
      </c>
      <c r="D1265" s="302" t="s">
        <v>4164</v>
      </c>
      <c r="E1265" s="675" t="s">
        <v>4165</v>
      </c>
      <c r="F1265" s="597" t="s">
        <v>4166</v>
      </c>
      <c r="G1265" s="290">
        <v>6</v>
      </c>
      <c r="H1265" s="290">
        <v>6</v>
      </c>
      <c r="I1265" s="290">
        <v>6</v>
      </c>
      <c r="J1265" s="608">
        <v>50</v>
      </c>
      <c r="K1265" s="642">
        <f t="shared" si="51"/>
        <v>8.3333333333333339</v>
      </c>
      <c r="L1265" s="338" t="s">
        <v>113</v>
      </c>
      <c r="M1265" s="216"/>
      <c r="N1265" s="216"/>
      <c r="O1265" s="216"/>
      <c r="P1265" s="216"/>
      <c r="Q1265" s="216"/>
      <c r="R1265" s="216"/>
      <c r="S1265" s="216"/>
      <c r="T1265" s="216"/>
      <c r="U1265" s="216"/>
      <c r="V1265" s="216"/>
      <c r="W1265" s="216"/>
      <c r="X1265" s="216"/>
    </row>
    <row r="1266" spans="1:24" ht="15" customHeight="1">
      <c r="A1266" s="302" t="s">
        <v>4160</v>
      </c>
      <c r="B1266" s="302" t="s">
        <v>1842</v>
      </c>
      <c r="C1266" s="571" t="s">
        <v>105</v>
      </c>
      <c r="D1266" s="302" t="s">
        <v>4167</v>
      </c>
      <c r="E1266" s="676" t="s">
        <v>4168</v>
      </c>
      <c r="F1266" s="597" t="s">
        <v>4169</v>
      </c>
      <c r="G1266" s="290">
        <v>6</v>
      </c>
      <c r="H1266" s="290">
        <v>6</v>
      </c>
      <c r="I1266" s="290">
        <v>6</v>
      </c>
      <c r="J1266" s="608">
        <v>50</v>
      </c>
      <c r="K1266" s="642">
        <f t="shared" si="51"/>
        <v>8.3333333333333339</v>
      </c>
      <c r="L1266" s="338" t="s">
        <v>113</v>
      </c>
      <c r="M1266" s="216"/>
      <c r="N1266" s="216"/>
      <c r="O1266" s="216"/>
      <c r="P1266" s="216"/>
      <c r="Q1266" s="216"/>
      <c r="R1266" s="216"/>
      <c r="S1266" s="216"/>
      <c r="T1266" s="216"/>
      <c r="U1266" s="216"/>
      <c r="V1266" s="216"/>
      <c r="W1266" s="216"/>
      <c r="X1266" s="216"/>
    </row>
    <row r="1267" spans="1:24" ht="15" customHeight="1">
      <c r="A1267" s="302" t="s">
        <v>4160</v>
      </c>
      <c r="B1267" s="302" t="s">
        <v>1842</v>
      </c>
      <c r="C1267" s="571" t="s">
        <v>105</v>
      </c>
      <c r="D1267" s="302" t="s">
        <v>4170</v>
      </c>
      <c r="E1267" s="596" t="s">
        <v>4171</v>
      </c>
      <c r="F1267" s="597" t="s">
        <v>4172</v>
      </c>
      <c r="G1267" s="290">
        <v>6</v>
      </c>
      <c r="H1267" s="290">
        <v>6</v>
      </c>
      <c r="I1267" s="290">
        <v>6</v>
      </c>
      <c r="J1267" s="608">
        <v>50</v>
      </c>
      <c r="K1267" s="642">
        <f t="shared" si="51"/>
        <v>8.3333333333333339</v>
      </c>
      <c r="L1267" s="338" t="s">
        <v>113</v>
      </c>
      <c r="M1267" s="216"/>
      <c r="N1267" s="216"/>
      <c r="O1267" s="216"/>
      <c r="P1267" s="216"/>
      <c r="Q1267" s="216"/>
      <c r="R1267" s="216"/>
      <c r="S1267" s="216"/>
      <c r="T1267" s="216"/>
      <c r="U1267" s="216"/>
      <c r="V1267" s="216"/>
      <c r="W1267" s="216"/>
      <c r="X1267" s="216"/>
    </row>
    <row r="1268" spans="1:24" ht="15" customHeight="1">
      <c r="A1268" s="302" t="s">
        <v>4160</v>
      </c>
      <c r="B1268" s="302" t="s">
        <v>1842</v>
      </c>
      <c r="C1268" s="571" t="s">
        <v>105</v>
      </c>
      <c r="D1268" s="302" t="s">
        <v>4173</v>
      </c>
      <c r="E1268" s="596" t="s">
        <v>4174</v>
      </c>
      <c r="F1268" s="597" t="s">
        <v>4175</v>
      </c>
      <c r="G1268" s="290">
        <v>6</v>
      </c>
      <c r="H1268" s="290">
        <v>6</v>
      </c>
      <c r="I1268" s="290">
        <v>6</v>
      </c>
      <c r="J1268" s="608">
        <v>50</v>
      </c>
      <c r="K1268" s="642">
        <f t="shared" si="51"/>
        <v>8.3333333333333339</v>
      </c>
      <c r="L1268" s="338" t="s">
        <v>113</v>
      </c>
      <c r="M1268" s="216"/>
      <c r="N1268" s="216"/>
      <c r="O1268" s="216"/>
      <c r="P1268" s="216"/>
      <c r="Q1268" s="216"/>
      <c r="R1268" s="216"/>
      <c r="S1268" s="216"/>
      <c r="T1268" s="216"/>
      <c r="U1268" s="216"/>
      <c r="V1268" s="216"/>
      <c r="W1268" s="216"/>
      <c r="X1268" s="216"/>
    </row>
    <row r="1269" spans="1:24" ht="15" customHeight="1">
      <c r="A1269" s="302" t="s">
        <v>4160</v>
      </c>
      <c r="B1269" s="302" t="s">
        <v>1842</v>
      </c>
      <c r="C1269" s="571" t="s">
        <v>105</v>
      </c>
      <c r="D1269" s="302" t="s">
        <v>4176</v>
      </c>
      <c r="E1269" s="596" t="s">
        <v>4177</v>
      </c>
      <c r="F1269" s="597" t="s">
        <v>4178</v>
      </c>
      <c r="G1269" s="290">
        <v>6</v>
      </c>
      <c r="H1269" s="290">
        <v>6</v>
      </c>
      <c r="I1269" s="290">
        <v>6</v>
      </c>
      <c r="J1269" s="608">
        <v>50</v>
      </c>
      <c r="K1269" s="642">
        <f t="shared" si="51"/>
        <v>8.3333333333333339</v>
      </c>
      <c r="L1269" s="338" t="s">
        <v>113</v>
      </c>
      <c r="M1269" s="216"/>
      <c r="N1269" s="216"/>
      <c r="O1269" s="216"/>
      <c r="P1269" s="216"/>
      <c r="Q1269" s="216"/>
      <c r="R1269" s="216"/>
      <c r="S1269" s="216"/>
      <c r="T1269" s="216"/>
      <c r="U1269" s="216"/>
      <c r="V1269" s="216"/>
      <c r="W1269" s="216"/>
      <c r="X1269" s="216"/>
    </row>
    <row r="1270" spans="1:24" ht="15" customHeight="1">
      <c r="A1270" s="302" t="s">
        <v>4111</v>
      </c>
      <c r="B1270" s="301" t="s">
        <v>4112</v>
      </c>
      <c r="C1270" s="648" t="s">
        <v>105</v>
      </c>
      <c r="D1270" s="302" t="s">
        <v>4179</v>
      </c>
      <c r="E1270" s="677" t="s">
        <v>3533</v>
      </c>
      <c r="F1270" s="302" t="s">
        <v>4102</v>
      </c>
      <c r="G1270" s="663">
        <v>6</v>
      </c>
      <c r="H1270" s="290">
        <v>6</v>
      </c>
      <c r="I1270" s="290">
        <v>6</v>
      </c>
      <c r="J1270" s="608">
        <v>50</v>
      </c>
      <c r="K1270" s="642">
        <f>J1270/G1270</f>
        <v>8.3333333333333339</v>
      </c>
      <c r="L1270" s="338" t="s">
        <v>113</v>
      </c>
      <c r="M1270" s="216"/>
      <c r="N1270" s="216"/>
      <c r="O1270" s="216"/>
      <c r="P1270" s="216"/>
      <c r="Q1270" s="216"/>
      <c r="R1270" s="216"/>
      <c r="S1270" s="216"/>
      <c r="T1270" s="216"/>
      <c r="U1270" s="216"/>
      <c r="V1270" s="216"/>
      <c r="W1270" s="216"/>
      <c r="X1270" s="216"/>
    </row>
    <row r="1271" spans="1:24" ht="15" customHeight="1">
      <c r="A1271" s="302" t="s">
        <v>3701</v>
      </c>
      <c r="B1271" s="302" t="s">
        <v>3702</v>
      </c>
      <c r="C1271" s="316" t="s">
        <v>105</v>
      </c>
      <c r="D1271" s="302" t="s">
        <v>3703</v>
      </c>
      <c r="E1271" s="290" t="s">
        <v>3704</v>
      </c>
      <c r="F1271" s="597" t="s">
        <v>3705</v>
      </c>
      <c r="G1271" s="290">
        <v>5</v>
      </c>
      <c r="H1271" s="290">
        <v>5</v>
      </c>
      <c r="I1271" s="290">
        <v>5</v>
      </c>
      <c r="J1271" s="608">
        <v>50</v>
      </c>
      <c r="K1271" s="642">
        <f t="shared" ref="K1271:K1274" si="52">J1271/H1271</f>
        <v>10</v>
      </c>
      <c r="L1271" s="338" t="s">
        <v>113</v>
      </c>
      <c r="M1271" s="216"/>
      <c r="N1271" s="216"/>
      <c r="O1271" s="216"/>
      <c r="P1271" s="216"/>
      <c r="Q1271" s="216"/>
      <c r="R1271" s="216"/>
      <c r="S1271" s="216"/>
      <c r="T1271" s="216"/>
      <c r="U1271" s="216"/>
      <c r="V1271" s="216"/>
      <c r="W1271" s="216"/>
      <c r="X1271" s="216"/>
    </row>
    <row r="1272" spans="1:24" ht="15" customHeight="1">
      <c r="A1272" s="302" t="s">
        <v>3701</v>
      </c>
      <c r="B1272" s="302" t="s">
        <v>3702</v>
      </c>
      <c r="C1272" s="316" t="s">
        <v>105</v>
      </c>
      <c r="D1272" s="302" t="s">
        <v>3706</v>
      </c>
      <c r="E1272" s="290" t="s">
        <v>3707</v>
      </c>
      <c r="F1272" s="597" t="s">
        <v>3708</v>
      </c>
      <c r="G1272" s="290">
        <v>5</v>
      </c>
      <c r="H1272" s="290">
        <v>5</v>
      </c>
      <c r="I1272" s="290">
        <v>5</v>
      </c>
      <c r="J1272" s="608">
        <v>50</v>
      </c>
      <c r="K1272" s="642">
        <f t="shared" si="52"/>
        <v>10</v>
      </c>
      <c r="L1272" s="338" t="s">
        <v>113</v>
      </c>
      <c r="M1272" s="216"/>
      <c r="N1272" s="216"/>
      <c r="O1272" s="216"/>
      <c r="P1272" s="216"/>
      <c r="Q1272" s="216"/>
      <c r="R1272" s="216"/>
      <c r="S1272" s="216"/>
      <c r="T1272" s="216"/>
      <c r="U1272" s="216"/>
      <c r="V1272" s="216"/>
      <c r="W1272" s="216"/>
      <c r="X1272" s="216"/>
    </row>
    <row r="1273" spans="1:24" ht="15" customHeight="1">
      <c r="A1273" s="302" t="s">
        <v>3709</v>
      </c>
      <c r="B1273" s="302" t="s">
        <v>3601</v>
      </c>
      <c r="C1273" s="571" t="s">
        <v>105</v>
      </c>
      <c r="D1273" s="302" t="s">
        <v>3710</v>
      </c>
      <c r="E1273" s="302" t="s">
        <v>3711</v>
      </c>
      <c r="F1273" s="290" t="s">
        <v>4180</v>
      </c>
      <c r="G1273" s="512">
        <v>8</v>
      </c>
      <c r="H1273" s="512">
        <v>8</v>
      </c>
      <c r="I1273" s="512">
        <v>8</v>
      </c>
      <c r="J1273" s="581">
        <v>50</v>
      </c>
      <c r="K1273" s="642">
        <f t="shared" si="52"/>
        <v>6.25</v>
      </c>
      <c r="L1273" s="338" t="s">
        <v>113</v>
      </c>
      <c r="M1273" s="216"/>
      <c r="N1273" s="216"/>
      <c r="O1273" s="216"/>
      <c r="P1273" s="216"/>
      <c r="Q1273" s="216"/>
      <c r="R1273" s="216"/>
      <c r="S1273" s="216"/>
      <c r="T1273" s="216"/>
      <c r="U1273" s="216"/>
      <c r="V1273" s="216"/>
      <c r="W1273" s="216"/>
      <c r="X1273" s="216"/>
    </row>
    <row r="1274" spans="1:24" ht="15" customHeight="1">
      <c r="A1274" s="302" t="s">
        <v>3709</v>
      </c>
      <c r="B1274" s="302" t="s">
        <v>3601</v>
      </c>
      <c r="C1274" s="571" t="s">
        <v>105</v>
      </c>
      <c r="D1274" s="302" t="s">
        <v>3713</v>
      </c>
      <c r="E1274" s="290" t="s">
        <v>3714</v>
      </c>
      <c r="F1274" s="597" t="s">
        <v>4181</v>
      </c>
      <c r="G1274" s="290">
        <v>8</v>
      </c>
      <c r="H1274" s="290">
        <v>8</v>
      </c>
      <c r="I1274" s="290">
        <v>8</v>
      </c>
      <c r="J1274" s="608">
        <v>50</v>
      </c>
      <c r="K1274" s="642">
        <f t="shared" si="52"/>
        <v>6.25</v>
      </c>
      <c r="L1274" s="338" t="s">
        <v>113</v>
      </c>
      <c r="M1274" s="216"/>
      <c r="N1274" s="216"/>
      <c r="O1274" s="216"/>
      <c r="P1274" s="216"/>
      <c r="Q1274" s="216"/>
      <c r="R1274" s="216"/>
      <c r="S1274" s="216"/>
      <c r="T1274" s="216"/>
      <c r="U1274" s="216"/>
      <c r="V1274" s="216"/>
      <c r="W1274" s="216"/>
      <c r="X1274" s="216"/>
    </row>
    <row r="1275" spans="1:24" ht="15" customHeight="1">
      <c r="A1275" s="302" t="s">
        <v>3600</v>
      </c>
      <c r="B1275" s="302" t="s">
        <v>3601</v>
      </c>
      <c r="C1275" s="571" t="s">
        <v>105</v>
      </c>
      <c r="D1275" s="302" t="s">
        <v>3602</v>
      </c>
      <c r="E1275" s="596" t="s">
        <v>3603</v>
      </c>
      <c r="F1275" s="302" t="s">
        <v>1338</v>
      </c>
      <c r="G1275" s="566">
        <v>7</v>
      </c>
      <c r="H1275" s="566">
        <v>7</v>
      </c>
      <c r="I1275" s="566">
        <v>7</v>
      </c>
      <c r="J1275" s="581">
        <v>50</v>
      </c>
      <c r="K1275" s="582">
        <f>J1275/I1275</f>
        <v>7.1428571428571432</v>
      </c>
      <c r="L1275" s="338" t="s">
        <v>113</v>
      </c>
      <c r="M1275" s="216"/>
      <c r="N1275" s="216"/>
      <c r="O1275" s="216"/>
      <c r="P1275" s="216"/>
      <c r="Q1275" s="216"/>
      <c r="R1275" s="216"/>
      <c r="S1275" s="216"/>
      <c r="T1275" s="216"/>
      <c r="U1275" s="216"/>
      <c r="V1275" s="216"/>
      <c r="W1275" s="216"/>
      <c r="X1275" s="216"/>
    </row>
    <row r="1276" spans="1:24" ht="15" customHeight="1">
      <c r="A1276" s="302" t="s">
        <v>4182</v>
      </c>
      <c r="B1276" s="301" t="s">
        <v>4183</v>
      </c>
      <c r="C1276" s="571" t="s">
        <v>105</v>
      </c>
      <c r="D1276" s="302" t="s">
        <v>4184</v>
      </c>
      <c r="E1276" s="678" t="s">
        <v>4185</v>
      </c>
      <c r="F1276" s="597" t="s">
        <v>4186</v>
      </c>
      <c r="G1276" s="290">
        <v>1</v>
      </c>
      <c r="H1276" s="290">
        <v>1</v>
      </c>
      <c r="I1276" s="290">
        <v>5</v>
      </c>
      <c r="J1276" s="608">
        <v>50</v>
      </c>
      <c r="K1276" s="642">
        <f>J1276/G1276</f>
        <v>50</v>
      </c>
      <c r="L1276" s="338" t="s">
        <v>113</v>
      </c>
      <c r="M1276" s="216"/>
      <c r="N1276" s="216"/>
      <c r="O1276" s="216"/>
      <c r="P1276" s="216"/>
      <c r="Q1276" s="216"/>
      <c r="R1276" s="216"/>
      <c r="S1276" s="216"/>
      <c r="T1276" s="216"/>
      <c r="U1276" s="216"/>
      <c r="V1276" s="216"/>
      <c r="W1276" s="216"/>
      <c r="X1276" s="216"/>
    </row>
    <row r="1277" spans="1:24" ht="15" customHeight="1">
      <c r="A1277" s="302" t="s">
        <v>3604</v>
      </c>
      <c r="B1277" s="301" t="s">
        <v>3605</v>
      </c>
      <c r="C1277" s="301" t="s">
        <v>105</v>
      </c>
      <c r="D1277" s="301" t="s">
        <v>3606</v>
      </c>
      <c r="E1277" s="646" t="s">
        <v>3607</v>
      </c>
      <c r="F1277" s="597" t="s">
        <v>635</v>
      </c>
      <c r="G1277" s="290">
        <v>5</v>
      </c>
      <c r="H1277" s="290">
        <v>5</v>
      </c>
      <c r="I1277" s="290">
        <v>5</v>
      </c>
      <c r="J1277" s="608">
        <v>50</v>
      </c>
      <c r="K1277" s="642">
        <f t="shared" ref="K1277:K1278" si="53">J1277/H1277</f>
        <v>10</v>
      </c>
      <c r="L1277" s="338" t="s">
        <v>113</v>
      </c>
      <c r="M1277" s="216"/>
      <c r="N1277" s="216"/>
      <c r="O1277" s="216"/>
      <c r="P1277" s="216"/>
      <c r="Q1277" s="216"/>
      <c r="R1277" s="216"/>
      <c r="S1277" s="216"/>
      <c r="T1277" s="216"/>
      <c r="U1277" s="216"/>
      <c r="V1277" s="216"/>
      <c r="W1277" s="216"/>
      <c r="X1277" s="216"/>
    </row>
    <row r="1278" spans="1:24" ht="15" customHeight="1">
      <c r="A1278" s="504" t="s">
        <v>3718</v>
      </c>
      <c r="B1278" s="504" t="s">
        <v>3687</v>
      </c>
      <c r="C1278" s="316" t="s">
        <v>105</v>
      </c>
      <c r="D1278" s="302" t="s">
        <v>3719</v>
      </c>
      <c r="E1278" s="290" t="s">
        <v>3720</v>
      </c>
      <c r="F1278" s="597" t="s">
        <v>230</v>
      </c>
      <c r="G1278" s="290">
        <v>4</v>
      </c>
      <c r="H1278" s="290">
        <v>4</v>
      </c>
      <c r="I1278" s="290">
        <v>4</v>
      </c>
      <c r="J1278" s="608">
        <v>50</v>
      </c>
      <c r="K1278" s="642">
        <f t="shared" si="53"/>
        <v>12.5</v>
      </c>
      <c r="L1278" s="338" t="s">
        <v>113</v>
      </c>
      <c r="M1278" s="216"/>
      <c r="N1278" s="216"/>
      <c r="O1278" s="216"/>
      <c r="P1278" s="216"/>
      <c r="Q1278" s="216"/>
      <c r="R1278" s="216"/>
      <c r="S1278" s="216"/>
      <c r="T1278" s="216"/>
      <c r="U1278" s="216"/>
      <c r="V1278" s="216"/>
      <c r="W1278" s="216"/>
      <c r="X1278" s="216"/>
    </row>
    <row r="1279" spans="1:24" ht="15" customHeight="1">
      <c r="A1279" s="302" t="s">
        <v>3686</v>
      </c>
      <c r="B1279" s="302" t="s">
        <v>3687</v>
      </c>
      <c r="C1279" s="290" t="s">
        <v>105</v>
      </c>
      <c r="D1279" s="302" t="s">
        <v>3691</v>
      </c>
      <c r="E1279" s="290" t="s">
        <v>3692</v>
      </c>
      <c r="F1279" s="597" t="s">
        <v>3690</v>
      </c>
      <c r="G1279" s="290">
        <v>4</v>
      </c>
      <c r="H1279" s="290">
        <v>4</v>
      </c>
      <c r="I1279" s="290">
        <v>4</v>
      </c>
      <c r="J1279" s="608">
        <v>50</v>
      </c>
      <c r="K1279" s="642">
        <v>12.5</v>
      </c>
      <c r="L1279" s="338" t="s">
        <v>113</v>
      </c>
      <c r="M1279" s="216"/>
      <c r="N1279" s="216"/>
      <c r="O1279" s="216"/>
      <c r="P1279" s="216"/>
      <c r="Q1279" s="216"/>
      <c r="R1279" s="216"/>
      <c r="S1279" s="216"/>
      <c r="T1279" s="216"/>
      <c r="U1279" s="216"/>
      <c r="V1279" s="216"/>
      <c r="W1279" s="216"/>
      <c r="X1279" s="216"/>
    </row>
    <row r="1280" spans="1:24" ht="15" customHeight="1">
      <c r="A1280" s="302" t="s">
        <v>3723</v>
      </c>
      <c r="B1280" s="302" t="s">
        <v>3724</v>
      </c>
      <c r="C1280" s="290" t="s">
        <v>105</v>
      </c>
      <c r="D1280" s="290" t="s">
        <v>3695</v>
      </c>
      <c r="E1280" s="290" t="s">
        <v>3696</v>
      </c>
      <c r="F1280" s="597" t="s">
        <v>3690</v>
      </c>
      <c r="G1280" s="290">
        <v>4</v>
      </c>
      <c r="H1280" s="290">
        <v>4</v>
      </c>
      <c r="I1280" s="290">
        <v>4</v>
      </c>
      <c r="J1280" s="608">
        <v>50</v>
      </c>
      <c r="K1280" s="642">
        <v>12.5</v>
      </c>
      <c r="L1280" s="338" t="s">
        <v>113</v>
      </c>
      <c r="M1280" s="216"/>
      <c r="N1280" s="216"/>
      <c r="O1280" s="216"/>
      <c r="P1280" s="216"/>
      <c r="Q1280" s="216"/>
      <c r="R1280" s="216"/>
      <c r="S1280" s="216"/>
      <c r="T1280" s="216"/>
      <c r="U1280" s="216"/>
      <c r="V1280" s="216"/>
      <c r="W1280" s="216"/>
      <c r="X1280" s="216"/>
    </row>
    <row r="1281" spans="1:24" ht="15" customHeight="1">
      <c r="A1281" s="302" t="s">
        <v>3723</v>
      </c>
      <c r="B1281" s="302" t="s">
        <v>3724</v>
      </c>
      <c r="C1281" s="290" t="s">
        <v>105</v>
      </c>
      <c r="D1281" s="290" t="s">
        <v>3695</v>
      </c>
      <c r="E1281" s="290" t="s">
        <v>3696</v>
      </c>
      <c r="F1281" s="597" t="s">
        <v>3690</v>
      </c>
      <c r="G1281" s="290">
        <v>4</v>
      </c>
      <c r="H1281" s="290">
        <v>4</v>
      </c>
      <c r="I1281" s="290">
        <v>4</v>
      </c>
      <c r="J1281" s="608">
        <v>50</v>
      </c>
      <c r="K1281" s="642">
        <v>12.5</v>
      </c>
      <c r="L1281" s="338" t="s">
        <v>113</v>
      </c>
      <c r="M1281" s="216"/>
      <c r="N1281" s="216"/>
      <c r="O1281" s="216"/>
      <c r="P1281" s="216"/>
      <c r="Q1281" s="216"/>
      <c r="R1281" s="216"/>
      <c r="S1281" s="216"/>
      <c r="T1281" s="216"/>
      <c r="U1281" s="216"/>
      <c r="V1281" s="216"/>
      <c r="W1281" s="216"/>
      <c r="X1281" s="216"/>
    </row>
    <row r="1282" spans="1:24" ht="15" customHeight="1">
      <c r="A1282" s="302" t="s">
        <v>3693</v>
      </c>
      <c r="B1282" s="301" t="s">
        <v>3694</v>
      </c>
      <c r="C1282" s="290" t="s">
        <v>105</v>
      </c>
      <c r="D1282" s="316" t="s">
        <v>3695</v>
      </c>
      <c r="E1282" s="316" t="s">
        <v>3696</v>
      </c>
      <c r="F1282" s="679" t="s">
        <v>3690</v>
      </c>
      <c r="G1282" s="316">
        <v>4</v>
      </c>
      <c r="H1282" s="316">
        <v>4</v>
      </c>
      <c r="I1282" s="316">
        <v>4</v>
      </c>
      <c r="J1282" s="669">
        <v>50</v>
      </c>
      <c r="K1282" s="670">
        <v>12.5</v>
      </c>
      <c r="L1282" s="338" t="s">
        <v>113</v>
      </c>
      <c r="M1282" s="216"/>
      <c r="N1282" s="216"/>
      <c r="O1282" s="216"/>
      <c r="P1282" s="216"/>
      <c r="Q1282" s="216"/>
      <c r="R1282" s="216"/>
      <c r="S1282" s="216"/>
      <c r="T1282" s="216"/>
      <c r="U1282" s="216"/>
      <c r="V1282" s="216"/>
      <c r="W1282" s="216"/>
      <c r="X1282" s="216"/>
    </row>
    <row r="1283" spans="1:24" ht="15" customHeight="1">
      <c r="A1283" s="302" t="s">
        <v>4187</v>
      </c>
      <c r="B1283" s="302" t="s">
        <v>1708</v>
      </c>
      <c r="C1283" s="290" t="s">
        <v>105</v>
      </c>
      <c r="D1283" s="302" t="s">
        <v>4188</v>
      </c>
      <c r="E1283" s="680" t="s">
        <v>4189</v>
      </c>
      <c r="F1283" s="290" t="s">
        <v>1338</v>
      </c>
      <c r="G1283" s="566">
        <v>0</v>
      </c>
      <c r="H1283" s="566">
        <v>2</v>
      </c>
      <c r="I1283" s="566">
        <v>2</v>
      </c>
      <c r="J1283" s="581">
        <v>50</v>
      </c>
      <c r="K1283" s="302">
        <v>25</v>
      </c>
      <c r="L1283" s="338" t="s">
        <v>133</v>
      </c>
      <c r="M1283" s="216"/>
      <c r="N1283" s="216"/>
      <c r="O1283" s="216"/>
      <c r="P1283" s="216"/>
      <c r="Q1283" s="216"/>
      <c r="R1283" s="216"/>
      <c r="S1283" s="216"/>
      <c r="T1283" s="216"/>
      <c r="U1283" s="216"/>
      <c r="V1283" s="216"/>
      <c r="W1283" s="216"/>
      <c r="X1283" s="216"/>
    </row>
    <row r="1284" spans="1:24" ht="15" customHeight="1">
      <c r="A1284" s="302" t="s">
        <v>4187</v>
      </c>
      <c r="B1284" s="302" t="s">
        <v>1708</v>
      </c>
      <c r="C1284" s="290" t="s">
        <v>105</v>
      </c>
      <c r="D1284" s="302" t="s">
        <v>4190</v>
      </c>
      <c r="E1284" s="681" t="s">
        <v>4191</v>
      </c>
      <c r="F1284" s="290" t="s">
        <v>4192</v>
      </c>
      <c r="G1284" s="566">
        <v>0</v>
      </c>
      <c r="H1284" s="566">
        <v>2</v>
      </c>
      <c r="I1284" s="566">
        <v>2</v>
      </c>
      <c r="J1284" s="581">
        <v>50</v>
      </c>
      <c r="K1284" s="302">
        <v>25</v>
      </c>
      <c r="L1284" s="338" t="s">
        <v>133</v>
      </c>
      <c r="M1284" s="216"/>
      <c r="N1284" s="216"/>
      <c r="O1284" s="216"/>
      <c r="P1284" s="216"/>
      <c r="Q1284" s="216"/>
      <c r="R1284" s="216"/>
      <c r="S1284" s="216"/>
      <c r="T1284" s="216"/>
      <c r="U1284" s="216"/>
      <c r="V1284" s="216"/>
      <c r="W1284" s="216"/>
      <c r="X1284" s="216"/>
    </row>
    <row r="1285" spans="1:24" ht="15" customHeight="1">
      <c r="A1285" s="302" t="s">
        <v>4187</v>
      </c>
      <c r="B1285" s="302" t="s">
        <v>1708</v>
      </c>
      <c r="C1285" s="290" t="s">
        <v>105</v>
      </c>
      <c r="D1285" s="682" t="s">
        <v>4193</v>
      </c>
      <c r="E1285" s="681" t="s">
        <v>4194</v>
      </c>
      <c r="F1285" s="290" t="s">
        <v>4192</v>
      </c>
      <c r="G1285" s="566">
        <v>0</v>
      </c>
      <c r="H1285" s="566">
        <v>2</v>
      </c>
      <c r="I1285" s="566">
        <v>2</v>
      </c>
      <c r="J1285" s="581">
        <v>50</v>
      </c>
      <c r="K1285" s="302">
        <v>25</v>
      </c>
      <c r="L1285" s="338" t="s">
        <v>133</v>
      </c>
      <c r="M1285" s="216"/>
      <c r="N1285" s="216"/>
      <c r="O1285" s="216"/>
      <c r="P1285" s="216"/>
      <c r="Q1285" s="216"/>
      <c r="R1285" s="216"/>
      <c r="S1285" s="216"/>
      <c r="T1285" s="216"/>
      <c r="U1285" s="216"/>
      <c r="V1285" s="216"/>
      <c r="W1285" s="216"/>
      <c r="X1285" s="216"/>
    </row>
    <row r="1286" spans="1:24" ht="15" customHeight="1">
      <c r="A1286" s="302" t="s">
        <v>4187</v>
      </c>
      <c r="B1286" s="302" t="s">
        <v>4195</v>
      </c>
      <c r="C1286" s="290" t="s">
        <v>105</v>
      </c>
      <c r="D1286" s="302" t="s">
        <v>4196</v>
      </c>
      <c r="E1286" s="290" t="s">
        <v>4197</v>
      </c>
      <c r="F1286" s="290" t="s">
        <v>1821</v>
      </c>
      <c r="G1286" s="566">
        <v>0</v>
      </c>
      <c r="H1286" s="566">
        <v>2</v>
      </c>
      <c r="I1286" s="566">
        <v>2</v>
      </c>
      <c r="J1286" s="581">
        <v>50</v>
      </c>
      <c r="K1286" s="302">
        <v>25</v>
      </c>
      <c r="L1286" s="338" t="s">
        <v>133</v>
      </c>
      <c r="M1286" s="216"/>
      <c r="N1286" s="216"/>
      <c r="O1286" s="216"/>
      <c r="P1286" s="216"/>
      <c r="Q1286" s="216"/>
      <c r="R1286" s="216"/>
      <c r="S1286" s="216"/>
      <c r="T1286" s="216"/>
      <c r="U1286" s="216"/>
      <c r="V1286" s="216"/>
      <c r="W1286" s="216"/>
      <c r="X1286" s="216"/>
    </row>
    <row r="1287" spans="1:24" ht="15" customHeight="1">
      <c r="A1287" s="302" t="s">
        <v>3756</v>
      </c>
      <c r="B1287" s="302" t="s">
        <v>3757</v>
      </c>
      <c r="C1287" s="290" t="s">
        <v>105</v>
      </c>
      <c r="D1287" s="682" t="s">
        <v>4198</v>
      </c>
      <c r="E1287" s="681" t="s">
        <v>3759</v>
      </c>
      <c r="F1287" s="290" t="s">
        <v>3760</v>
      </c>
      <c r="G1287" s="566">
        <v>0</v>
      </c>
      <c r="H1287" s="566">
        <v>2</v>
      </c>
      <c r="I1287" s="566">
        <v>2</v>
      </c>
      <c r="J1287" s="581">
        <v>50</v>
      </c>
      <c r="K1287" s="302">
        <v>25</v>
      </c>
      <c r="L1287" s="338" t="s">
        <v>133</v>
      </c>
      <c r="M1287" s="216"/>
      <c r="N1287" s="216"/>
      <c r="O1287" s="216"/>
      <c r="P1287" s="216"/>
      <c r="Q1287" s="216"/>
      <c r="R1287" s="216"/>
      <c r="S1287" s="216"/>
      <c r="T1287" s="216"/>
      <c r="U1287" s="216"/>
      <c r="V1287" s="216"/>
      <c r="W1287" s="216"/>
      <c r="X1287" s="216"/>
    </row>
    <row r="1288" spans="1:24" ht="15" customHeight="1">
      <c r="A1288" s="302" t="s">
        <v>4199</v>
      </c>
      <c r="B1288" s="309" t="s">
        <v>4200</v>
      </c>
      <c r="C1288" s="290" t="s">
        <v>105</v>
      </c>
      <c r="D1288" s="302" t="s">
        <v>4201</v>
      </c>
      <c r="E1288" s="290" t="s">
        <v>4202</v>
      </c>
      <c r="F1288" s="290" t="s">
        <v>3760</v>
      </c>
      <c r="G1288" s="566">
        <v>0</v>
      </c>
      <c r="H1288" s="566">
        <v>2</v>
      </c>
      <c r="I1288" s="566">
        <v>2</v>
      </c>
      <c r="J1288" s="581">
        <v>50</v>
      </c>
      <c r="K1288" s="302">
        <v>25</v>
      </c>
      <c r="L1288" s="338" t="s">
        <v>133</v>
      </c>
      <c r="M1288" s="216"/>
      <c r="N1288" s="216"/>
      <c r="O1288" s="216"/>
      <c r="P1288" s="216"/>
      <c r="Q1288" s="216"/>
      <c r="R1288" s="216"/>
      <c r="S1288" s="216"/>
      <c r="T1288" s="216"/>
      <c r="U1288" s="216"/>
      <c r="V1288" s="216"/>
      <c r="W1288" s="216"/>
      <c r="X1288" s="216"/>
    </row>
    <row r="1289" spans="1:24" ht="15" customHeight="1">
      <c r="A1289" s="683" t="s">
        <v>4199</v>
      </c>
      <c r="B1289" s="309" t="s">
        <v>4200</v>
      </c>
      <c r="C1289" s="318" t="s">
        <v>105</v>
      </c>
      <c r="D1289" s="682" t="s">
        <v>4203</v>
      </c>
      <c r="E1289" s="681" t="s">
        <v>4204</v>
      </c>
      <c r="F1289" s="290" t="s">
        <v>4205</v>
      </c>
      <c r="G1289" s="566">
        <v>0</v>
      </c>
      <c r="H1289" s="566">
        <v>2</v>
      </c>
      <c r="I1289" s="566">
        <v>2</v>
      </c>
      <c r="J1289" s="581">
        <v>50</v>
      </c>
      <c r="K1289" s="302">
        <v>25</v>
      </c>
      <c r="L1289" s="338" t="s">
        <v>133</v>
      </c>
      <c r="M1289" s="216"/>
      <c r="N1289" s="216"/>
      <c r="O1289" s="216"/>
      <c r="P1289" s="216"/>
      <c r="Q1289" s="216"/>
      <c r="R1289" s="216"/>
      <c r="S1289" s="216"/>
      <c r="T1289" s="216"/>
      <c r="U1289" s="216"/>
      <c r="V1289" s="216"/>
      <c r="W1289" s="216"/>
      <c r="X1289" s="216"/>
    </row>
    <row r="1290" spans="1:24" ht="15" customHeight="1">
      <c r="A1290" s="65" t="s">
        <v>4206</v>
      </c>
      <c r="B1290" s="684" t="s">
        <v>4207</v>
      </c>
      <c r="C1290" s="99" t="s">
        <v>105</v>
      </c>
      <c r="D1290" s="685" t="s">
        <v>4208</v>
      </c>
      <c r="E1290" s="438" t="s">
        <v>4209</v>
      </c>
      <c r="F1290" s="134" t="s">
        <v>1338</v>
      </c>
      <c r="G1290" s="99">
        <v>1</v>
      </c>
      <c r="H1290" s="99">
        <v>1</v>
      </c>
      <c r="I1290" s="99">
        <v>7</v>
      </c>
      <c r="J1290" s="125">
        <v>50</v>
      </c>
      <c r="K1290" s="114">
        <f>J1290/G1290</f>
        <v>50</v>
      </c>
      <c r="L1290" s="338" t="s">
        <v>134</v>
      </c>
      <c r="M1290" s="216"/>
      <c r="N1290" s="216"/>
      <c r="O1290" s="216"/>
      <c r="P1290" s="216"/>
      <c r="Q1290" s="216"/>
      <c r="R1290" s="216"/>
      <c r="S1290" s="216"/>
      <c r="T1290" s="216"/>
      <c r="U1290" s="216"/>
      <c r="V1290" s="216"/>
      <c r="W1290" s="216"/>
      <c r="X1290" s="216"/>
    </row>
    <row r="1291" spans="1:24" ht="15" customHeight="1">
      <c r="A1291" s="65" t="s">
        <v>4210</v>
      </c>
      <c r="B1291" s="684" t="s">
        <v>4211</v>
      </c>
      <c r="C1291" s="99" t="s">
        <v>105</v>
      </c>
      <c r="D1291" s="686" t="s">
        <v>4212</v>
      </c>
      <c r="E1291" s="139" t="s">
        <v>4213</v>
      </c>
      <c r="F1291" s="134" t="s">
        <v>1338</v>
      </c>
      <c r="G1291" s="99">
        <v>1</v>
      </c>
      <c r="H1291" s="99">
        <v>1</v>
      </c>
      <c r="I1291" s="99">
        <v>6</v>
      </c>
      <c r="J1291" s="125">
        <v>50</v>
      </c>
      <c r="K1291" s="114">
        <v>50</v>
      </c>
      <c r="L1291" s="338" t="s">
        <v>134</v>
      </c>
      <c r="M1291" s="216"/>
      <c r="N1291" s="216"/>
      <c r="O1291" s="216"/>
      <c r="P1291" s="216"/>
      <c r="Q1291" s="216"/>
      <c r="R1291" s="216"/>
      <c r="S1291" s="216"/>
      <c r="T1291" s="216"/>
      <c r="U1291" s="216"/>
      <c r="V1291" s="216"/>
      <c r="W1291" s="216"/>
      <c r="X1291" s="216"/>
    </row>
    <row r="1292" spans="1:24" ht="15" customHeight="1">
      <c r="A1292" s="65" t="s">
        <v>4210</v>
      </c>
      <c r="B1292" s="684" t="s">
        <v>4211</v>
      </c>
      <c r="C1292" s="133" t="s">
        <v>105</v>
      </c>
      <c r="D1292" s="685" t="s">
        <v>4214</v>
      </c>
      <c r="E1292" s="99" t="s">
        <v>4215</v>
      </c>
      <c r="F1292" s="134" t="s">
        <v>1338</v>
      </c>
      <c r="G1292" s="99">
        <v>1</v>
      </c>
      <c r="H1292" s="99">
        <v>1</v>
      </c>
      <c r="I1292" s="99">
        <v>6</v>
      </c>
      <c r="J1292" s="125">
        <v>50</v>
      </c>
      <c r="K1292" s="114">
        <v>50</v>
      </c>
      <c r="L1292" s="338" t="s">
        <v>134</v>
      </c>
      <c r="M1292" s="216"/>
      <c r="N1292" s="216"/>
      <c r="O1292" s="216"/>
      <c r="P1292" s="216"/>
      <c r="Q1292" s="216"/>
      <c r="R1292" s="216"/>
      <c r="S1292" s="216"/>
      <c r="T1292" s="216"/>
      <c r="U1292" s="216"/>
      <c r="V1292" s="216"/>
      <c r="W1292" s="216"/>
      <c r="X1292" s="216"/>
    </row>
    <row r="1293" spans="1:24" ht="15" customHeight="1">
      <c r="A1293" s="65" t="s">
        <v>4210</v>
      </c>
      <c r="B1293" s="687" t="s">
        <v>4211</v>
      </c>
      <c r="C1293" s="469" t="s">
        <v>105</v>
      </c>
      <c r="D1293" s="688" t="s">
        <v>4216</v>
      </c>
      <c r="E1293" s="94" t="s">
        <v>4217</v>
      </c>
      <c r="F1293" s="256" t="s">
        <v>1338</v>
      </c>
      <c r="G1293" s="177">
        <v>1</v>
      </c>
      <c r="H1293" s="177">
        <v>1</v>
      </c>
      <c r="I1293" s="177">
        <v>6</v>
      </c>
      <c r="J1293" s="425">
        <v>50</v>
      </c>
      <c r="K1293" s="179">
        <v>50</v>
      </c>
      <c r="L1293" s="338" t="s">
        <v>134</v>
      </c>
      <c r="M1293" s="216"/>
      <c r="N1293" s="216"/>
      <c r="O1293" s="216"/>
      <c r="P1293" s="216"/>
      <c r="Q1293" s="216"/>
      <c r="R1293" s="216"/>
      <c r="S1293" s="216"/>
      <c r="T1293" s="216"/>
      <c r="U1293" s="216"/>
      <c r="V1293" s="216"/>
      <c r="W1293" s="216"/>
      <c r="X1293" s="216"/>
    </row>
    <row r="1294" spans="1:24" ht="15" customHeight="1">
      <c r="A1294" s="438" t="s">
        <v>4210</v>
      </c>
      <c r="B1294" s="689" t="s">
        <v>4211</v>
      </c>
      <c r="C1294" s="133" t="s">
        <v>105</v>
      </c>
      <c r="D1294" s="686" t="s">
        <v>4218</v>
      </c>
      <c r="E1294" s="99" t="s">
        <v>4219</v>
      </c>
      <c r="F1294" s="134" t="s">
        <v>1338</v>
      </c>
      <c r="G1294" s="99">
        <v>1</v>
      </c>
      <c r="H1294" s="99">
        <v>1</v>
      </c>
      <c r="I1294" s="99">
        <v>6</v>
      </c>
      <c r="J1294" s="125">
        <v>50</v>
      </c>
      <c r="K1294" s="114">
        <v>50</v>
      </c>
      <c r="L1294" s="338" t="s">
        <v>134</v>
      </c>
      <c r="M1294" s="216"/>
      <c r="N1294" s="216"/>
      <c r="O1294" s="216"/>
      <c r="P1294" s="216"/>
      <c r="Q1294" s="216"/>
      <c r="R1294" s="216"/>
      <c r="S1294" s="216"/>
      <c r="T1294" s="216"/>
      <c r="U1294" s="216"/>
      <c r="V1294" s="216"/>
      <c r="W1294" s="216"/>
      <c r="X1294" s="216"/>
    </row>
    <row r="1295" spans="1:24" ht="15" customHeight="1">
      <c r="A1295" s="438" t="s">
        <v>4210</v>
      </c>
      <c r="B1295" s="689" t="s">
        <v>4211</v>
      </c>
      <c r="C1295" s="133" t="s">
        <v>105</v>
      </c>
      <c r="D1295" s="686" t="s">
        <v>4220</v>
      </c>
      <c r="E1295" s="99" t="s">
        <v>4221</v>
      </c>
      <c r="F1295" s="134" t="s">
        <v>1338</v>
      </c>
      <c r="G1295" s="99">
        <v>1</v>
      </c>
      <c r="H1295" s="99">
        <v>1</v>
      </c>
      <c r="I1295" s="99">
        <v>6</v>
      </c>
      <c r="J1295" s="125">
        <v>50</v>
      </c>
      <c r="K1295" s="114">
        <v>50</v>
      </c>
      <c r="L1295" s="338" t="s">
        <v>134</v>
      </c>
      <c r="M1295" s="216"/>
      <c r="N1295" s="216"/>
      <c r="O1295" s="216"/>
      <c r="P1295" s="216"/>
      <c r="Q1295" s="216"/>
      <c r="R1295" s="216"/>
      <c r="S1295" s="216"/>
      <c r="T1295" s="216"/>
      <c r="U1295" s="216"/>
      <c r="V1295" s="216"/>
      <c r="W1295" s="216"/>
      <c r="X1295" s="216"/>
    </row>
    <row r="1296" spans="1:24" ht="15" customHeight="1">
      <c r="A1296" s="438" t="s">
        <v>4222</v>
      </c>
      <c r="B1296" s="689" t="s">
        <v>4223</v>
      </c>
      <c r="C1296" s="133" t="s">
        <v>105</v>
      </c>
      <c r="D1296" s="686" t="s">
        <v>4224</v>
      </c>
      <c r="E1296" s="438" t="s">
        <v>4225</v>
      </c>
      <c r="F1296" s="134" t="s">
        <v>1338</v>
      </c>
      <c r="G1296" s="99">
        <v>4</v>
      </c>
      <c r="H1296" s="99">
        <v>1</v>
      </c>
      <c r="I1296" s="99">
        <v>4</v>
      </c>
      <c r="J1296" s="125">
        <v>50</v>
      </c>
      <c r="K1296" s="114">
        <f t="shared" ref="K1296:K1304" si="54">J1296/G1296</f>
        <v>12.5</v>
      </c>
      <c r="L1296" s="338" t="s">
        <v>134</v>
      </c>
      <c r="M1296" s="216"/>
      <c r="N1296" s="216"/>
      <c r="O1296" s="216"/>
      <c r="P1296" s="216"/>
      <c r="Q1296" s="216"/>
      <c r="R1296" s="216"/>
      <c r="S1296" s="216"/>
      <c r="T1296" s="216"/>
      <c r="U1296" s="216"/>
      <c r="V1296" s="216"/>
      <c r="W1296" s="216"/>
      <c r="X1296" s="216"/>
    </row>
    <row r="1297" spans="1:24" ht="15" customHeight="1">
      <c r="A1297" s="438" t="s">
        <v>4222</v>
      </c>
      <c r="B1297" s="689" t="s">
        <v>4223</v>
      </c>
      <c r="C1297" s="133" t="s">
        <v>105</v>
      </c>
      <c r="D1297" s="686" t="s">
        <v>4226</v>
      </c>
      <c r="E1297" s="438" t="s">
        <v>4227</v>
      </c>
      <c r="F1297" s="134" t="s">
        <v>1338</v>
      </c>
      <c r="G1297" s="99">
        <v>4</v>
      </c>
      <c r="H1297" s="99">
        <v>1</v>
      </c>
      <c r="I1297" s="99">
        <v>4</v>
      </c>
      <c r="J1297" s="125">
        <v>50</v>
      </c>
      <c r="K1297" s="114">
        <f t="shared" si="54"/>
        <v>12.5</v>
      </c>
      <c r="L1297" s="338" t="s">
        <v>134</v>
      </c>
      <c r="M1297" s="216"/>
      <c r="N1297" s="216"/>
      <c r="O1297" s="216"/>
      <c r="P1297" s="216"/>
      <c r="Q1297" s="216"/>
      <c r="R1297" s="216"/>
      <c r="S1297" s="216"/>
      <c r="T1297" s="216"/>
      <c r="U1297" s="216"/>
      <c r="V1297" s="216"/>
      <c r="W1297" s="216"/>
      <c r="X1297" s="216"/>
    </row>
    <row r="1298" spans="1:24" ht="15" customHeight="1">
      <c r="A1298" s="438" t="s">
        <v>4222</v>
      </c>
      <c r="B1298" s="689" t="s">
        <v>4223</v>
      </c>
      <c r="C1298" s="133" t="s">
        <v>105</v>
      </c>
      <c r="D1298" s="487" t="s">
        <v>4228</v>
      </c>
      <c r="E1298" s="438" t="s">
        <v>4229</v>
      </c>
      <c r="F1298" s="134" t="s">
        <v>1338</v>
      </c>
      <c r="G1298" s="99">
        <v>4</v>
      </c>
      <c r="H1298" s="99">
        <v>1</v>
      </c>
      <c r="I1298" s="99">
        <v>4</v>
      </c>
      <c r="J1298" s="125">
        <v>50</v>
      </c>
      <c r="K1298" s="114">
        <f t="shared" si="54"/>
        <v>12.5</v>
      </c>
      <c r="L1298" s="338" t="s">
        <v>134</v>
      </c>
      <c r="M1298" s="216"/>
      <c r="N1298" s="216"/>
      <c r="O1298" s="216"/>
      <c r="P1298" s="216"/>
      <c r="Q1298" s="216"/>
      <c r="R1298" s="216"/>
      <c r="S1298" s="216"/>
      <c r="T1298" s="216"/>
      <c r="U1298" s="216"/>
      <c r="V1298" s="216"/>
      <c r="W1298" s="216"/>
      <c r="X1298" s="216"/>
    </row>
    <row r="1299" spans="1:24" ht="15" customHeight="1">
      <c r="A1299" s="438" t="s">
        <v>4222</v>
      </c>
      <c r="B1299" s="689" t="s">
        <v>4223</v>
      </c>
      <c r="C1299" s="133" t="s">
        <v>105</v>
      </c>
      <c r="D1299" s="686" t="s">
        <v>4230</v>
      </c>
      <c r="E1299" s="690" t="s">
        <v>4231</v>
      </c>
      <c r="F1299" s="134" t="s">
        <v>1338</v>
      </c>
      <c r="G1299" s="99">
        <v>4</v>
      </c>
      <c r="H1299" s="99">
        <v>1</v>
      </c>
      <c r="I1299" s="99">
        <v>4</v>
      </c>
      <c r="J1299" s="125">
        <v>50</v>
      </c>
      <c r="K1299" s="114">
        <f t="shared" si="54"/>
        <v>12.5</v>
      </c>
      <c r="L1299" s="338" t="s">
        <v>134</v>
      </c>
      <c r="M1299" s="216"/>
      <c r="N1299" s="216"/>
      <c r="O1299" s="216"/>
      <c r="P1299" s="216"/>
      <c r="Q1299" s="216"/>
      <c r="R1299" s="216"/>
      <c r="S1299" s="216"/>
      <c r="T1299" s="216"/>
      <c r="U1299" s="216"/>
      <c r="V1299" s="216"/>
      <c r="W1299" s="216"/>
      <c r="X1299" s="216"/>
    </row>
    <row r="1300" spans="1:24" ht="15" customHeight="1">
      <c r="A1300" s="438" t="s">
        <v>4222</v>
      </c>
      <c r="B1300" s="689" t="s">
        <v>4223</v>
      </c>
      <c r="C1300" s="133" t="s">
        <v>105</v>
      </c>
      <c r="D1300" s="686" t="s">
        <v>4232</v>
      </c>
      <c r="E1300" s="438" t="s">
        <v>4233</v>
      </c>
      <c r="F1300" s="134" t="s">
        <v>1338</v>
      </c>
      <c r="G1300" s="99">
        <v>4</v>
      </c>
      <c r="H1300" s="99">
        <v>1</v>
      </c>
      <c r="I1300" s="99">
        <v>4</v>
      </c>
      <c r="J1300" s="125">
        <v>50</v>
      </c>
      <c r="K1300" s="114">
        <f t="shared" si="54"/>
        <v>12.5</v>
      </c>
      <c r="L1300" s="338" t="s">
        <v>134</v>
      </c>
      <c r="M1300" s="216"/>
      <c r="N1300" s="216"/>
      <c r="O1300" s="216"/>
      <c r="P1300" s="216"/>
      <c r="Q1300" s="216"/>
      <c r="R1300" s="216"/>
      <c r="S1300" s="216"/>
      <c r="T1300" s="216"/>
      <c r="U1300" s="216"/>
      <c r="V1300" s="216"/>
      <c r="W1300" s="216"/>
      <c r="X1300" s="216"/>
    </row>
    <row r="1301" spans="1:24" ht="15" customHeight="1">
      <c r="A1301" s="438" t="s">
        <v>4222</v>
      </c>
      <c r="B1301" s="689" t="s">
        <v>4223</v>
      </c>
      <c r="C1301" s="133" t="s">
        <v>105</v>
      </c>
      <c r="D1301" s="686" t="s">
        <v>4234</v>
      </c>
      <c r="E1301" s="438" t="s">
        <v>4235</v>
      </c>
      <c r="F1301" s="134" t="s">
        <v>1338</v>
      </c>
      <c r="G1301" s="99">
        <v>4</v>
      </c>
      <c r="H1301" s="99">
        <v>1</v>
      </c>
      <c r="I1301" s="99">
        <v>4</v>
      </c>
      <c r="J1301" s="125">
        <v>50</v>
      </c>
      <c r="K1301" s="114">
        <f t="shared" si="54"/>
        <v>12.5</v>
      </c>
      <c r="L1301" s="338" t="s">
        <v>134</v>
      </c>
      <c r="M1301" s="216"/>
      <c r="N1301" s="216"/>
      <c r="O1301" s="216"/>
      <c r="P1301" s="216"/>
      <c r="Q1301" s="216"/>
      <c r="R1301" s="216"/>
      <c r="S1301" s="216"/>
      <c r="T1301" s="216"/>
      <c r="U1301" s="216"/>
      <c r="V1301" s="216"/>
      <c r="W1301" s="216"/>
      <c r="X1301" s="216"/>
    </row>
    <row r="1302" spans="1:24" ht="15" customHeight="1">
      <c r="A1302" s="134" t="s">
        <v>4222</v>
      </c>
      <c r="B1302" s="134" t="s">
        <v>4223</v>
      </c>
      <c r="C1302" s="133" t="s">
        <v>105</v>
      </c>
      <c r="D1302" s="691" t="s">
        <v>4236</v>
      </c>
      <c r="E1302" s="134" t="s">
        <v>4237</v>
      </c>
      <c r="F1302" s="134" t="s">
        <v>1338</v>
      </c>
      <c r="G1302" s="99">
        <v>4</v>
      </c>
      <c r="H1302" s="99">
        <v>1</v>
      </c>
      <c r="I1302" s="99">
        <v>4</v>
      </c>
      <c r="J1302" s="125">
        <v>50</v>
      </c>
      <c r="K1302" s="114">
        <f t="shared" si="54"/>
        <v>12.5</v>
      </c>
      <c r="L1302" s="338" t="s">
        <v>134</v>
      </c>
      <c r="M1302" s="216"/>
      <c r="N1302" s="216"/>
      <c r="O1302" s="216"/>
      <c r="P1302" s="216"/>
      <c r="Q1302" s="216"/>
      <c r="R1302" s="216"/>
      <c r="S1302" s="216"/>
      <c r="T1302" s="216"/>
      <c r="U1302" s="216"/>
      <c r="V1302" s="216"/>
      <c r="W1302" s="216"/>
      <c r="X1302" s="216"/>
    </row>
    <row r="1303" spans="1:24" ht="15" customHeight="1">
      <c r="A1303" s="438" t="s">
        <v>4222</v>
      </c>
      <c r="B1303" s="689" t="s">
        <v>4223</v>
      </c>
      <c r="C1303" s="133" t="s">
        <v>105</v>
      </c>
      <c r="D1303" s="686" t="s">
        <v>4238</v>
      </c>
      <c r="E1303" s="690" t="s">
        <v>4239</v>
      </c>
      <c r="F1303" s="134" t="s">
        <v>1338</v>
      </c>
      <c r="G1303" s="99">
        <v>4</v>
      </c>
      <c r="H1303" s="99">
        <v>1</v>
      </c>
      <c r="I1303" s="99">
        <v>4</v>
      </c>
      <c r="J1303" s="125">
        <v>50</v>
      </c>
      <c r="K1303" s="114">
        <f t="shared" si="54"/>
        <v>12.5</v>
      </c>
      <c r="L1303" s="338" t="s">
        <v>134</v>
      </c>
      <c r="M1303" s="216"/>
      <c r="N1303" s="216"/>
      <c r="O1303" s="216"/>
      <c r="P1303" s="216"/>
      <c r="Q1303" s="216"/>
      <c r="R1303" s="216"/>
      <c r="S1303" s="216"/>
      <c r="T1303" s="216"/>
      <c r="U1303" s="216"/>
      <c r="V1303" s="216"/>
      <c r="W1303" s="216"/>
      <c r="X1303" s="216"/>
    </row>
    <row r="1304" spans="1:24" ht="15" customHeight="1">
      <c r="A1304" s="438" t="s">
        <v>4222</v>
      </c>
      <c r="B1304" s="689" t="s">
        <v>4223</v>
      </c>
      <c r="C1304" s="133" t="s">
        <v>105</v>
      </c>
      <c r="D1304" s="686" t="s">
        <v>4240</v>
      </c>
      <c r="E1304" s="438" t="s">
        <v>4241</v>
      </c>
      <c r="F1304" s="134" t="s">
        <v>1338</v>
      </c>
      <c r="G1304" s="99">
        <v>4</v>
      </c>
      <c r="H1304" s="99">
        <v>1</v>
      </c>
      <c r="I1304" s="99">
        <v>4</v>
      </c>
      <c r="J1304" s="125">
        <v>50</v>
      </c>
      <c r="K1304" s="114">
        <f t="shared" si="54"/>
        <v>12.5</v>
      </c>
      <c r="L1304" s="338" t="s">
        <v>134</v>
      </c>
      <c r="M1304" s="216"/>
      <c r="N1304" s="216"/>
      <c r="O1304" s="216"/>
      <c r="P1304" s="216"/>
      <c r="Q1304" s="216"/>
      <c r="R1304" s="216"/>
      <c r="S1304" s="216"/>
      <c r="T1304" s="216"/>
      <c r="U1304" s="216"/>
      <c r="V1304" s="216"/>
      <c r="W1304" s="216"/>
      <c r="X1304" s="216"/>
    </row>
    <row r="1305" spans="1:24" ht="15" customHeight="1">
      <c r="A1305" s="438" t="s">
        <v>4242</v>
      </c>
      <c r="B1305" s="689" t="s">
        <v>4243</v>
      </c>
      <c r="C1305" s="133" t="s">
        <v>105</v>
      </c>
      <c r="D1305" s="686" t="s">
        <v>4244</v>
      </c>
      <c r="E1305" s="438" t="s">
        <v>4245</v>
      </c>
      <c r="F1305" s="134" t="s">
        <v>1338</v>
      </c>
      <c r="G1305" s="99">
        <v>3</v>
      </c>
      <c r="H1305" s="99">
        <v>3</v>
      </c>
      <c r="I1305" s="125">
        <v>3</v>
      </c>
      <c r="J1305" s="692">
        <v>50</v>
      </c>
      <c r="K1305" s="114">
        <f>J1305/I1305</f>
        <v>16.666666666666668</v>
      </c>
      <c r="L1305" s="338" t="s">
        <v>134</v>
      </c>
      <c r="M1305" s="216"/>
      <c r="N1305" s="216"/>
      <c r="O1305" s="216"/>
      <c r="P1305" s="216"/>
      <c r="Q1305" s="216"/>
      <c r="R1305" s="216"/>
      <c r="S1305" s="216"/>
      <c r="T1305" s="216"/>
      <c r="U1305" s="216"/>
      <c r="V1305" s="216"/>
      <c r="W1305" s="216"/>
      <c r="X1305" s="216"/>
    </row>
    <row r="1306" spans="1:24" ht="15" customHeight="1">
      <c r="A1306" s="438" t="s">
        <v>4246</v>
      </c>
      <c r="B1306" s="689" t="s">
        <v>4247</v>
      </c>
      <c r="C1306" s="133" t="s">
        <v>105</v>
      </c>
      <c r="D1306" s="693" t="s">
        <v>4248</v>
      </c>
      <c r="E1306" s="438" t="s">
        <v>4249</v>
      </c>
      <c r="F1306" s="134" t="s">
        <v>1338</v>
      </c>
      <c r="G1306" s="99">
        <v>4</v>
      </c>
      <c r="H1306" s="99">
        <v>1</v>
      </c>
      <c r="I1306" s="99">
        <v>4</v>
      </c>
      <c r="J1306" s="125">
        <v>50</v>
      </c>
      <c r="K1306" s="114">
        <f>J1306/G1306</f>
        <v>12.5</v>
      </c>
      <c r="L1306" s="338" t="s">
        <v>134</v>
      </c>
      <c r="M1306" s="216"/>
      <c r="N1306" s="216"/>
      <c r="O1306" s="216"/>
      <c r="P1306" s="216"/>
      <c r="Q1306" s="216"/>
      <c r="R1306" s="216"/>
      <c r="S1306" s="216"/>
      <c r="T1306" s="216"/>
      <c r="U1306" s="216"/>
      <c r="V1306" s="216"/>
      <c r="W1306" s="216"/>
      <c r="X1306" s="216"/>
    </row>
    <row r="1307" spans="1:24" ht="15" customHeight="1">
      <c r="A1307" s="690" t="s">
        <v>4250</v>
      </c>
      <c r="B1307" s="694" t="s">
        <v>4251</v>
      </c>
      <c r="C1307" s="133" t="s">
        <v>105</v>
      </c>
      <c r="D1307" s="695" t="s">
        <v>4252</v>
      </c>
      <c r="E1307" s="438" t="s">
        <v>4253</v>
      </c>
      <c r="F1307" s="134" t="s">
        <v>1338</v>
      </c>
      <c r="G1307" s="99">
        <v>3</v>
      </c>
      <c r="H1307" s="99">
        <v>2</v>
      </c>
      <c r="I1307" s="99">
        <v>6</v>
      </c>
      <c r="J1307" s="125">
        <v>50</v>
      </c>
      <c r="K1307" s="114">
        <f>J1307/H1307</f>
        <v>25</v>
      </c>
      <c r="L1307" s="338" t="s">
        <v>134</v>
      </c>
      <c r="M1307" s="216"/>
      <c r="N1307" s="216"/>
      <c r="O1307" s="216"/>
      <c r="P1307" s="216"/>
      <c r="Q1307" s="216"/>
      <c r="R1307" s="216"/>
      <c r="S1307" s="216"/>
      <c r="T1307" s="216"/>
      <c r="U1307" s="216"/>
      <c r="V1307" s="216"/>
      <c r="W1307" s="216"/>
      <c r="X1307" s="216"/>
    </row>
    <row r="1308" spans="1:24" ht="15" customHeight="1">
      <c r="A1308" s="696" t="s">
        <v>4254</v>
      </c>
      <c r="B1308" s="689" t="s">
        <v>4255</v>
      </c>
      <c r="C1308" s="133" t="s">
        <v>105</v>
      </c>
      <c r="D1308" s="686" t="s">
        <v>4256</v>
      </c>
      <c r="E1308" s="438" t="s">
        <v>4257</v>
      </c>
      <c r="F1308" s="134" t="s">
        <v>1338</v>
      </c>
      <c r="G1308" s="99">
        <v>6</v>
      </c>
      <c r="H1308" s="99">
        <v>1</v>
      </c>
      <c r="I1308" s="99">
        <v>6</v>
      </c>
      <c r="J1308" s="125">
        <v>50</v>
      </c>
      <c r="K1308" s="114">
        <f t="shared" ref="K1308:K1312" si="55">J1308/G1308</f>
        <v>8.3333333333333339</v>
      </c>
      <c r="L1308" s="338" t="s">
        <v>134</v>
      </c>
      <c r="M1308" s="216"/>
      <c r="N1308" s="216"/>
      <c r="O1308" s="216"/>
      <c r="P1308" s="216"/>
      <c r="Q1308" s="216"/>
      <c r="R1308" s="216"/>
      <c r="S1308" s="216"/>
      <c r="T1308" s="216"/>
      <c r="U1308" s="216"/>
      <c r="V1308" s="216"/>
      <c r="W1308" s="216"/>
      <c r="X1308" s="216"/>
    </row>
    <row r="1309" spans="1:24" ht="15" customHeight="1">
      <c r="A1309" s="696" t="s">
        <v>4258</v>
      </c>
      <c r="B1309" s="689" t="s">
        <v>4255</v>
      </c>
      <c r="C1309" s="133" t="s">
        <v>105</v>
      </c>
      <c r="D1309" s="686" t="s">
        <v>4259</v>
      </c>
      <c r="E1309" s="438" t="s">
        <v>4260</v>
      </c>
      <c r="F1309" s="134" t="s">
        <v>1338</v>
      </c>
      <c r="G1309" s="99">
        <v>6</v>
      </c>
      <c r="H1309" s="99">
        <v>1</v>
      </c>
      <c r="I1309" s="99">
        <v>6</v>
      </c>
      <c r="J1309" s="125">
        <v>50</v>
      </c>
      <c r="K1309" s="114">
        <f t="shared" si="55"/>
        <v>8.3333333333333339</v>
      </c>
      <c r="L1309" s="338" t="s">
        <v>134</v>
      </c>
      <c r="M1309" s="216"/>
      <c r="N1309" s="216"/>
      <c r="O1309" s="216"/>
      <c r="P1309" s="216"/>
      <c r="Q1309" s="216"/>
      <c r="R1309" s="216"/>
      <c r="S1309" s="216"/>
      <c r="T1309" s="216"/>
      <c r="U1309" s="216"/>
      <c r="V1309" s="216"/>
      <c r="W1309" s="216"/>
      <c r="X1309" s="216"/>
    </row>
    <row r="1310" spans="1:24" ht="15" customHeight="1">
      <c r="A1310" s="696" t="s">
        <v>4261</v>
      </c>
      <c r="B1310" s="689" t="s">
        <v>4255</v>
      </c>
      <c r="C1310" s="133" t="s">
        <v>105</v>
      </c>
      <c r="D1310" s="686" t="s">
        <v>4262</v>
      </c>
      <c r="E1310" s="438" t="s">
        <v>4263</v>
      </c>
      <c r="F1310" s="134" t="s">
        <v>1338</v>
      </c>
      <c r="G1310" s="99">
        <v>6</v>
      </c>
      <c r="H1310" s="99">
        <v>1</v>
      </c>
      <c r="I1310" s="99">
        <v>6</v>
      </c>
      <c r="J1310" s="125">
        <v>50</v>
      </c>
      <c r="K1310" s="114">
        <f t="shared" si="55"/>
        <v>8.3333333333333339</v>
      </c>
      <c r="L1310" s="338" t="s">
        <v>134</v>
      </c>
      <c r="M1310" s="216"/>
      <c r="N1310" s="216"/>
      <c r="O1310" s="216"/>
      <c r="P1310" s="216"/>
      <c r="Q1310" s="216"/>
      <c r="R1310" s="216"/>
      <c r="S1310" s="216"/>
      <c r="T1310" s="216"/>
      <c r="U1310" s="216"/>
      <c r="V1310" s="216"/>
      <c r="W1310" s="216"/>
      <c r="X1310" s="216"/>
    </row>
    <row r="1311" spans="1:24" ht="15" customHeight="1">
      <c r="A1311" s="696" t="s">
        <v>4264</v>
      </c>
      <c r="B1311" s="689" t="s">
        <v>4255</v>
      </c>
      <c r="C1311" s="133" t="s">
        <v>105</v>
      </c>
      <c r="D1311" s="686" t="s">
        <v>4265</v>
      </c>
      <c r="E1311" s="438" t="s">
        <v>4266</v>
      </c>
      <c r="F1311" s="134" t="s">
        <v>1338</v>
      </c>
      <c r="G1311" s="99">
        <v>6</v>
      </c>
      <c r="H1311" s="99">
        <v>1</v>
      </c>
      <c r="I1311" s="99">
        <v>6</v>
      </c>
      <c r="J1311" s="125">
        <v>50</v>
      </c>
      <c r="K1311" s="114">
        <f t="shared" si="55"/>
        <v>8.3333333333333339</v>
      </c>
      <c r="L1311" s="338" t="s">
        <v>134</v>
      </c>
      <c r="M1311" s="216"/>
      <c r="N1311" s="216"/>
      <c r="O1311" s="216"/>
      <c r="P1311" s="216"/>
      <c r="Q1311" s="216"/>
      <c r="R1311" s="216"/>
      <c r="S1311" s="216"/>
      <c r="T1311" s="216"/>
      <c r="U1311" s="216"/>
      <c r="V1311" s="216"/>
      <c r="W1311" s="216"/>
      <c r="X1311" s="216"/>
    </row>
    <row r="1312" spans="1:24" ht="15" customHeight="1">
      <c r="A1312" s="696" t="s">
        <v>4267</v>
      </c>
      <c r="B1312" s="689" t="s">
        <v>4255</v>
      </c>
      <c r="C1312" s="133" t="s">
        <v>105</v>
      </c>
      <c r="D1312" s="686" t="s">
        <v>4268</v>
      </c>
      <c r="E1312" s="438" t="s">
        <v>4269</v>
      </c>
      <c r="F1312" s="134" t="s">
        <v>1338</v>
      </c>
      <c r="G1312" s="99">
        <v>6</v>
      </c>
      <c r="H1312" s="99">
        <v>1</v>
      </c>
      <c r="I1312" s="99">
        <v>6</v>
      </c>
      <c r="J1312" s="125">
        <v>50</v>
      </c>
      <c r="K1312" s="114">
        <f t="shared" si="55"/>
        <v>8.3333333333333339</v>
      </c>
      <c r="L1312" s="338" t="s">
        <v>134</v>
      </c>
      <c r="M1312" s="216"/>
      <c r="N1312" s="216"/>
      <c r="O1312" s="216"/>
      <c r="P1312" s="216"/>
      <c r="Q1312" s="216"/>
      <c r="R1312" s="216"/>
      <c r="S1312" s="216"/>
      <c r="T1312" s="216"/>
      <c r="U1312" s="216"/>
      <c r="V1312" s="216"/>
      <c r="W1312" s="216"/>
      <c r="X1312" s="216"/>
    </row>
    <row r="1313" spans="1:24" ht="15" customHeight="1">
      <c r="A1313" s="438" t="s">
        <v>4270</v>
      </c>
      <c r="B1313" s="689" t="s">
        <v>4271</v>
      </c>
      <c r="C1313" s="133" t="s">
        <v>105</v>
      </c>
      <c r="D1313" s="487" t="s">
        <v>4272</v>
      </c>
      <c r="E1313" s="438" t="s">
        <v>4273</v>
      </c>
      <c r="F1313" s="134" t="s">
        <v>1338</v>
      </c>
      <c r="G1313" s="99">
        <v>1</v>
      </c>
      <c r="H1313" s="99">
        <v>1</v>
      </c>
      <c r="I1313" s="99">
        <v>9</v>
      </c>
      <c r="J1313" s="125">
        <v>50</v>
      </c>
      <c r="K1313" s="114">
        <f t="shared" ref="K1313:K1317" si="56">J1313/H1313</f>
        <v>50</v>
      </c>
      <c r="L1313" s="338" t="s">
        <v>134</v>
      </c>
      <c r="M1313" s="216"/>
      <c r="N1313" s="216"/>
      <c r="O1313" s="216"/>
      <c r="P1313" s="216"/>
      <c r="Q1313" s="216"/>
      <c r="R1313" s="216"/>
      <c r="S1313" s="216"/>
      <c r="T1313" s="216"/>
      <c r="U1313" s="216"/>
      <c r="V1313" s="216"/>
      <c r="W1313" s="216"/>
      <c r="X1313" s="216"/>
    </row>
    <row r="1314" spans="1:24" ht="15" customHeight="1">
      <c r="A1314" s="438" t="s">
        <v>4274</v>
      </c>
      <c r="B1314" s="689" t="s">
        <v>972</v>
      </c>
      <c r="C1314" s="133" t="s">
        <v>105</v>
      </c>
      <c r="D1314" s="697" t="s">
        <v>4275</v>
      </c>
      <c r="E1314" s="99" t="s">
        <v>4276</v>
      </c>
      <c r="F1314" s="134" t="s">
        <v>1338</v>
      </c>
      <c r="G1314" s="99">
        <v>3</v>
      </c>
      <c r="H1314" s="99">
        <v>2</v>
      </c>
      <c r="I1314" s="99">
        <v>4</v>
      </c>
      <c r="J1314" s="125">
        <v>50</v>
      </c>
      <c r="K1314" s="114">
        <f t="shared" si="56"/>
        <v>25</v>
      </c>
      <c r="L1314" s="338" t="s">
        <v>134</v>
      </c>
      <c r="M1314" s="216"/>
      <c r="N1314" s="216"/>
      <c r="O1314" s="216"/>
      <c r="P1314" s="216"/>
      <c r="Q1314" s="216"/>
      <c r="R1314" s="216"/>
      <c r="S1314" s="216"/>
      <c r="T1314" s="216"/>
      <c r="U1314" s="216"/>
      <c r="V1314" s="216"/>
      <c r="W1314" s="216"/>
      <c r="X1314" s="216"/>
    </row>
    <row r="1315" spans="1:24" ht="15" customHeight="1">
      <c r="A1315" s="438" t="s">
        <v>4277</v>
      </c>
      <c r="B1315" s="689" t="s">
        <v>4278</v>
      </c>
      <c r="C1315" s="133" t="s">
        <v>105</v>
      </c>
      <c r="D1315" s="686" t="s">
        <v>4279</v>
      </c>
      <c r="E1315" s="438" t="s">
        <v>4280</v>
      </c>
      <c r="F1315" s="134" t="s">
        <v>1338</v>
      </c>
      <c r="G1315" s="99">
        <v>2</v>
      </c>
      <c r="H1315" s="99">
        <v>2</v>
      </c>
      <c r="I1315" s="99">
        <v>6</v>
      </c>
      <c r="J1315" s="125">
        <v>50</v>
      </c>
      <c r="K1315" s="114">
        <f t="shared" si="56"/>
        <v>25</v>
      </c>
      <c r="L1315" s="338" t="s">
        <v>134</v>
      </c>
      <c r="M1315" s="216"/>
      <c r="N1315" s="216"/>
      <c r="O1315" s="216"/>
      <c r="P1315" s="216"/>
      <c r="Q1315" s="216"/>
      <c r="R1315" s="216"/>
      <c r="S1315" s="216"/>
      <c r="T1315" s="216"/>
      <c r="U1315" s="216"/>
      <c r="V1315" s="216"/>
      <c r="W1315" s="216"/>
      <c r="X1315" s="216"/>
    </row>
    <row r="1316" spans="1:24" ht="15" customHeight="1">
      <c r="A1316" s="438" t="s">
        <v>4281</v>
      </c>
      <c r="B1316" s="689" t="s">
        <v>4278</v>
      </c>
      <c r="C1316" s="133" t="s">
        <v>105</v>
      </c>
      <c r="D1316" s="686" t="s">
        <v>4282</v>
      </c>
      <c r="E1316" s="438" t="s">
        <v>4283</v>
      </c>
      <c r="F1316" s="134" t="s">
        <v>1338</v>
      </c>
      <c r="G1316" s="99">
        <v>2</v>
      </c>
      <c r="H1316" s="99">
        <v>2</v>
      </c>
      <c r="I1316" s="99">
        <v>6</v>
      </c>
      <c r="J1316" s="125">
        <v>50</v>
      </c>
      <c r="K1316" s="114">
        <f t="shared" si="56"/>
        <v>25</v>
      </c>
      <c r="L1316" s="338" t="s">
        <v>134</v>
      </c>
      <c r="M1316" s="216"/>
      <c r="N1316" s="216"/>
      <c r="O1316" s="216"/>
      <c r="P1316" s="216"/>
      <c r="Q1316" s="216"/>
      <c r="R1316" s="216"/>
      <c r="S1316" s="216"/>
      <c r="T1316" s="216"/>
      <c r="U1316" s="216"/>
      <c r="V1316" s="216"/>
      <c r="W1316" s="216"/>
      <c r="X1316" s="216"/>
    </row>
    <row r="1317" spans="1:24" ht="15" customHeight="1">
      <c r="A1317" s="438" t="s">
        <v>4284</v>
      </c>
      <c r="B1317" s="438" t="s">
        <v>4285</v>
      </c>
      <c r="C1317" s="133" t="s">
        <v>105</v>
      </c>
      <c r="D1317" s="695" t="s">
        <v>4286</v>
      </c>
      <c r="E1317" s="438" t="s">
        <v>2202</v>
      </c>
      <c r="F1317" s="134" t="s">
        <v>1338</v>
      </c>
      <c r="G1317" s="99">
        <v>6</v>
      </c>
      <c r="H1317" s="99">
        <v>3</v>
      </c>
      <c r="I1317" s="99">
        <v>6</v>
      </c>
      <c r="J1317" s="125">
        <v>50</v>
      </c>
      <c r="K1317" s="114">
        <f t="shared" si="56"/>
        <v>16.666666666666668</v>
      </c>
      <c r="L1317" s="338" t="s">
        <v>134</v>
      </c>
      <c r="M1317" s="216"/>
      <c r="N1317" s="216"/>
      <c r="O1317" s="216"/>
      <c r="P1317" s="216"/>
      <c r="Q1317" s="216"/>
      <c r="R1317" s="216"/>
      <c r="S1317" s="216"/>
      <c r="T1317" s="216"/>
      <c r="U1317" s="216"/>
      <c r="V1317" s="216"/>
      <c r="W1317" s="216"/>
      <c r="X1317" s="216"/>
    </row>
    <row r="1318" spans="1:24" ht="15" customHeight="1">
      <c r="A1318" s="696" t="s">
        <v>4287</v>
      </c>
      <c r="B1318" s="689" t="s">
        <v>4288</v>
      </c>
      <c r="C1318" s="133" t="s">
        <v>105</v>
      </c>
      <c r="D1318" s="686" t="s">
        <v>4289</v>
      </c>
      <c r="E1318" s="438" t="s">
        <v>4290</v>
      </c>
      <c r="F1318" s="134" t="s">
        <v>1338</v>
      </c>
      <c r="G1318" s="99">
        <v>6</v>
      </c>
      <c r="H1318" s="99">
        <v>1</v>
      </c>
      <c r="I1318" s="99">
        <v>8</v>
      </c>
      <c r="J1318" s="125">
        <v>50</v>
      </c>
      <c r="K1318" s="114">
        <f t="shared" ref="K1318:K1321" si="57">J1318/G1318</f>
        <v>8.3333333333333339</v>
      </c>
      <c r="L1318" s="338" t="s">
        <v>134</v>
      </c>
      <c r="M1318" s="216"/>
      <c r="N1318" s="216"/>
      <c r="O1318" s="216"/>
      <c r="P1318" s="216"/>
      <c r="Q1318" s="216"/>
      <c r="R1318" s="216"/>
      <c r="S1318" s="216"/>
      <c r="T1318" s="216"/>
      <c r="U1318" s="216"/>
      <c r="V1318" s="216"/>
      <c r="W1318" s="216"/>
      <c r="X1318" s="216"/>
    </row>
    <row r="1319" spans="1:24" ht="15" customHeight="1">
      <c r="A1319" s="696" t="s">
        <v>4291</v>
      </c>
      <c r="B1319" s="689" t="s">
        <v>4288</v>
      </c>
      <c r="C1319" s="133" t="s">
        <v>105</v>
      </c>
      <c r="D1319" s="686" t="s">
        <v>4292</v>
      </c>
      <c r="E1319" s="438" t="s">
        <v>4293</v>
      </c>
      <c r="F1319" s="134" t="s">
        <v>1338</v>
      </c>
      <c r="G1319" s="99">
        <v>6</v>
      </c>
      <c r="H1319" s="99">
        <v>1</v>
      </c>
      <c r="I1319" s="99">
        <v>8</v>
      </c>
      <c r="J1319" s="125">
        <v>50</v>
      </c>
      <c r="K1319" s="114">
        <f t="shared" si="57"/>
        <v>8.3333333333333339</v>
      </c>
      <c r="L1319" s="338" t="s">
        <v>134</v>
      </c>
      <c r="M1319" s="216"/>
      <c r="N1319" s="216"/>
      <c r="O1319" s="216"/>
      <c r="P1319" s="216"/>
      <c r="Q1319" s="216"/>
      <c r="R1319" s="216"/>
      <c r="S1319" s="216"/>
      <c r="T1319" s="216"/>
      <c r="U1319" s="216"/>
      <c r="V1319" s="216"/>
      <c r="W1319" s="216"/>
      <c r="X1319" s="216"/>
    </row>
    <row r="1320" spans="1:24" ht="15" customHeight="1">
      <c r="A1320" s="698" t="s">
        <v>4294</v>
      </c>
      <c r="B1320" s="689" t="s">
        <v>4295</v>
      </c>
      <c r="C1320" s="133" t="s">
        <v>105</v>
      </c>
      <c r="D1320" s="686" t="s">
        <v>4296</v>
      </c>
      <c r="E1320" s="99" t="s">
        <v>4297</v>
      </c>
      <c r="F1320" s="134" t="s">
        <v>1338</v>
      </c>
      <c r="G1320" s="99">
        <v>1</v>
      </c>
      <c r="H1320" s="99">
        <v>1</v>
      </c>
      <c r="I1320" s="99">
        <v>7</v>
      </c>
      <c r="J1320" s="125">
        <v>50</v>
      </c>
      <c r="K1320" s="114">
        <f t="shared" si="57"/>
        <v>50</v>
      </c>
      <c r="L1320" s="338" t="s">
        <v>134</v>
      </c>
      <c r="M1320" s="216"/>
      <c r="N1320" s="216"/>
      <c r="O1320" s="216"/>
      <c r="P1320" s="216"/>
      <c r="Q1320" s="216"/>
      <c r="R1320" s="216"/>
      <c r="S1320" s="216"/>
      <c r="T1320" s="216"/>
      <c r="U1320" s="216"/>
      <c r="V1320" s="216"/>
      <c r="W1320" s="216"/>
      <c r="X1320" s="216"/>
    </row>
    <row r="1321" spans="1:24" ht="15" customHeight="1">
      <c r="A1321" s="698" t="s">
        <v>4298</v>
      </c>
      <c r="B1321" s="689" t="s">
        <v>4295</v>
      </c>
      <c r="C1321" s="133" t="s">
        <v>105</v>
      </c>
      <c r="D1321" s="686" t="s">
        <v>4299</v>
      </c>
      <c r="E1321" s="99" t="s">
        <v>4300</v>
      </c>
      <c r="F1321" s="134" t="s">
        <v>1338</v>
      </c>
      <c r="G1321" s="99">
        <v>1</v>
      </c>
      <c r="H1321" s="99">
        <v>1</v>
      </c>
      <c r="I1321" s="99">
        <v>7</v>
      </c>
      <c r="J1321" s="125">
        <v>50</v>
      </c>
      <c r="K1321" s="114">
        <f t="shared" si="57"/>
        <v>50</v>
      </c>
      <c r="L1321" s="338" t="s">
        <v>134</v>
      </c>
      <c r="M1321" s="216"/>
      <c r="N1321" s="216"/>
      <c r="O1321" s="216"/>
      <c r="P1321" s="216"/>
      <c r="Q1321" s="216"/>
      <c r="R1321" s="216"/>
      <c r="S1321" s="216"/>
      <c r="T1321" s="216"/>
      <c r="U1321" s="216"/>
      <c r="V1321" s="216"/>
      <c r="W1321" s="216"/>
      <c r="X1321" s="216"/>
    </row>
    <row r="1322" spans="1:24" ht="15" customHeight="1">
      <c r="A1322" s="134" t="s">
        <v>1127</v>
      </c>
      <c r="B1322" s="134" t="s">
        <v>4301</v>
      </c>
      <c r="C1322" s="133" t="s">
        <v>105</v>
      </c>
      <c r="D1322" s="691" t="s">
        <v>4302</v>
      </c>
      <c r="E1322" s="134" t="s">
        <v>4303</v>
      </c>
      <c r="F1322" s="134" t="s">
        <v>1338</v>
      </c>
      <c r="G1322" s="379">
        <v>1</v>
      </c>
      <c r="H1322" s="379">
        <v>1</v>
      </c>
      <c r="I1322" s="379">
        <v>7</v>
      </c>
      <c r="J1322" s="272">
        <v>50</v>
      </c>
      <c r="K1322" s="134">
        <v>50</v>
      </c>
      <c r="L1322" s="338" t="s">
        <v>134</v>
      </c>
      <c r="M1322" s="216"/>
      <c r="N1322" s="216"/>
      <c r="O1322" s="216"/>
      <c r="P1322" s="216"/>
      <c r="Q1322" s="216"/>
      <c r="R1322" s="216"/>
      <c r="S1322" s="216"/>
      <c r="T1322" s="216"/>
      <c r="U1322" s="216"/>
      <c r="V1322" s="216"/>
      <c r="W1322" s="216"/>
      <c r="X1322" s="216"/>
    </row>
    <row r="1323" spans="1:24" ht="15" customHeight="1">
      <c r="A1323" s="438" t="s">
        <v>4304</v>
      </c>
      <c r="B1323" s="689" t="s">
        <v>4301</v>
      </c>
      <c r="C1323" s="133" t="s">
        <v>105</v>
      </c>
      <c r="D1323" s="686" t="s">
        <v>4305</v>
      </c>
      <c r="E1323" s="421" t="s">
        <v>4306</v>
      </c>
      <c r="F1323" s="134" t="s">
        <v>1338</v>
      </c>
      <c r="G1323" s="379">
        <v>1</v>
      </c>
      <c r="H1323" s="379">
        <v>1</v>
      </c>
      <c r="I1323" s="379">
        <v>7</v>
      </c>
      <c r="J1323" s="272">
        <v>50</v>
      </c>
      <c r="K1323" s="134">
        <v>50</v>
      </c>
      <c r="L1323" s="338" t="s">
        <v>134</v>
      </c>
      <c r="M1323" s="216"/>
      <c r="N1323" s="216"/>
      <c r="O1323" s="216"/>
      <c r="P1323" s="216"/>
      <c r="Q1323" s="216"/>
      <c r="R1323" s="216"/>
      <c r="S1323" s="216"/>
      <c r="T1323" s="216"/>
      <c r="U1323" s="216"/>
      <c r="V1323" s="216"/>
      <c r="W1323" s="216"/>
      <c r="X1323" s="216"/>
    </row>
    <row r="1324" spans="1:24" ht="15" customHeight="1">
      <c r="A1324" s="438" t="s">
        <v>4307</v>
      </c>
      <c r="B1324" s="689" t="s">
        <v>4308</v>
      </c>
      <c r="C1324" s="133" t="s">
        <v>105</v>
      </c>
      <c r="D1324" s="686" t="s">
        <v>4309</v>
      </c>
      <c r="E1324" s="438" t="s">
        <v>4310</v>
      </c>
      <c r="F1324" s="134" t="s">
        <v>1338</v>
      </c>
      <c r="G1324" s="99">
        <v>1</v>
      </c>
      <c r="H1324" s="99">
        <v>1</v>
      </c>
      <c r="I1324" s="99">
        <v>5</v>
      </c>
      <c r="J1324" s="125">
        <v>50</v>
      </c>
      <c r="K1324" s="114">
        <f t="shared" ref="K1324:K1328" si="58">J1324/G1324</f>
        <v>50</v>
      </c>
      <c r="L1324" s="338" t="s">
        <v>134</v>
      </c>
      <c r="M1324" s="216"/>
      <c r="N1324" s="216"/>
      <c r="O1324" s="216"/>
      <c r="P1324" s="216"/>
      <c r="Q1324" s="216"/>
      <c r="R1324" s="216"/>
      <c r="S1324" s="216"/>
      <c r="T1324" s="216"/>
      <c r="U1324" s="216"/>
      <c r="V1324" s="216"/>
      <c r="W1324" s="216"/>
      <c r="X1324" s="216"/>
    </row>
    <row r="1325" spans="1:24" ht="15" customHeight="1">
      <c r="A1325" s="438" t="s">
        <v>4311</v>
      </c>
      <c r="B1325" s="689" t="s">
        <v>4308</v>
      </c>
      <c r="C1325" s="133" t="s">
        <v>105</v>
      </c>
      <c r="D1325" s="384" t="s">
        <v>4312</v>
      </c>
      <c r="E1325" s="438" t="s">
        <v>4313</v>
      </c>
      <c r="F1325" s="134" t="s">
        <v>1338</v>
      </c>
      <c r="G1325" s="99">
        <v>1</v>
      </c>
      <c r="H1325" s="99">
        <v>1</v>
      </c>
      <c r="I1325" s="99">
        <v>5</v>
      </c>
      <c r="J1325" s="125">
        <v>50</v>
      </c>
      <c r="K1325" s="114">
        <f t="shared" si="58"/>
        <v>50</v>
      </c>
      <c r="L1325" s="338" t="s">
        <v>134</v>
      </c>
      <c r="M1325" s="216"/>
      <c r="N1325" s="216"/>
      <c r="O1325" s="216"/>
      <c r="P1325" s="216"/>
      <c r="Q1325" s="216"/>
      <c r="R1325" s="216"/>
      <c r="S1325" s="216"/>
      <c r="T1325" s="216"/>
      <c r="U1325" s="216"/>
      <c r="V1325" s="216"/>
      <c r="W1325" s="216"/>
      <c r="X1325" s="216"/>
    </row>
    <row r="1326" spans="1:24" ht="15" customHeight="1">
      <c r="A1326" s="438" t="s">
        <v>4314</v>
      </c>
      <c r="B1326" s="689" t="s">
        <v>4308</v>
      </c>
      <c r="C1326" s="133" t="s">
        <v>105</v>
      </c>
      <c r="D1326" s="686" t="s">
        <v>4315</v>
      </c>
      <c r="E1326" s="438" t="s">
        <v>4316</v>
      </c>
      <c r="F1326" s="134" t="s">
        <v>1338</v>
      </c>
      <c r="G1326" s="99">
        <v>1</v>
      </c>
      <c r="H1326" s="99">
        <v>1</v>
      </c>
      <c r="I1326" s="99">
        <v>5</v>
      </c>
      <c r="J1326" s="125">
        <v>50</v>
      </c>
      <c r="K1326" s="114">
        <f t="shared" si="58"/>
        <v>50</v>
      </c>
      <c r="L1326" s="338" t="s">
        <v>134</v>
      </c>
      <c r="M1326" s="216"/>
      <c r="N1326" s="216"/>
      <c r="O1326" s="216"/>
      <c r="P1326" s="216"/>
      <c r="Q1326" s="216"/>
      <c r="R1326" s="216"/>
      <c r="S1326" s="216"/>
      <c r="T1326" s="216"/>
      <c r="U1326" s="216"/>
      <c r="V1326" s="216"/>
      <c r="W1326" s="216"/>
      <c r="X1326" s="216"/>
    </row>
    <row r="1327" spans="1:24" ht="15" customHeight="1">
      <c r="A1327" s="438" t="s">
        <v>4317</v>
      </c>
      <c r="B1327" s="689" t="s">
        <v>4308</v>
      </c>
      <c r="C1327" s="133" t="s">
        <v>105</v>
      </c>
      <c r="D1327" s="686" t="s">
        <v>4318</v>
      </c>
      <c r="E1327" s="438" t="s">
        <v>4319</v>
      </c>
      <c r="F1327" s="134" t="s">
        <v>1338</v>
      </c>
      <c r="G1327" s="99">
        <v>1</v>
      </c>
      <c r="H1327" s="99">
        <v>1</v>
      </c>
      <c r="I1327" s="99">
        <v>5</v>
      </c>
      <c r="J1327" s="125">
        <v>50</v>
      </c>
      <c r="K1327" s="114">
        <f t="shared" si="58"/>
        <v>50</v>
      </c>
      <c r="L1327" s="338" t="s">
        <v>134</v>
      </c>
      <c r="M1327" s="216"/>
      <c r="N1327" s="216"/>
      <c r="O1327" s="216"/>
      <c r="P1327" s="216"/>
      <c r="Q1327" s="216"/>
      <c r="R1327" s="216"/>
      <c r="S1327" s="216"/>
      <c r="T1327" s="216"/>
      <c r="U1327" s="216"/>
      <c r="V1327" s="216"/>
      <c r="W1327" s="216"/>
      <c r="X1327" s="216"/>
    </row>
    <row r="1328" spans="1:24" ht="15" customHeight="1">
      <c r="A1328" s="438" t="s">
        <v>4320</v>
      </c>
      <c r="B1328" s="689" t="s">
        <v>4308</v>
      </c>
      <c r="C1328" s="133" t="s">
        <v>105</v>
      </c>
      <c r="D1328" s="686" t="s">
        <v>4321</v>
      </c>
      <c r="E1328" s="438" t="s">
        <v>4322</v>
      </c>
      <c r="F1328" s="134" t="s">
        <v>1338</v>
      </c>
      <c r="G1328" s="99">
        <v>1</v>
      </c>
      <c r="H1328" s="99">
        <v>1</v>
      </c>
      <c r="I1328" s="99">
        <v>5</v>
      </c>
      <c r="J1328" s="125">
        <v>50</v>
      </c>
      <c r="K1328" s="114">
        <f t="shared" si="58"/>
        <v>50</v>
      </c>
      <c r="L1328" s="338" t="s">
        <v>134</v>
      </c>
      <c r="M1328" s="216"/>
      <c r="N1328" s="216"/>
      <c r="O1328" s="216"/>
      <c r="P1328" s="216"/>
      <c r="Q1328" s="216"/>
      <c r="R1328" s="216"/>
      <c r="S1328" s="216"/>
      <c r="T1328" s="216"/>
      <c r="U1328" s="216"/>
      <c r="V1328" s="216"/>
      <c r="W1328" s="216"/>
      <c r="X1328" s="216"/>
    </row>
    <row r="1329" spans="1:24" ht="15" customHeight="1">
      <c r="A1329" s="438" t="s">
        <v>4323</v>
      </c>
      <c r="B1329" s="689" t="s">
        <v>4324</v>
      </c>
      <c r="C1329" s="133" t="s">
        <v>105</v>
      </c>
      <c r="D1329" s="686" t="s">
        <v>4325</v>
      </c>
      <c r="E1329" s="99" t="s">
        <v>4326</v>
      </c>
      <c r="F1329" s="134" t="s">
        <v>1338</v>
      </c>
      <c r="G1329" s="99">
        <v>1</v>
      </c>
      <c r="H1329" s="99">
        <v>1</v>
      </c>
      <c r="I1329" s="99">
        <v>7</v>
      </c>
      <c r="J1329" s="125">
        <v>50</v>
      </c>
      <c r="K1329" s="114">
        <v>50</v>
      </c>
      <c r="L1329" s="338" t="s">
        <v>134</v>
      </c>
      <c r="M1329" s="216"/>
      <c r="N1329" s="216"/>
      <c r="O1329" s="216"/>
      <c r="P1329" s="216"/>
      <c r="Q1329" s="216"/>
      <c r="R1329" s="216"/>
      <c r="S1329" s="216"/>
      <c r="T1329" s="216"/>
      <c r="U1329" s="216"/>
      <c r="V1329" s="216"/>
      <c r="W1329" s="216"/>
      <c r="X1329" s="216"/>
    </row>
    <row r="1330" spans="1:24" ht="15" customHeight="1">
      <c r="A1330" s="438" t="s">
        <v>4323</v>
      </c>
      <c r="B1330" s="689" t="s">
        <v>4324</v>
      </c>
      <c r="C1330" s="133" t="s">
        <v>105</v>
      </c>
      <c r="D1330" s="686" t="s">
        <v>4327</v>
      </c>
      <c r="E1330" s="488" t="s">
        <v>4328</v>
      </c>
      <c r="F1330" s="134" t="s">
        <v>1338</v>
      </c>
      <c r="G1330" s="99">
        <v>1</v>
      </c>
      <c r="H1330" s="99">
        <v>1</v>
      </c>
      <c r="I1330" s="99">
        <v>7</v>
      </c>
      <c r="J1330" s="385">
        <v>50</v>
      </c>
      <c r="K1330" s="114">
        <v>50</v>
      </c>
      <c r="L1330" s="338" t="s">
        <v>134</v>
      </c>
      <c r="M1330" s="216"/>
      <c r="N1330" s="216"/>
      <c r="O1330" s="216"/>
      <c r="P1330" s="216"/>
      <c r="Q1330" s="216"/>
      <c r="R1330" s="216"/>
      <c r="S1330" s="216"/>
      <c r="T1330" s="216"/>
      <c r="U1330" s="216"/>
      <c r="V1330" s="216"/>
      <c r="W1330" s="216"/>
      <c r="X1330" s="216"/>
    </row>
    <row r="1331" spans="1:24" ht="15" customHeight="1">
      <c r="A1331" s="696" t="s">
        <v>4329</v>
      </c>
      <c r="B1331" s="689" t="s">
        <v>4330</v>
      </c>
      <c r="C1331" s="133" t="s">
        <v>105</v>
      </c>
      <c r="D1331" s="686" t="s">
        <v>4331</v>
      </c>
      <c r="E1331" s="438" t="s">
        <v>4332</v>
      </c>
      <c r="F1331" s="134" t="s">
        <v>1338</v>
      </c>
      <c r="G1331" s="99">
        <v>1</v>
      </c>
      <c r="H1331" s="99">
        <v>1</v>
      </c>
      <c r="I1331" s="99">
        <v>6</v>
      </c>
      <c r="J1331" s="125">
        <v>50</v>
      </c>
      <c r="K1331" s="114">
        <f t="shared" ref="K1331:K1332" si="59">J1331/H1331</f>
        <v>50</v>
      </c>
      <c r="L1331" s="338" t="s">
        <v>134</v>
      </c>
      <c r="M1331" s="216"/>
      <c r="N1331" s="216"/>
      <c r="O1331" s="216"/>
      <c r="P1331" s="216"/>
      <c r="Q1331" s="216"/>
      <c r="R1331" s="216"/>
      <c r="S1331" s="216"/>
      <c r="T1331" s="216"/>
      <c r="U1331" s="216"/>
      <c r="V1331" s="216"/>
      <c r="W1331" s="216"/>
      <c r="X1331" s="216"/>
    </row>
    <row r="1332" spans="1:24" ht="15" customHeight="1">
      <c r="A1332" s="696" t="s">
        <v>4333</v>
      </c>
      <c r="B1332" s="689" t="s">
        <v>4330</v>
      </c>
      <c r="C1332" s="133" t="s">
        <v>105</v>
      </c>
      <c r="D1332" s="686" t="s">
        <v>4334</v>
      </c>
      <c r="E1332" s="438" t="s">
        <v>4335</v>
      </c>
      <c r="F1332" s="134" t="s">
        <v>1338</v>
      </c>
      <c r="G1332" s="99">
        <v>1</v>
      </c>
      <c r="H1332" s="99">
        <v>1</v>
      </c>
      <c r="I1332" s="99">
        <v>6</v>
      </c>
      <c r="J1332" s="125">
        <v>50</v>
      </c>
      <c r="K1332" s="114">
        <f t="shared" si="59"/>
        <v>50</v>
      </c>
      <c r="L1332" s="338" t="s">
        <v>134</v>
      </c>
      <c r="M1332" s="216"/>
      <c r="N1332" s="216"/>
      <c r="O1332" s="216"/>
      <c r="P1332" s="216"/>
      <c r="Q1332" s="216"/>
      <c r="R1332" s="216"/>
      <c r="S1332" s="216"/>
      <c r="T1332" s="216"/>
      <c r="U1332" s="216"/>
      <c r="V1332" s="216"/>
      <c r="W1332" s="216"/>
      <c r="X1332" s="216"/>
    </row>
    <row r="1333" spans="1:24" ht="15" customHeight="1">
      <c r="A1333" s="438" t="s">
        <v>4336</v>
      </c>
      <c r="B1333" s="689" t="s">
        <v>3810</v>
      </c>
      <c r="C1333" s="133" t="s">
        <v>105</v>
      </c>
      <c r="D1333" s="697" t="s">
        <v>4337</v>
      </c>
      <c r="E1333" s="438" t="s">
        <v>4338</v>
      </c>
      <c r="F1333" s="134" t="s">
        <v>1338</v>
      </c>
      <c r="G1333" s="99">
        <v>12</v>
      </c>
      <c r="H1333" s="99">
        <v>2</v>
      </c>
      <c r="I1333" s="99">
        <v>12</v>
      </c>
      <c r="J1333" s="125">
        <v>50</v>
      </c>
      <c r="K1333" s="114">
        <f t="shared" ref="K1333:K1335" si="60">J1333/G1333</f>
        <v>4.166666666666667</v>
      </c>
      <c r="L1333" s="338" t="s">
        <v>134</v>
      </c>
      <c r="M1333" s="216"/>
      <c r="N1333" s="216"/>
      <c r="O1333" s="216"/>
      <c r="P1333" s="216"/>
      <c r="Q1333" s="216"/>
      <c r="R1333" s="216"/>
      <c r="S1333" s="216"/>
      <c r="T1333" s="216"/>
      <c r="U1333" s="216"/>
      <c r="V1333" s="216"/>
      <c r="W1333" s="216"/>
      <c r="X1333" s="216"/>
    </row>
    <row r="1334" spans="1:24" ht="15" customHeight="1">
      <c r="A1334" s="438" t="s">
        <v>4339</v>
      </c>
      <c r="B1334" s="689" t="s">
        <v>3810</v>
      </c>
      <c r="C1334" s="133" t="s">
        <v>105</v>
      </c>
      <c r="D1334" s="686" t="s">
        <v>4340</v>
      </c>
      <c r="E1334" s="438" t="s">
        <v>4341</v>
      </c>
      <c r="F1334" s="134" t="s">
        <v>1338</v>
      </c>
      <c r="G1334" s="99">
        <v>12</v>
      </c>
      <c r="H1334" s="99">
        <v>2</v>
      </c>
      <c r="I1334" s="99">
        <v>12</v>
      </c>
      <c r="J1334" s="125">
        <v>50</v>
      </c>
      <c r="K1334" s="114">
        <f t="shared" si="60"/>
        <v>4.166666666666667</v>
      </c>
      <c r="L1334" s="338" t="s">
        <v>134</v>
      </c>
      <c r="M1334" s="216"/>
      <c r="N1334" s="216"/>
      <c r="O1334" s="216"/>
      <c r="P1334" s="216"/>
      <c r="Q1334" s="216"/>
      <c r="R1334" s="216"/>
      <c r="S1334" s="216"/>
      <c r="T1334" s="216"/>
      <c r="U1334" s="216"/>
      <c r="V1334" s="216"/>
      <c r="W1334" s="216"/>
      <c r="X1334" s="216"/>
    </row>
    <row r="1335" spans="1:24" ht="15" customHeight="1">
      <c r="A1335" s="438" t="s">
        <v>4342</v>
      </c>
      <c r="B1335" s="689" t="s">
        <v>3810</v>
      </c>
      <c r="C1335" s="133" t="s">
        <v>105</v>
      </c>
      <c r="D1335" s="686" t="s">
        <v>4343</v>
      </c>
      <c r="E1335" s="438" t="s">
        <v>4344</v>
      </c>
      <c r="F1335" s="134" t="s">
        <v>1338</v>
      </c>
      <c r="G1335" s="99">
        <v>12</v>
      </c>
      <c r="H1335" s="99">
        <v>2</v>
      </c>
      <c r="I1335" s="99">
        <v>12</v>
      </c>
      <c r="J1335" s="125">
        <v>50</v>
      </c>
      <c r="K1335" s="114">
        <f t="shared" si="60"/>
        <v>4.166666666666667</v>
      </c>
      <c r="L1335" s="338" t="s">
        <v>134</v>
      </c>
      <c r="M1335" s="216"/>
      <c r="N1335" s="216"/>
      <c r="O1335" s="216"/>
      <c r="P1335" s="216"/>
      <c r="Q1335" s="216"/>
      <c r="R1335" s="216"/>
      <c r="S1335" s="216"/>
      <c r="T1335" s="216"/>
      <c r="U1335" s="216"/>
      <c r="V1335" s="216"/>
      <c r="W1335" s="216"/>
      <c r="X1335" s="216"/>
    </row>
    <row r="1336" spans="1:24" ht="15" customHeight="1">
      <c r="A1336" s="696" t="s">
        <v>4345</v>
      </c>
      <c r="B1336" s="689" t="s">
        <v>4346</v>
      </c>
      <c r="C1336" s="133" t="s">
        <v>105</v>
      </c>
      <c r="D1336" s="686" t="s">
        <v>4347</v>
      </c>
      <c r="E1336" s="99" t="s">
        <v>4297</v>
      </c>
      <c r="F1336" s="134" t="s">
        <v>1338</v>
      </c>
      <c r="G1336" s="99">
        <v>1</v>
      </c>
      <c r="H1336" s="99">
        <v>1</v>
      </c>
      <c r="I1336" s="99">
        <v>5</v>
      </c>
      <c r="J1336" s="385">
        <v>50</v>
      </c>
      <c r="K1336" s="114">
        <v>50</v>
      </c>
      <c r="L1336" s="338" t="s">
        <v>134</v>
      </c>
      <c r="M1336" s="216"/>
      <c r="N1336" s="216"/>
      <c r="O1336" s="216"/>
      <c r="P1336" s="216"/>
      <c r="Q1336" s="216"/>
      <c r="R1336" s="216"/>
      <c r="S1336" s="216"/>
      <c r="T1336" s="216"/>
      <c r="U1336" s="216"/>
      <c r="V1336" s="216"/>
      <c r="W1336" s="216"/>
      <c r="X1336" s="216"/>
    </row>
    <row r="1337" spans="1:24" ht="15" customHeight="1">
      <c r="A1337" s="438" t="s">
        <v>4348</v>
      </c>
      <c r="B1337" s="689" t="s">
        <v>2196</v>
      </c>
      <c r="C1337" s="133" t="s">
        <v>105</v>
      </c>
      <c r="D1337" s="686" t="s">
        <v>4349</v>
      </c>
      <c r="E1337" s="438" t="s">
        <v>4350</v>
      </c>
      <c r="F1337" s="134" t="s">
        <v>1338</v>
      </c>
      <c r="G1337" s="99">
        <v>7</v>
      </c>
      <c r="H1337" s="99">
        <v>3</v>
      </c>
      <c r="I1337" s="99">
        <v>10</v>
      </c>
      <c r="J1337" s="125">
        <v>50</v>
      </c>
      <c r="K1337" s="114">
        <f t="shared" ref="K1337:K1339" si="61">J1337/G1337</f>
        <v>7.1428571428571432</v>
      </c>
      <c r="L1337" s="338" t="s">
        <v>134</v>
      </c>
      <c r="M1337" s="216"/>
      <c r="N1337" s="216"/>
      <c r="O1337" s="216"/>
      <c r="P1337" s="216"/>
      <c r="Q1337" s="216"/>
      <c r="R1337" s="216"/>
      <c r="S1337" s="216"/>
      <c r="T1337" s="216"/>
      <c r="U1337" s="216"/>
      <c r="V1337" s="216"/>
      <c r="W1337" s="216"/>
      <c r="X1337" s="216"/>
    </row>
    <row r="1338" spans="1:24" ht="15" customHeight="1">
      <c r="A1338" s="696" t="s">
        <v>4351</v>
      </c>
      <c r="B1338" s="438" t="s">
        <v>4352</v>
      </c>
      <c r="C1338" s="133" t="s">
        <v>105</v>
      </c>
      <c r="D1338" s="686" t="s">
        <v>4353</v>
      </c>
      <c r="E1338" s="690" t="s">
        <v>4354</v>
      </c>
      <c r="F1338" s="134" t="s">
        <v>1338</v>
      </c>
      <c r="G1338" s="99">
        <v>5</v>
      </c>
      <c r="H1338" s="99">
        <v>1</v>
      </c>
      <c r="I1338" s="99">
        <v>6</v>
      </c>
      <c r="J1338" s="125">
        <v>50</v>
      </c>
      <c r="K1338" s="114">
        <f t="shared" si="61"/>
        <v>10</v>
      </c>
      <c r="L1338" s="338" t="s">
        <v>134</v>
      </c>
      <c r="M1338" s="216"/>
      <c r="N1338" s="216"/>
      <c r="O1338" s="216"/>
      <c r="P1338" s="216"/>
      <c r="Q1338" s="216"/>
      <c r="R1338" s="216"/>
      <c r="S1338" s="216"/>
      <c r="T1338" s="216"/>
      <c r="U1338" s="216"/>
      <c r="V1338" s="216"/>
      <c r="W1338" s="216"/>
      <c r="X1338" s="216"/>
    </row>
    <row r="1339" spans="1:24" ht="15" customHeight="1">
      <c r="A1339" s="438" t="s">
        <v>4355</v>
      </c>
      <c r="B1339" s="689" t="s">
        <v>4356</v>
      </c>
      <c r="C1339" s="133" t="s">
        <v>105</v>
      </c>
      <c r="D1339" s="697" t="s">
        <v>4357</v>
      </c>
      <c r="E1339" s="438" t="s">
        <v>4358</v>
      </c>
      <c r="F1339" s="134" t="s">
        <v>1338</v>
      </c>
      <c r="G1339" s="99">
        <v>3</v>
      </c>
      <c r="H1339" s="99">
        <v>1</v>
      </c>
      <c r="I1339" s="99">
        <v>7</v>
      </c>
      <c r="J1339" s="125">
        <v>50</v>
      </c>
      <c r="K1339" s="114">
        <f t="shared" si="61"/>
        <v>16.666666666666668</v>
      </c>
      <c r="L1339" s="338" t="s">
        <v>134</v>
      </c>
      <c r="M1339" s="216"/>
      <c r="N1339" s="216"/>
      <c r="O1339" s="216"/>
      <c r="P1339" s="216"/>
      <c r="Q1339" s="216"/>
      <c r="R1339" s="216"/>
      <c r="S1339" s="216"/>
      <c r="T1339" s="216"/>
      <c r="U1339" s="216"/>
      <c r="V1339" s="216"/>
      <c r="W1339" s="216"/>
      <c r="X1339" s="216"/>
    </row>
    <row r="1340" spans="1:24" ht="15" customHeight="1">
      <c r="A1340" s="686" t="s">
        <v>4359</v>
      </c>
      <c r="B1340" s="421" t="s">
        <v>980</v>
      </c>
      <c r="C1340" s="133" t="s">
        <v>105</v>
      </c>
      <c r="D1340" s="686" t="s">
        <v>4360</v>
      </c>
      <c r="E1340" s="438" t="s">
        <v>4241</v>
      </c>
      <c r="F1340" s="134" t="s">
        <v>1338</v>
      </c>
      <c r="G1340" s="99">
        <v>2</v>
      </c>
      <c r="H1340" s="99">
        <v>2</v>
      </c>
      <c r="I1340" s="99">
        <v>2</v>
      </c>
      <c r="J1340" s="125">
        <v>50</v>
      </c>
      <c r="K1340" s="114">
        <f>J1340/H1340</f>
        <v>25</v>
      </c>
      <c r="L1340" s="699" t="s">
        <v>134</v>
      </c>
      <c r="M1340" s="216"/>
      <c r="N1340" s="216"/>
      <c r="O1340" s="216"/>
      <c r="P1340" s="216"/>
      <c r="Q1340" s="216"/>
      <c r="R1340" s="216"/>
      <c r="S1340" s="216"/>
      <c r="T1340" s="216"/>
      <c r="U1340" s="216"/>
      <c r="V1340" s="216"/>
      <c r="W1340" s="216"/>
      <c r="X1340" s="216"/>
    </row>
    <row r="1341" spans="1:24" ht="15.75" customHeight="1"/>
    <row r="1342" spans="1:24" ht="15" customHeight="1">
      <c r="A1342" s="332" t="s">
        <v>169</v>
      </c>
      <c r="K1342" s="332">
        <f>SUM(K16:K1340)</f>
        <v>27190.329365079284</v>
      </c>
    </row>
    <row r="1343" spans="1:24" ht="15.75" customHeight="1"/>
    <row r="1344" spans="1:24" ht="15" customHeight="1">
      <c r="A1344" s="1231" t="s">
        <v>1156</v>
      </c>
      <c r="B1344" s="1232"/>
      <c r="C1344" s="1232"/>
      <c r="D1344" s="1232"/>
      <c r="E1344" s="1232"/>
      <c r="F1344" s="1232"/>
      <c r="G1344" s="1232"/>
      <c r="H1344" s="1233"/>
    </row>
  </sheetData>
  <mergeCells count="12">
    <mergeCell ref="A10:K10"/>
    <mergeCell ref="A11:K11"/>
    <mergeCell ref="A12:K12"/>
    <mergeCell ref="A13:K13"/>
    <mergeCell ref="A1344:H1344"/>
    <mergeCell ref="A8:K8"/>
    <mergeCell ref="A9:K9"/>
    <mergeCell ref="A2:K2"/>
    <mergeCell ref="A4:K4"/>
    <mergeCell ref="A5:K5"/>
    <mergeCell ref="A6:K6"/>
    <mergeCell ref="A7:K7"/>
  </mergeCells>
  <hyperlinks>
    <hyperlink ref="E16" r:id="rId1" xr:uid="{00000000-0004-0000-0400-000000000000}"/>
    <hyperlink ref="E17" r:id="rId2" xr:uid="{00000000-0004-0000-0400-000001000000}"/>
    <hyperlink ref="F17" r:id="rId3" xr:uid="{00000000-0004-0000-0400-000002000000}"/>
    <hyperlink ref="E18" r:id="rId4" xr:uid="{00000000-0004-0000-0400-000003000000}"/>
    <hyperlink ref="E19" r:id="rId5" xr:uid="{00000000-0004-0000-0400-000004000000}"/>
    <hyperlink ref="F19" r:id="rId6" xr:uid="{00000000-0004-0000-0400-000005000000}"/>
    <hyperlink ref="F20" r:id="rId7" xr:uid="{00000000-0004-0000-0400-000006000000}"/>
    <hyperlink ref="E21" r:id="rId8" xr:uid="{00000000-0004-0000-0400-000007000000}"/>
    <hyperlink ref="E22" r:id="rId9" xr:uid="{00000000-0004-0000-0400-000008000000}"/>
    <hyperlink ref="E33" r:id="rId10" xr:uid="{00000000-0004-0000-0400-000009000000}"/>
    <hyperlink ref="E34" r:id="rId11" xr:uid="{00000000-0004-0000-0400-00000A000000}"/>
    <hyperlink ref="E35" r:id="rId12" xr:uid="{00000000-0004-0000-0400-00000B000000}"/>
    <hyperlink ref="E36" r:id="rId13" xr:uid="{00000000-0004-0000-0400-00000C000000}"/>
    <hyperlink ref="E37" r:id="rId14" xr:uid="{00000000-0004-0000-0400-00000D000000}"/>
    <hyperlink ref="E38" r:id="rId15" xr:uid="{00000000-0004-0000-0400-00000E000000}"/>
    <hyperlink ref="E39" r:id="rId16" xr:uid="{00000000-0004-0000-0400-00000F000000}"/>
    <hyperlink ref="E40" r:id="rId17" xr:uid="{00000000-0004-0000-0400-000010000000}"/>
    <hyperlink ref="E41" r:id="rId18" xr:uid="{00000000-0004-0000-0400-000011000000}"/>
    <hyperlink ref="E42" r:id="rId19" xr:uid="{00000000-0004-0000-0400-000012000000}"/>
    <hyperlink ref="E43" r:id="rId20" xr:uid="{00000000-0004-0000-0400-000013000000}"/>
    <hyperlink ref="E44" r:id="rId21" xr:uid="{00000000-0004-0000-0400-000014000000}"/>
    <hyperlink ref="E45" r:id="rId22" xr:uid="{00000000-0004-0000-0400-000015000000}"/>
    <hyperlink ref="E46" r:id="rId23" xr:uid="{00000000-0004-0000-0400-000016000000}"/>
    <hyperlink ref="E47" r:id="rId24" xr:uid="{00000000-0004-0000-0400-000017000000}"/>
    <hyperlink ref="E48" r:id="rId25" xr:uid="{00000000-0004-0000-0400-000018000000}"/>
    <hyperlink ref="E49" r:id="rId26" xr:uid="{00000000-0004-0000-0400-000019000000}"/>
    <hyperlink ref="E50" r:id="rId27" xr:uid="{00000000-0004-0000-0400-00001A000000}"/>
    <hyperlink ref="E51" r:id="rId28" xr:uid="{00000000-0004-0000-0400-00001B000000}"/>
    <hyperlink ref="E52" r:id="rId29" xr:uid="{00000000-0004-0000-0400-00001C000000}"/>
    <hyperlink ref="E53" r:id="rId30" xr:uid="{00000000-0004-0000-0400-00001D000000}"/>
    <hyperlink ref="E54" r:id="rId31" xr:uid="{00000000-0004-0000-0400-00001E000000}"/>
    <hyperlink ref="E55" r:id="rId32" xr:uid="{00000000-0004-0000-0400-00001F000000}"/>
    <hyperlink ref="E56" r:id="rId33" xr:uid="{00000000-0004-0000-0400-000020000000}"/>
    <hyperlink ref="E57" r:id="rId34" xr:uid="{00000000-0004-0000-0400-000021000000}"/>
    <hyperlink ref="E58" r:id="rId35" xr:uid="{00000000-0004-0000-0400-000022000000}"/>
    <hyperlink ref="E59" r:id="rId36" xr:uid="{00000000-0004-0000-0400-000023000000}"/>
    <hyperlink ref="E60" r:id="rId37" xr:uid="{00000000-0004-0000-0400-000024000000}"/>
    <hyperlink ref="E61" r:id="rId38" xr:uid="{00000000-0004-0000-0400-000025000000}"/>
    <hyperlink ref="E62" r:id="rId39" xr:uid="{00000000-0004-0000-0400-000026000000}"/>
    <hyperlink ref="E63" r:id="rId40" xr:uid="{00000000-0004-0000-0400-000027000000}"/>
    <hyperlink ref="E64" r:id="rId41" xr:uid="{00000000-0004-0000-0400-000028000000}"/>
    <hyperlink ref="E65" r:id="rId42" xr:uid="{00000000-0004-0000-0400-000029000000}"/>
    <hyperlink ref="E66" r:id="rId43" xr:uid="{00000000-0004-0000-0400-00002A000000}"/>
    <hyperlink ref="E67" r:id="rId44" xr:uid="{00000000-0004-0000-0400-00002B000000}"/>
    <hyperlink ref="E68" r:id="rId45" xr:uid="{00000000-0004-0000-0400-00002C000000}"/>
    <hyperlink ref="E69" r:id="rId46" xr:uid="{00000000-0004-0000-0400-00002D000000}"/>
    <hyperlink ref="E70" r:id="rId47" xr:uid="{00000000-0004-0000-0400-00002E000000}"/>
    <hyperlink ref="E71" r:id="rId48" xr:uid="{00000000-0004-0000-0400-00002F000000}"/>
    <hyperlink ref="E72" r:id="rId49" xr:uid="{00000000-0004-0000-0400-000030000000}"/>
    <hyperlink ref="E73" r:id="rId50" xr:uid="{00000000-0004-0000-0400-000031000000}"/>
    <hyperlink ref="E74" r:id="rId51" xr:uid="{00000000-0004-0000-0400-000032000000}"/>
    <hyperlink ref="E75" r:id="rId52" xr:uid="{00000000-0004-0000-0400-000033000000}"/>
    <hyperlink ref="E76" r:id="rId53" xr:uid="{00000000-0004-0000-0400-000034000000}"/>
    <hyperlink ref="E77" r:id="rId54" xr:uid="{00000000-0004-0000-0400-000035000000}"/>
    <hyperlink ref="E78" r:id="rId55" xr:uid="{00000000-0004-0000-0400-000036000000}"/>
    <hyperlink ref="E79" r:id="rId56" xr:uid="{00000000-0004-0000-0400-000037000000}"/>
    <hyperlink ref="E80" r:id="rId57" xr:uid="{00000000-0004-0000-0400-000038000000}"/>
    <hyperlink ref="E81" r:id="rId58" xr:uid="{00000000-0004-0000-0400-000039000000}"/>
    <hyperlink ref="E82" r:id="rId59" xr:uid="{00000000-0004-0000-0400-00003A000000}"/>
    <hyperlink ref="E83" r:id="rId60" xr:uid="{00000000-0004-0000-0400-00003B000000}"/>
    <hyperlink ref="E84" r:id="rId61" xr:uid="{00000000-0004-0000-0400-00003C000000}"/>
    <hyperlink ref="E85" r:id="rId62" xr:uid="{00000000-0004-0000-0400-00003D000000}"/>
    <hyperlink ref="E86" r:id="rId63" xr:uid="{00000000-0004-0000-0400-00003E000000}"/>
    <hyperlink ref="E87" r:id="rId64" xr:uid="{00000000-0004-0000-0400-00003F000000}"/>
    <hyperlink ref="E88" r:id="rId65" xr:uid="{00000000-0004-0000-0400-000040000000}"/>
    <hyperlink ref="E89" r:id="rId66" xr:uid="{00000000-0004-0000-0400-000041000000}"/>
    <hyperlink ref="E90" r:id="rId67" xr:uid="{00000000-0004-0000-0400-000042000000}"/>
    <hyperlink ref="E91" r:id="rId68" xr:uid="{00000000-0004-0000-0400-000043000000}"/>
    <hyperlink ref="E92" r:id="rId69" xr:uid="{00000000-0004-0000-0400-000044000000}"/>
    <hyperlink ref="E93" r:id="rId70" xr:uid="{00000000-0004-0000-0400-000045000000}"/>
    <hyperlink ref="E94" r:id="rId71" xr:uid="{00000000-0004-0000-0400-000046000000}"/>
    <hyperlink ref="E95" r:id="rId72" xr:uid="{00000000-0004-0000-0400-000047000000}"/>
    <hyperlink ref="E96" r:id="rId73" xr:uid="{00000000-0004-0000-0400-000048000000}"/>
    <hyperlink ref="E97" r:id="rId74" xr:uid="{00000000-0004-0000-0400-000049000000}"/>
    <hyperlink ref="E98" r:id="rId75" xr:uid="{00000000-0004-0000-0400-00004A000000}"/>
    <hyperlink ref="E99" r:id="rId76" xr:uid="{00000000-0004-0000-0400-00004B000000}"/>
    <hyperlink ref="E100" r:id="rId77" xr:uid="{00000000-0004-0000-0400-00004C000000}"/>
    <hyperlink ref="E101" r:id="rId78" xr:uid="{00000000-0004-0000-0400-00004D000000}"/>
    <hyperlink ref="E102" r:id="rId79" xr:uid="{00000000-0004-0000-0400-00004E000000}"/>
    <hyperlink ref="E103" r:id="rId80" xr:uid="{00000000-0004-0000-0400-00004F000000}"/>
    <hyperlink ref="E104" r:id="rId81" xr:uid="{00000000-0004-0000-0400-000050000000}"/>
    <hyperlink ref="E105" r:id="rId82" xr:uid="{00000000-0004-0000-0400-000051000000}"/>
    <hyperlink ref="E106" r:id="rId83" xr:uid="{00000000-0004-0000-0400-000052000000}"/>
    <hyperlink ref="E107" r:id="rId84" xr:uid="{00000000-0004-0000-0400-000053000000}"/>
    <hyperlink ref="E108" r:id="rId85" xr:uid="{00000000-0004-0000-0400-000054000000}"/>
    <hyperlink ref="E109" r:id="rId86" xr:uid="{00000000-0004-0000-0400-000055000000}"/>
    <hyperlink ref="E110" r:id="rId87" xr:uid="{00000000-0004-0000-0400-000056000000}"/>
    <hyperlink ref="E111" r:id="rId88" xr:uid="{00000000-0004-0000-0400-000057000000}"/>
    <hyperlink ref="E112" r:id="rId89" xr:uid="{00000000-0004-0000-0400-000058000000}"/>
    <hyperlink ref="E113" r:id="rId90" xr:uid="{00000000-0004-0000-0400-000059000000}"/>
    <hyperlink ref="E114" r:id="rId91" xr:uid="{00000000-0004-0000-0400-00005A000000}"/>
    <hyperlink ref="E115" r:id="rId92" xr:uid="{00000000-0004-0000-0400-00005B000000}"/>
    <hyperlink ref="E116" r:id="rId93" xr:uid="{00000000-0004-0000-0400-00005C000000}"/>
    <hyperlink ref="E117" r:id="rId94" xr:uid="{00000000-0004-0000-0400-00005D000000}"/>
    <hyperlink ref="E118" r:id="rId95" xr:uid="{00000000-0004-0000-0400-00005E000000}"/>
    <hyperlink ref="E119" r:id="rId96" xr:uid="{00000000-0004-0000-0400-00005F000000}"/>
    <hyperlink ref="E120" r:id="rId97" xr:uid="{00000000-0004-0000-0400-000060000000}"/>
    <hyperlink ref="E121" r:id="rId98" xr:uid="{00000000-0004-0000-0400-000061000000}"/>
    <hyperlink ref="E122" r:id="rId99" xr:uid="{00000000-0004-0000-0400-000062000000}"/>
    <hyperlink ref="E123" r:id="rId100" xr:uid="{00000000-0004-0000-0400-000063000000}"/>
    <hyperlink ref="E124" r:id="rId101" xr:uid="{00000000-0004-0000-0400-000064000000}"/>
    <hyperlink ref="E125" r:id="rId102" xr:uid="{00000000-0004-0000-0400-000065000000}"/>
    <hyperlink ref="E126" r:id="rId103" xr:uid="{00000000-0004-0000-0400-000066000000}"/>
    <hyperlink ref="E127" r:id="rId104" xr:uid="{00000000-0004-0000-0400-000067000000}"/>
    <hyperlink ref="E128" r:id="rId105" xr:uid="{00000000-0004-0000-0400-000068000000}"/>
    <hyperlink ref="E129" r:id="rId106" xr:uid="{00000000-0004-0000-0400-000069000000}"/>
    <hyperlink ref="E130" r:id="rId107" xr:uid="{00000000-0004-0000-0400-00006A000000}"/>
    <hyperlink ref="E131" r:id="rId108" xr:uid="{00000000-0004-0000-0400-00006B000000}"/>
    <hyperlink ref="E132" r:id="rId109" xr:uid="{00000000-0004-0000-0400-00006C000000}"/>
    <hyperlink ref="E133" r:id="rId110" xr:uid="{00000000-0004-0000-0400-00006D000000}"/>
    <hyperlink ref="E134" r:id="rId111" xr:uid="{00000000-0004-0000-0400-00006E000000}"/>
    <hyperlink ref="E135" r:id="rId112" xr:uid="{00000000-0004-0000-0400-00006F000000}"/>
    <hyperlink ref="E136" r:id="rId113" xr:uid="{00000000-0004-0000-0400-000070000000}"/>
    <hyperlink ref="E137" r:id="rId114" xr:uid="{00000000-0004-0000-0400-000071000000}"/>
    <hyperlink ref="E138" r:id="rId115" xr:uid="{00000000-0004-0000-0400-000072000000}"/>
    <hyperlink ref="E139" r:id="rId116" xr:uid="{00000000-0004-0000-0400-000073000000}"/>
    <hyperlink ref="E140" r:id="rId117" xr:uid="{00000000-0004-0000-0400-000074000000}"/>
    <hyperlink ref="E141" r:id="rId118" xr:uid="{00000000-0004-0000-0400-000075000000}"/>
    <hyperlink ref="E142" r:id="rId119" xr:uid="{00000000-0004-0000-0400-000076000000}"/>
    <hyperlink ref="E143" r:id="rId120" xr:uid="{00000000-0004-0000-0400-000077000000}"/>
    <hyperlink ref="E144" r:id="rId121" xr:uid="{00000000-0004-0000-0400-000078000000}"/>
    <hyperlink ref="E145" r:id="rId122" xr:uid="{00000000-0004-0000-0400-000079000000}"/>
    <hyperlink ref="E146" r:id="rId123" xr:uid="{00000000-0004-0000-0400-00007A000000}"/>
    <hyperlink ref="E147" r:id="rId124" xr:uid="{00000000-0004-0000-0400-00007B000000}"/>
    <hyperlink ref="E148" r:id="rId125" xr:uid="{00000000-0004-0000-0400-00007C000000}"/>
    <hyperlink ref="E149" r:id="rId126" xr:uid="{00000000-0004-0000-0400-00007D000000}"/>
    <hyperlink ref="E150" r:id="rId127" xr:uid="{00000000-0004-0000-0400-00007E000000}"/>
    <hyperlink ref="E151" r:id="rId128" xr:uid="{00000000-0004-0000-0400-00007F000000}"/>
    <hyperlink ref="E152" r:id="rId129" xr:uid="{00000000-0004-0000-0400-000080000000}"/>
    <hyperlink ref="E153" r:id="rId130" xr:uid="{00000000-0004-0000-0400-000081000000}"/>
    <hyperlink ref="E154" r:id="rId131" xr:uid="{00000000-0004-0000-0400-000082000000}"/>
    <hyperlink ref="E155" r:id="rId132" xr:uid="{00000000-0004-0000-0400-000083000000}"/>
    <hyperlink ref="E156" r:id="rId133" xr:uid="{00000000-0004-0000-0400-000084000000}"/>
    <hyperlink ref="E157" r:id="rId134" xr:uid="{00000000-0004-0000-0400-000085000000}"/>
    <hyperlink ref="E158" r:id="rId135" xr:uid="{00000000-0004-0000-0400-000086000000}"/>
    <hyperlink ref="E159" r:id="rId136" xr:uid="{00000000-0004-0000-0400-000087000000}"/>
    <hyperlink ref="E160" r:id="rId137" xr:uid="{00000000-0004-0000-0400-000088000000}"/>
    <hyperlink ref="E161" r:id="rId138" xr:uid="{00000000-0004-0000-0400-000089000000}"/>
    <hyperlink ref="E162" r:id="rId139" xr:uid="{00000000-0004-0000-0400-00008A000000}"/>
    <hyperlink ref="E163" r:id="rId140" xr:uid="{00000000-0004-0000-0400-00008B000000}"/>
    <hyperlink ref="E164" r:id="rId141" xr:uid="{00000000-0004-0000-0400-00008C000000}"/>
    <hyperlink ref="E165" r:id="rId142" xr:uid="{00000000-0004-0000-0400-00008D000000}"/>
    <hyperlink ref="E166" r:id="rId143" xr:uid="{00000000-0004-0000-0400-00008E000000}"/>
    <hyperlink ref="E167" r:id="rId144" xr:uid="{00000000-0004-0000-0400-00008F000000}"/>
    <hyperlink ref="E168" r:id="rId145" xr:uid="{00000000-0004-0000-0400-000090000000}"/>
    <hyperlink ref="E169" r:id="rId146" xr:uid="{00000000-0004-0000-0400-000091000000}"/>
    <hyperlink ref="E170" r:id="rId147" xr:uid="{00000000-0004-0000-0400-000092000000}"/>
    <hyperlink ref="E171" r:id="rId148" xr:uid="{00000000-0004-0000-0400-000093000000}"/>
    <hyperlink ref="E172" r:id="rId149" xr:uid="{00000000-0004-0000-0400-000094000000}"/>
    <hyperlink ref="E173" r:id="rId150" xr:uid="{00000000-0004-0000-0400-000095000000}"/>
    <hyperlink ref="E174" r:id="rId151" xr:uid="{00000000-0004-0000-0400-000096000000}"/>
    <hyperlink ref="E175" r:id="rId152" xr:uid="{00000000-0004-0000-0400-000097000000}"/>
    <hyperlink ref="E176" r:id="rId153" xr:uid="{00000000-0004-0000-0400-000098000000}"/>
    <hyperlink ref="E177" r:id="rId154" xr:uid="{00000000-0004-0000-0400-000099000000}"/>
    <hyperlink ref="E178" r:id="rId155" xr:uid="{00000000-0004-0000-0400-00009A000000}"/>
    <hyperlink ref="E179" r:id="rId156" xr:uid="{00000000-0004-0000-0400-00009B000000}"/>
    <hyperlink ref="E180" r:id="rId157" xr:uid="{00000000-0004-0000-0400-00009C000000}"/>
    <hyperlink ref="E181" r:id="rId158" xr:uid="{00000000-0004-0000-0400-00009D000000}"/>
    <hyperlink ref="E182" r:id="rId159" xr:uid="{00000000-0004-0000-0400-00009E000000}"/>
    <hyperlink ref="E183" r:id="rId160" xr:uid="{00000000-0004-0000-0400-00009F000000}"/>
    <hyperlink ref="E184" r:id="rId161" xr:uid="{00000000-0004-0000-0400-0000A0000000}"/>
    <hyperlink ref="E185" r:id="rId162" xr:uid="{00000000-0004-0000-0400-0000A1000000}"/>
    <hyperlink ref="E186" r:id="rId163" xr:uid="{00000000-0004-0000-0400-0000A2000000}"/>
    <hyperlink ref="E187" r:id="rId164" xr:uid="{00000000-0004-0000-0400-0000A3000000}"/>
    <hyperlink ref="E188" r:id="rId165" xr:uid="{00000000-0004-0000-0400-0000A4000000}"/>
    <hyperlink ref="E189" r:id="rId166" xr:uid="{00000000-0004-0000-0400-0000A5000000}"/>
    <hyperlink ref="E190" r:id="rId167" xr:uid="{00000000-0004-0000-0400-0000A6000000}"/>
    <hyperlink ref="E191" r:id="rId168" xr:uid="{00000000-0004-0000-0400-0000A7000000}"/>
    <hyperlink ref="E192" r:id="rId169" xr:uid="{00000000-0004-0000-0400-0000A8000000}"/>
    <hyperlink ref="E193" r:id="rId170" xr:uid="{00000000-0004-0000-0400-0000A9000000}"/>
    <hyperlink ref="E194" r:id="rId171" xr:uid="{00000000-0004-0000-0400-0000AA000000}"/>
    <hyperlink ref="E195" r:id="rId172" xr:uid="{00000000-0004-0000-0400-0000AB000000}"/>
    <hyperlink ref="E196" r:id="rId173" xr:uid="{00000000-0004-0000-0400-0000AC000000}"/>
    <hyperlink ref="E197" r:id="rId174" xr:uid="{00000000-0004-0000-0400-0000AD000000}"/>
    <hyperlink ref="E198" r:id="rId175" xr:uid="{00000000-0004-0000-0400-0000AE000000}"/>
    <hyperlink ref="E199" r:id="rId176" xr:uid="{00000000-0004-0000-0400-0000AF000000}"/>
    <hyperlink ref="E200" r:id="rId177" xr:uid="{00000000-0004-0000-0400-0000B0000000}"/>
    <hyperlink ref="E201" r:id="rId178" xr:uid="{00000000-0004-0000-0400-0000B1000000}"/>
    <hyperlink ref="E212" r:id="rId179" xr:uid="{00000000-0004-0000-0400-0000B2000000}"/>
    <hyperlink ref="E213" r:id="rId180" xr:uid="{00000000-0004-0000-0400-0000B3000000}"/>
    <hyperlink ref="E214" r:id="rId181" xr:uid="{00000000-0004-0000-0400-0000B4000000}"/>
    <hyperlink ref="E215" r:id="rId182" xr:uid="{00000000-0004-0000-0400-0000B5000000}"/>
    <hyperlink ref="E216" r:id="rId183" xr:uid="{00000000-0004-0000-0400-0000B6000000}"/>
    <hyperlink ref="E217" r:id="rId184" xr:uid="{00000000-0004-0000-0400-0000B7000000}"/>
    <hyperlink ref="E218" r:id="rId185" xr:uid="{00000000-0004-0000-0400-0000B8000000}"/>
    <hyperlink ref="E219" r:id="rId186" xr:uid="{00000000-0004-0000-0400-0000B9000000}"/>
    <hyperlink ref="E220" r:id="rId187" xr:uid="{00000000-0004-0000-0400-0000BA000000}"/>
    <hyperlink ref="E221" r:id="rId188" xr:uid="{00000000-0004-0000-0400-0000BB000000}"/>
    <hyperlink ref="E222" r:id="rId189" xr:uid="{00000000-0004-0000-0400-0000BC000000}"/>
    <hyperlink ref="E223" r:id="rId190" xr:uid="{00000000-0004-0000-0400-0000BD000000}"/>
    <hyperlink ref="E224" r:id="rId191" xr:uid="{00000000-0004-0000-0400-0000BE000000}"/>
    <hyperlink ref="E225" r:id="rId192" xr:uid="{00000000-0004-0000-0400-0000BF000000}"/>
    <hyperlink ref="E226" r:id="rId193" xr:uid="{00000000-0004-0000-0400-0000C0000000}"/>
    <hyperlink ref="E227" r:id="rId194" xr:uid="{00000000-0004-0000-0400-0000C1000000}"/>
    <hyperlink ref="E228" r:id="rId195" xr:uid="{00000000-0004-0000-0400-0000C2000000}"/>
    <hyperlink ref="E229" r:id="rId196" xr:uid="{00000000-0004-0000-0400-0000C3000000}"/>
    <hyperlink ref="E230" r:id="rId197" xr:uid="{00000000-0004-0000-0400-0000C4000000}"/>
    <hyperlink ref="E238" r:id="rId198" xr:uid="{00000000-0004-0000-0400-0000C5000000}"/>
    <hyperlink ref="E239" r:id="rId199" xr:uid="{00000000-0004-0000-0400-0000C6000000}"/>
    <hyperlink ref="E240" r:id="rId200" xr:uid="{00000000-0004-0000-0400-0000C7000000}"/>
    <hyperlink ref="E241" r:id="rId201" xr:uid="{00000000-0004-0000-0400-0000C8000000}"/>
    <hyperlink ref="E242" r:id="rId202" xr:uid="{00000000-0004-0000-0400-0000C9000000}"/>
    <hyperlink ref="E243" r:id="rId203" xr:uid="{00000000-0004-0000-0400-0000CA000000}"/>
    <hyperlink ref="E244" r:id="rId204" xr:uid="{00000000-0004-0000-0400-0000CB000000}"/>
    <hyperlink ref="E245" r:id="rId205" xr:uid="{00000000-0004-0000-0400-0000CC000000}"/>
    <hyperlink ref="E246" r:id="rId206" xr:uid="{00000000-0004-0000-0400-0000CD000000}"/>
    <hyperlink ref="E247" r:id="rId207" xr:uid="{00000000-0004-0000-0400-0000CE000000}"/>
    <hyperlink ref="E248" r:id="rId208" xr:uid="{00000000-0004-0000-0400-0000CF000000}"/>
    <hyperlink ref="E249" r:id="rId209" xr:uid="{00000000-0004-0000-0400-0000D0000000}"/>
    <hyperlink ref="E250" r:id="rId210" xr:uid="{00000000-0004-0000-0400-0000D1000000}"/>
    <hyperlink ref="E251" r:id="rId211" xr:uid="{00000000-0004-0000-0400-0000D2000000}"/>
    <hyperlink ref="E252" r:id="rId212" xr:uid="{00000000-0004-0000-0400-0000D3000000}"/>
    <hyperlink ref="E253" r:id="rId213" xr:uid="{00000000-0004-0000-0400-0000D4000000}"/>
    <hyperlink ref="E255" r:id="rId214" xr:uid="{00000000-0004-0000-0400-0000D5000000}"/>
    <hyperlink ref="E256" r:id="rId215" xr:uid="{00000000-0004-0000-0400-0000D6000000}"/>
    <hyperlink ref="E257" r:id="rId216" xr:uid="{00000000-0004-0000-0400-0000D7000000}"/>
    <hyperlink ref="E258" r:id="rId217" xr:uid="{00000000-0004-0000-0400-0000D8000000}"/>
    <hyperlink ref="E259" r:id="rId218" xr:uid="{00000000-0004-0000-0400-0000D9000000}"/>
    <hyperlink ref="E260" r:id="rId219" xr:uid="{00000000-0004-0000-0400-0000DA000000}"/>
    <hyperlink ref="E261" r:id="rId220" xr:uid="{00000000-0004-0000-0400-0000DB000000}"/>
    <hyperlink ref="E262" r:id="rId221" xr:uid="{00000000-0004-0000-0400-0000DC000000}"/>
    <hyperlink ref="E263" r:id="rId222" xr:uid="{00000000-0004-0000-0400-0000DD000000}"/>
    <hyperlink ref="E264" r:id="rId223" xr:uid="{00000000-0004-0000-0400-0000DE000000}"/>
    <hyperlink ref="E265" r:id="rId224" xr:uid="{00000000-0004-0000-0400-0000DF000000}"/>
    <hyperlink ref="E266" r:id="rId225" xr:uid="{00000000-0004-0000-0400-0000E0000000}"/>
    <hyperlink ref="E267" r:id="rId226" xr:uid="{00000000-0004-0000-0400-0000E1000000}"/>
    <hyperlink ref="E268" r:id="rId227" xr:uid="{00000000-0004-0000-0400-0000E2000000}"/>
    <hyperlink ref="E269" r:id="rId228" xr:uid="{00000000-0004-0000-0400-0000E3000000}"/>
    <hyperlink ref="E270" r:id="rId229" xr:uid="{00000000-0004-0000-0400-0000E4000000}"/>
    <hyperlink ref="E271" r:id="rId230" xr:uid="{00000000-0004-0000-0400-0000E5000000}"/>
    <hyperlink ref="E272" r:id="rId231" xr:uid="{00000000-0004-0000-0400-0000E6000000}"/>
    <hyperlink ref="E273" r:id="rId232" xr:uid="{00000000-0004-0000-0400-0000E7000000}"/>
    <hyperlink ref="E274" r:id="rId233" xr:uid="{00000000-0004-0000-0400-0000E8000000}"/>
    <hyperlink ref="E275" r:id="rId234" xr:uid="{00000000-0004-0000-0400-0000E9000000}"/>
    <hyperlink ref="E276" r:id="rId235" xr:uid="{00000000-0004-0000-0400-0000EA000000}"/>
    <hyperlink ref="E277" r:id="rId236" xr:uid="{00000000-0004-0000-0400-0000EB000000}"/>
    <hyperlink ref="E278" r:id="rId237" xr:uid="{00000000-0004-0000-0400-0000EC000000}"/>
    <hyperlink ref="E280" r:id="rId238" xr:uid="{00000000-0004-0000-0400-0000ED000000}"/>
    <hyperlink ref="E281" r:id="rId239" xr:uid="{00000000-0004-0000-0400-0000EE000000}"/>
    <hyperlink ref="E282" r:id="rId240" xr:uid="{00000000-0004-0000-0400-0000EF000000}"/>
    <hyperlink ref="E283" r:id="rId241" xr:uid="{00000000-0004-0000-0400-0000F0000000}"/>
    <hyperlink ref="E284" r:id="rId242" xr:uid="{00000000-0004-0000-0400-0000F1000000}"/>
    <hyperlink ref="E285" r:id="rId243" xr:uid="{00000000-0004-0000-0400-0000F2000000}"/>
    <hyperlink ref="E286" r:id="rId244" xr:uid="{00000000-0004-0000-0400-0000F3000000}"/>
    <hyperlink ref="E287" r:id="rId245" xr:uid="{00000000-0004-0000-0400-0000F4000000}"/>
    <hyperlink ref="E288" r:id="rId246" xr:uid="{00000000-0004-0000-0400-0000F5000000}"/>
    <hyperlink ref="E289" r:id="rId247" xr:uid="{00000000-0004-0000-0400-0000F6000000}"/>
    <hyperlink ref="E290" r:id="rId248" xr:uid="{00000000-0004-0000-0400-0000F7000000}"/>
    <hyperlink ref="E291" r:id="rId249" xr:uid="{00000000-0004-0000-0400-0000F8000000}"/>
    <hyperlink ref="E292" r:id="rId250" xr:uid="{00000000-0004-0000-0400-0000F9000000}"/>
    <hyperlink ref="E293" r:id="rId251" xr:uid="{00000000-0004-0000-0400-0000FA000000}"/>
    <hyperlink ref="E294" r:id="rId252" xr:uid="{00000000-0004-0000-0400-0000FB000000}"/>
    <hyperlink ref="E295" r:id="rId253" xr:uid="{00000000-0004-0000-0400-0000FC000000}"/>
    <hyperlink ref="E296" r:id="rId254" xr:uid="{00000000-0004-0000-0400-0000FD000000}"/>
    <hyperlink ref="E297" r:id="rId255" xr:uid="{00000000-0004-0000-0400-0000FE000000}"/>
    <hyperlink ref="E298" r:id="rId256" xr:uid="{00000000-0004-0000-0400-0000FF000000}"/>
    <hyperlink ref="E299" r:id="rId257" xr:uid="{00000000-0004-0000-0400-000000010000}"/>
    <hyperlink ref="E300" r:id="rId258" xr:uid="{00000000-0004-0000-0400-000001010000}"/>
    <hyperlink ref="E301" r:id="rId259" xr:uid="{00000000-0004-0000-0400-000002010000}"/>
    <hyperlink ref="E302" r:id="rId260" xr:uid="{00000000-0004-0000-0400-000003010000}"/>
    <hyperlink ref="E303" r:id="rId261" xr:uid="{00000000-0004-0000-0400-000004010000}"/>
    <hyperlink ref="E304" r:id="rId262" xr:uid="{00000000-0004-0000-0400-000005010000}"/>
    <hyperlink ref="E305" r:id="rId263" xr:uid="{00000000-0004-0000-0400-000006010000}"/>
    <hyperlink ref="E306" r:id="rId264" xr:uid="{00000000-0004-0000-0400-000007010000}"/>
    <hyperlink ref="E307" r:id="rId265" xr:uid="{00000000-0004-0000-0400-000008010000}"/>
    <hyperlink ref="E308" r:id="rId266" xr:uid="{00000000-0004-0000-0400-000009010000}"/>
    <hyperlink ref="E309" r:id="rId267" xr:uid="{00000000-0004-0000-0400-00000A010000}"/>
    <hyperlink ref="E310" r:id="rId268" xr:uid="{00000000-0004-0000-0400-00000B010000}"/>
    <hyperlink ref="E311" r:id="rId269" xr:uid="{00000000-0004-0000-0400-00000C010000}"/>
    <hyperlink ref="E312" r:id="rId270" xr:uid="{00000000-0004-0000-0400-00000D010000}"/>
    <hyperlink ref="E313" r:id="rId271" xr:uid="{00000000-0004-0000-0400-00000E010000}"/>
    <hyperlink ref="E314" r:id="rId272" location="citeas" xr:uid="{00000000-0004-0000-0400-00000F010000}"/>
    <hyperlink ref="E315" r:id="rId273" xr:uid="{00000000-0004-0000-0400-000010010000}"/>
    <hyperlink ref="E316" r:id="rId274" xr:uid="{00000000-0004-0000-0400-000011010000}"/>
    <hyperlink ref="E319" r:id="rId275" xr:uid="{00000000-0004-0000-0400-000012010000}"/>
    <hyperlink ref="E320" r:id="rId276" xr:uid="{00000000-0004-0000-0400-000013010000}"/>
    <hyperlink ref="E321" r:id="rId277" xr:uid="{00000000-0004-0000-0400-000014010000}"/>
    <hyperlink ref="E322" r:id="rId278" xr:uid="{00000000-0004-0000-0400-000015010000}"/>
    <hyperlink ref="E323" r:id="rId279" xr:uid="{00000000-0004-0000-0400-000016010000}"/>
    <hyperlink ref="E324" r:id="rId280" xr:uid="{00000000-0004-0000-0400-000017010000}"/>
    <hyperlink ref="E325" r:id="rId281" xr:uid="{00000000-0004-0000-0400-000018010000}"/>
    <hyperlink ref="E326" r:id="rId282" location="!" xr:uid="{00000000-0004-0000-0400-000019010000}"/>
    <hyperlink ref="E327" r:id="rId283" location="citeas" xr:uid="{00000000-0004-0000-0400-00001A010000}"/>
    <hyperlink ref="E328" r:id="rId284" xr:uid="{00000000-0004-0000-0400-00001B010000}"/>
    <hyperlink ref="E329" r:id="rId285" xr:uid="{00000000-0004-0000-0400-00001C010000}"/>
    <hyperlink ref="E330" r:id="rId286" xr:uid="{00000000-0004-0000-0400-00001D010000}"/>
    <hyperlink ref="E331" r:id="rId287" xr:uid="{00000000-0004-0000-0400-00001E010000}"/>
    <hyperlink ref="E333" r:id="rId288" xr:uid="{00000000-0004-0000-0400-00001F010000}"/>
    <hyperlink ref="E336" r:id="rId289" xr:uid="{00000000-0004-0000-0400-000020010000}"/>
    <hyperlink ref="E337" r:id="rId290" xr:uid="{00000000-0004-0000-0400-000021010000}"/>
    <hyperlink ref="E338" r:id="rId291" xr:uid="{00000000-0004-0000-0400-000022010000}"/>
    <hyperlink ref="E339" r:id="rId292" xr:uid="{00000000-0004-0000-0400-000023010000}"/>
    <hyperlink ref="E341" r:id="rId293" xr:uid="{00000000-0004-0000-0400-000024010000}"/>
    <hyperlink ref="E342" r:id="rId294" xr:uid="{00000000-0004-0000-0400-000025010000}"/>
    <hyperlink ref="E343" r:id="rId295" xr:uid="{00000000-0004-0000-0400-000026010000}"/>
    <hyperlink ref="E344" r:id="rId296" xr:uid="{00000000-0004-0000-0400-000027010000}"/>
    <hyperlink ref="E345" r:id="rId297" xr:uid="{00000000-0004-0000-0400-000028010000}"/>
    <hyperlink ref="E346" r:id="rId298" xr:uid="{00000000-0004-0000-0400-000029010000}"/>
    <hyperlink ref="E347" r:id="rId299" xr:uid="{00000000-0004-0000-0400-00002A010000}"/>
    <hyperlink ref="E348" r:id="rId300" xr:uid="{00000000-0004-0000-0400-00002B010000}"/>
    <hyperlink ref="E349" r:id="rId301" xr:uid="{00000000-0004-0000-0400-00002C010000}"/>
    <hyperlink ref="E350" r:id="rId302" xr:uid="{00000000-0004-0000-0400-00002D010000}"/>
    <hyperlink ref="E351" r:id="rId303" xr:uid="{00000000-0004-0000-0400-00002E010000}"/>
    <hyperlink ref="E352" r:id="rId304" xr:uid="{00000000-0004-0000-0400-00002F010000}"/>
    <hyperlink ref="E353" r:id="rId305" xr:uid="{00000000-0004-0000-0400-000030010000}"/>
    <hyperlink ref="E355" r:id="rId306" xr:uid="{00000000-0004-0000-0400-000031010000}"/>
    <hyperlink ref="E356" r:id="rId307" xr:uid="{00000000-0004-0000-0400-000032010000}"/>
    <hyperlink ref="E358" r:id="rId308" xr:uid="{00000000-0004-0000-0400-000033010000}"/>
    <hyperlink ref="E359" r:id="rId309" xr:uid="{00000000-0004-0000-0400-000034010000}"/>
    <hyperlink ref="E361" r:id="rId310" xr:uid="{00000000-0004-0000-0400-000035010000}"/>
    <hyperlink ref="E362" r:id="rId311" xr:uid="{00000000-0004-0000-0400-000036010000}"/>
    <hyperlink ref="E363" r:id="rId312" xr:uid="{00000000-0004-0000-0400-000037010000}"/>
    <hyperlink ref="E364" r:id="rId313" xr:uid="{00000000-0004-0000-0400-000038010000}"/>
    <hyperlink ref="E365" r:id="rId314" xr:uid="{00000000-0004-0000-0400-000039010000}"/>
    <hyperlink ref="E366" r:id="rId315" xr:uid="{00000000-0004-0000-0400-00003A010000}"/>
    <hyperlink ref="E367" r:id="rId316" xr:uid="{00000000-0004-0000-0400-00003B010000}"/>
    <hyperlink ref="E368" r:id="rId317" xr:uid="{00000000-0004-0000-0400-00003C010000}"/>
    <hyperlink ref="E369" r:id="rId318" xr:uid="{00000000-0004-0000-0400-00003D010000}"/>
    <hyperlink ref="E370" r:id="rId319" xr:uid="{00000000-0004-0000-0400-00003E010000}"/>
    <hyperlink ref="E371" r:id="rId320" xr:uid="{00000000-0004-0000-0400-00003F010000}"/>
    <hyperlink ref="E372" r:id="rId321" xr:uid="{00000000-0004-0000-0400-000040010000}"/>
    <hyperlink ref="E374" r:id="rId322" xr:uid="{00000000-0004-0000-0400-000041010000}"/>
    <hyperlink ref="E377" r:id="rId323" xr:uid="{00000000-0004-0000-0400-000042010000}"/>
    <hyperlink ref="E395" r:id="rId324" xr:uid="{00000000-0004-0000-0400-000043010000}"/>
    <hyperlink ref="B399" r:id="rId325" xr:uid="{00000000-0004-0000-0400-000044010000}"/>
    <hyperlink ref="E399" r:id="rId326" xr:uid="{00000000-0004-0000-0400-000045010000}"/>
    <hyperlink ref="E402" r:id="rId327" xr:uid="{00000000-0004-0000-0400-000046010000}"/>
    <hyperlink ref="E403" r:id="rId328" xr:uid="{00000000-0004-0000-0400-000047010000}"/>
    <hyperlink ref="E405" r:id="rId329" xr:uid="{00000000-0004-0000-0400-000048010000}"/>
    <hyperlink ref="E406" r:id="rId330" xr:uid="{00000000-0004-0000-0400-000049010000}"/>
    <hyperlink ref="E407" r:id="rId331" xr:uid="{00000000-0004-0000-0400-00004A010000}"/>
    <hyperlink ref="E408" r:id="rId332" xr:uid="{00000000-0004-0000-0400-00004B010000}"/>
    <hyperlink ref="E409" r:id="rId333" xr:uid="{00000000-0004-0000-0400-00004C010000}"/>
    <hyperlink ref="E417" r:id="rId334" xr:uid="{00000000-0004-0000-0400-00004D010000}"/>
    <hyperlink ref="E418" r:id="rId335" xr:uid="{00000000-0004-0000-0400-00004E010000}"/>
    <hyperlink ref="E419" r:id="rId336" xr:uid="{00000000-0004-0000-0400-00004F010000}"/>
    <hyperlink ref="E420" r:id="rId337" xr:uid="{00000000-0004-0000-0400-000050010000}"/>
    <hyperlink ref="E424" r:id="rId338" xr:uid="{00000000-0004-0000-0400-000051010000}"/>
    <hyperlink ref="E428" r:id="rId339" xr:uid="{00000000-0004-0000-0400-000052010000}"/>
    <hyperlink ref="E429" r:id="rId340" xr:uid="{00000000-0004-0000-0400-000053010000}"/>
    <hyperlink ref="E430" r:id="rId341" xr:uid="{00000000-0004-0000-0400-000054010000}"/>
    <hyperlink ref="E431" r:id="rId342" xr:uid="{00000000-0004-0000-0400-000055010000}"/>
    <hyperlink ref="E432" r:id="rId343" xr:uid="{00000000-0004-0000-0400-000056010000}"/>
    <hyperlink ref="E433" r:id="rId344" xr:uid="{00000000-0004-0000-0400-000057010000}"/>
    <hyperlink ref="E434" r:id="rId345" xr:uid="{00000000-0004-0000-0400-000058010000}"/>
    <hyperlink ref="E435" r:id="rId346" xr:uid="{00000000-0004-0000-0400-000059010000}"/>
    <hyperlink ref="E436" r:id="rId347" xr:uid="{00000000-0004-0000-0400-00005A010000}"/>
    <hyperlink ref="E438" r:id="rId348" xr:uid="{00000000-0004-0000-0400-00005B010000}"/>
    <hyperlink ref="E439" r:id="rId349" xr:uid="{00000000-0004-0000-0400-00005C010000}"/>
    <hyperlink ref="E440" r:id="rId350" xr:uid="{00000000-0004-0000-0400-00005D010000}"/>
    <hyperlink ref="E441" r:id="rId351" xr:uid="{00000000-0004-0000-0400-00005E010000}"/>
    <hyperlink ref="E442" r:id="rId352" xr:uid="{00000000-0004-0000-0400-00005F010000}"/>
    <hyperlink ref="E443" r:id="rId353" xr:uid="{00000000-0004-0000-0400-000060010000}"/>
    <hyperlink ref="E444" r:id="rId354" xr:uid="{00000000-0004-0000-0400-000061010000}"/>
    <hyperlink ref="E445" r:id="rId355" xr:uid="{00000000-0004-0000-0400-000062010000}"/>
    <hyperlink ref="E446" r:id="rId356" xr:uid="{00000000-0004-0000-0400-000063010000}"/>
    <hyperlink ref="E447" r:id="rId357" xr:uid="{00000000-0004-0000-0400-000064010000}"/>
    <hyperlink ref="E448" r:id="rId358" xr:uid="{00000000-0004-0000-0400-000065010000}"/>
    <hyperlink ref="E449" r:id="rId359" xr:uid="{00000000-0004-0000-0400-000066010000}"/>
    <hyperlink ref="E450" r:id="rId360" xr:uid="{00000000-0004-0000-0400-000067010000}"/>
    <hyperlink ref="E451" r:id="rId361" xr:uid="{00000000-0004-0000-0400-000068010000}"/>
    <hyperlink ref="E452" r:id="rId362" xr:uid="{00000000-0004-0000-0400-000069010000}"/>
    <hyperlink ref="E453" r:id="rId363" xr:uid="{00000000-0004-0000-0400-00006A010000}"/>
    <hyperlink ref="E454" r:id="rId364" xr:uid="{00000000-0004-0000-0400-00006B010000}"/>
    <hyperlink ref="E455" r:id="rId365" xr:uid="{00000000-0004-0000-0400-00006C010000}"/>
    <hyperlink ref="E456" r:id="rId366" location="v=onepage&amp;q&amp;f=false" xr:uid="{00000000-0004-0000-0400-00006D010000}"/>
    <hyperlink ref="E457" r:id="rId367" xr:uid="{00000000-0004-0000-0400-00006E010000}"/>
    <hyperlink ref="E458" r:id="rId368" xr:uid="{00000000-0004-0000-0400-00006F010000}"/>
    <hyperlink ref="E459" r:id="rId369" xr:uid="{00000000-0004-0000-0400-000070010000}"/>
    <hyperlink ref="E461" r:id="rId370" xr:uid="{00000000-0004-0000-0400-000071010000}"/>
    <hyperlink ref="B462" r:id="rId371" xr:uid="{00000000-0004-0000-0400-000072010000}"/>
    <hyperlink ref="E462" r:id="rId372" xr:uid="{00000000-0004-0000-0400-000073010000}"/>
    <hyperlink ref="B463" r:id="rId373" xr:uid="{00000000-0004-0000-0400-000074010000}"/>
    <hyperlink ref="E463" r:id="rId374" xr:uid="{00000000-0004-0000-0400-000075010000}"/>
    <hyperlink ref="B464" r:id="rId375" xr:uid="{00000000-0004-0000-0400-000076010000}"/>
    <hyperlink ref="E464" r:id="rId376" xr:uid="{00000000-0004-0000-0400-000077010000}"/>
    <hyperlink ref="B465" r:id="rId377" xr:uid="{00000000-0004-0000-0400-000078010000}"/>
    <hyperlink ref="E465" r:id="rId378" xr:uid="{00000000-0004-0000-0400-000079010000}"/>
    <hyperlink ref="E466" r:id="rId379" xr:uid="{00000000-0004-0000-0400-00007A010000}"/>
    <hyperlink ref="E467" r:id="rId380" xr:uid="{00000000-0004-0000-0400-00007B010000}"/>
    <hyperlink ref="E468" r:id="rId381" xr:uid="{00000000-0004-0000-0400-00007C010000}"/>
    <hyperlink ref="E469" r:id="rId382" xr:uid="{00000000-0004-0000-0400-00007D010000}"/>
    <hyperlink ref="F469" r:id="rId383" xr:uid="{00000000-0004-0000-0400-00007E010000}"/>
    <hyperlink ref="E470" r:id="rId384" xr:uid="{00000000-0004-0000-0400-00007F010000}"/>
    <hyperlink ref="E471" r:id="rId385" xr:uid="{00000000-0004-0000-0400-000080010000}"/>
    <hyperlink ref="F471" r:id="rId386" xr:uid="{00000000-0004-0000-0400-000081010000}"/>
    <hyperlink ref="E472" r:id="rId387" xr:uid="{00000000-0004-0000-0400-000082010000}"/>
    <hyperlink ref="E473" r:id="rId388" xr:uid="{00000000-0004-0000-0400-000083010000}"/>
    <hyperlink ref="E474" r:id="rId389" xr:uid="{00000000-0004-0000-0400-000084010000}"/>
    <hyperlink ref="E476" r:id="rId390" xr:uid="{00000000-0004-0000-0400-000085010000}"/>
    <hyperlink ref="E477" r:id="rId391" xr:uid="{00000000-0004-0000-0400-000086010000}"/>
    <hyperlink ref="E478" r:id="rId392" xr:uid="{00000000-0004-0000-0400-000087010000}"/>
    <hyperlink ref="E479" r:id="rId393" xr:uid="{00000000-0004-0000-0400-000088010000}"/>
    <hyperlink ref="E480" r:id="rId394" xr:uid="{00000000-0004-0000-0400-000089010000}"/>
    <hyperlink ref="E481" r:id="rId395" xr:uid="{00000000-0004-0000-0400-00008A010000}"/>
    <hyperlink ref="E482" r:id="rId396" xr:uid="{00000000-0004-0000-0400-00008B010000}"/>
    <hyperlink ref="E483" r:id="rId397" xr:uid="{00000000-0004-0000-0400-00008C010000}"/>
    <hyperlink ref="E484" r:id="rId398" xr:uid="{00000000-0004-0000-0400-00008D010000}"/>
    <hyperlink ref="E485" r:id="rId399" xr:uid="{00000000-0004-0000-0400-00008E010000}"/>
    <hyperlink ref="E486" r:id="rId400" xr:uid="{00000000-0004-0000-0400-00008F010000}"/>
    <hyperlink ref="E489" r:id="rId401" xr:uid="{00000000-0004-0000-0400-000090010000}"/>
    <hyperlink ref="E490" r:id="rId402" xr:uid="{00000000-0004-0000-0400-000091010000}"/>
    <hyperlink ref="E491" r:id="rId403" xr:uid="{00000000-0004-0000-0400-000092010000}"/>
    <hyperlink ref="E492" r:id="rId404" xr:uid="{00000000-0004-0000-0400-000093010000}"/>
    <hyperlink ref="E493" r:id="rId405" xr:uid="{00000000-0004-0000-0400-000094010000}"/>
    <hyperlink ref="E494" r:id="rId406" xr:uid="{00000000-0004-0000-0400-000095010000}"/>
    <hyperlink ref="E495" r:id="rId407" xr:uid="{00000000-0004-0000-0400-000096010000}"/>
    <hyperlink ref="E496" r:id="rId408" xr:uid="{00000000-0004-0000-0400-000097010000}"/>
    <hyperlink ref="E497" r:id="rId409" xr:uid="{00000000-0004-0000-0400-000098010000}"/>
    <hyperlink ref="E498" r:id="rId410" xr:uid="{00000000-0004-0000-0400-000099010000}"/>
    <hyperlink ref="E499" r:id="rId411" xr:uid="{00000000-0004-0000-0400-00009A010000}"/>
    <hyperlink ref="E500" r:id="rId412" xr:uid="{00000000-0004-0000-0400-00009B010000}"/>
    <hyperlink ref="E501" r:id="rId413" xr:uid="{00000000-0004-0000-0400-00009C010000}"/>
    <hyperlink ref="E502" r:id="rId414" xr:uid="{00000000-0004-0000-0400-00009D010000}"/>
    <hyperlink ref="E503" r:id="rId415" xr:uid="{00000000-0004-0000-0400-00009E010000}"/>
    <hyperlink ref="E504" r:id="rId416" xr:uid="{00000000-0004-0000-0400-00009F010000}"/>
    <hyperlink ref="E505" r:id="rId417" xr:uid="{00000000-0004-0000-0400-0000A0010000}"/>
    <hyperlink ref="E506" r:id="rId418" xr:uid="{00000000-0004-0000-0400-0000A1010000}"/>
    <hyperlink ref="E507" r:id="rId419" xr:uid="{00000000-0004-0000-0400-0000A2010000}"/>
    <hyperlink ref="E508" r:id="rId420" xr:uid="{00000000-0004-0000-0400-0000A3010000}"/>
    <hyperlink ref="E509" r:id="rId421" xr:uid="{00000000-0004-0000-0400-0000A4010000}"/>
    <hyperlink ref="E510" r:id="rId422" xr:uid="{00000000-0004-0000-0400-0000A5010000}"/>
    <hyperlink ref="E511" r:id="rId423" xr:uid="{00000000-0004-0000-0400-0000A6010000}"/>
    <hyperlink ref="E512" r:id="rId424" xr:uid="{00000000-0004-0000-0400-0000A7010000}"/>
    <hyperlink ref="E516" r:id="rId425" xr:uid="{00000000-0004-0000-0400-0000A8010000}"/>
    <hyperlink ref="E519" r:id="rId426" xr:uid="{00000000-0004-0000-0400-0000A9010000}"/>
    <hyperlink ref="E520" r:id="rId427" xr:uid="{00000000-0004-0000-0400-0000AA010000}"/>
    <hyperlink ref="E521" r:id="rId428" xr:uid="{00000000-0004-0000-0400-0000AB010000}"/>
    <hyperlink ref="E523" r:id="rId429" xr:uid="{00000000-0004-0000-0400-0000AC010000}"/>
    <hyperlink ref="E525" r:id="rId430" xr:uid="{00000000-0004-0000-0400-0000AD010000}"/>
    <hyperlink ref="B526" r:id="rId431" xr:uid="{00000000-0004-0000-0400-0000AE010000}"/>
    <hyperlink ref="E527" r:id="rId432" xr:uid="{00000000-0004-0000-0400-0000AF010000}"/>
    <hyperlink ref="E528" r:id="rId433" xr:uid="{00000000-0004-0000-0400-0000B0010000}"/>
    <hyperlink ref="E529" r:id="rId434" xr:uid="{00000000-0004-0000-0400-0000B1010000}"/>
    <hyperlink ref="E530" r:id="rId435" xr:uid="{00000000-0004-0000-0400-0000B2010000}"/>
    <hyperlink ref="B531" r:id="rId436" xr:uid="{00000000-0004-0000-0400-0000B3010000}"/>
    <hyperlink ref="E531" r:id="rId437" xr:uid="{00000000-0004-0000-0400-0000B4010000}"/>
    <hyperlink ref="E532" r:id="rId438" xr:uid="{00000000-0004-0000-0400-0000B5010000}"/>
    <hyperlink ref="E533" r:id="rId439" xr:uid="{00000000-0004-0000-0400-0000B6010000}"/>
    <hyperlink ref="E534" r:id="rId440" xr:uid="{00000000-0004-0000-0400-0000B7010000}"/>
    <hyperlink ref="E535" r:id="rId441" xr:uid="{00000000-0004-0000-0400-0000B8010000}"/>
    <hyperlink ref="E536" r:id="rId442" xr:uid="{00000000-0004-0000-0400-0000B9010000}"/>
    <hyperlink ref="E537" r:id="rId443" xr:uid="{00000000-0004-0000-0400-0000BA010000}"/>
    <hyperlink ref="D538" r:id="rId444" xr:uid="{00000000-0004-0000-0400-0000BB010000}"/>
    <hyperlink ref="E538" r:id="rId445" xr:uid="{00000000-0004-0000-0400-0000BC010000}"/>
    <hyperlink ref="E539" r:id="rId446" xr:uid="{00000000-0004-0000-0400-0000BD010000}"/>
    <hyperlink ref="E540" r:id="rId447" xr:uid="{00000000-0004-0000-0400-0000BE010000}"/>
    <hyperlink ref="E543" r:id="rId448" xr:uid="{00000000-0004-0000-0400-0000BF010000}"/>
    <hyperlink ref="E544" r:id="rId449" xr:uid="{00000000-0004-0000-0400-0000C0010000}"/>
    <hyperlink ref="E546" r:id="rId450" xr:uid="{00000000-0004-0000-0400-0000C1010000}"/>
    <hyperlink ref="E547" r:id="rId451" xr:uid="{00000000-0004-0000-0400-0000C2010000}"/>
    <hyperlink ref="E548" r:id="rId452" xr:uid="{00000000-0004-0000-0400-0000C3010000}"/>
    <hyperlink ref="E549" r:id="rId453" xr:uid="{00000000-0004-0000-0400-0000C4010000}"/>
    <hyperlink ref="E550" r:id="rId454" xr:uid="{00000000-0004-0000-0400-0000C5010000}"/>
    <hyperlink ref="E551" r:id="rId455" xr:uid="{00000000-0004-0000-0400-0000C6010000}"/>
    <hyperlink ref="E552" r:id="rId456" xr:uid="{00000000-0004-0000-0400-0000C7010000}"/>
    <hyperlink ref="E553" r:id="rId457" xr:uid="{00000000-0004-0000-0400-0000C8010000}"/>
    <hyperlink ref="E554" r:id="rId458" xr:uid="{00000000-0004-0000-0400-0000C9010000}"/>
    <hyperlink ref="E555" r:id="rId459" xr:uid="{00000000-0004-0000-0400-0000CA010000}"/>
    <hyperlink ref="E556" r:id="rId460" xr:uid="{00000000-0004-0000-0400-0000CB010000}"/>
    <hyperlink ref="E557" r:id="rId461" xr:uid="{00000000-0004-0000-0400-0000CC010000}"/>
    <hyperlink ref="E558" r:id="rId462" xr:uid="{00000000-0004-0000-0400-0000CD010000}"/>
    <hyperlink ref="E559" r:id="rId463" xr:uid="{00000000-0004-0000-0400-0000CE010000}"/>
    <hyperlink ref="E560" r:id="rId464" xr:uid="{00000000-0004-0000-0400-0000CF010000}"/>
    <hyperlink ref="E561" r:id="rId465" xr:uid="{00000000-0004-0000-0400-0000D0010000}"/>
    <hyperlink ref="E565" r:id="rId466" xr:uid="{00000000-0004-0000-0400-0000D1010000}"/>
    <hyperlink ref="E566" r:id="rId467" xr:uid="{00000000-0004-0000-0400-0000D2010000}"/>
    <hyperlink ref="E567" r:id="rId468" xr:uid="{00000000-0004-0000-0400-0000D3010000}"/>
    <hyperlink ref="E568" r:id="rId469" xr:uid="{00000000-0004-0000-0400-0000D4010000}"/>
    <hyperlink ref="E571" r:id="rId470" xr:uid="{00000000-0004-0000-0400-0000D5010000}"/>
    <hyperlink ref="E572" r:id="rId471" xr:uid="{00000000-0004-0000-0400-0000D6010000}"/>
    <hyperlink ref="E573" r:id="rId472" xr:uid="{00000000-0004-0000-0400-0000D7010000}"/>
    <hyperlink ref="E574" r:id="rId473" xr:uid="{00000000-0004-0000-0400-0000D8010000}"/>
    <hyperlink ref="E575" r:id="rId474" xr:uid="{00000000-0004-0000-0400-0000D9010000}"/>
    <hyperlink ref="E585" r:id="rId475" xr:uid="{00000000-0004-0000-0400-0000DA010000}"/>
    <hyperlink ref="E586" r:id="rId476" xr:uid="{00000000-0004-0000-0400-0000DB010000}"/>
    <hyperlink ref="E587" r:id="rId477" xr:uid="{00000000-0004-0000-0400-0000DC010000}"/>
    <hyperlink ref="E588" r:id="rId478" xr:uid="{00000000-0004-0000-0400-0000DD010000}"/>
    <hyperlink ref="E589" r:id="rId479" xr:uid="{00000000-0004-0000-0400-0000DE010000}"/>
    <hyperlink ref="E590" r:id="rId480" xr:uid="{00000000-0004-0000-0400-0000DF010000}"/>
    <hyperlink ref="E591" r:id="rId481" xr:uid="{00000000-0004-0000-0400-0000E0010000}"/>
    <hyperlink ref="E592" r:id="rId482" xr:uid="{00000000-0004-0000-0400-0000E1010000}"/>
    <hyperlink ref="E593" r:id="rId483" xr:uid="{00000000-0004-0000-0400-0000E2010000}"/>
    <hyperlink ref="E594" r:id="rId484" xr:uid="{00000000-0004-0000-0400-0000E3010000}"/>
    <hyperlink ref="E595" r:id="rId485" xr:uid="{00000000-0004-0000-0400-0000E4010000}"/>
    <hyperlink ref="E596" r:id="rId486" xr:uid="{00000000-0004-0000-0400-0000E5010000}"/>
    <hyperlink ref="E597" r:id="rId487" xr:uid="{00000000-0004-0000-0400-0000E6010000}"/>
    <hyperlink ref="E598" r:id="rId488" xr:uid="{00000000-0004-0000-0400-0000E7010000}"/>
    <hyperlink ref="E599" r:id="rId489" xr:uid="{00000000-0004-0000-0400-0000E8010000}"/>
    <hyperlink ref="E600" r:id="rId490" xr:uid="{00000000-0004-0000-0400-0000E9010000}"/>
    <hyperlink ref="E601" r:id="rId491" xr:uid="{00000000-0004-0000-0400-0000EA010000}"/>
    <hyperlink ref="E602" r:id="rId492" xr:uid="{00000000-0004-0000-0400-0000EB010000}"/>
    <hyperlink ref="E603" r:id="rId493" xr:uid="{00000000-0004-0000-0400-0000EC010000}"/>
    <hyperlink ref="E604" r:id="rId494" xr:uid="{00000000-0004-0000-0400-0000ED010000}"/>
    <hyperlink ref="E605" r:id="rId495" xr:uid="{00000000-0004-0000-0400-0000EE010000}"/>
    <hyperlink ref="E606" r:id="rId496" xr:uid="{00000000-0004-0000-0400-0000EF010000}"/>
    <hyperlink ref="E607" r:id="rId497" xr:uid="{00000000-0004-0000-0400-0000F0010000}"/>
    <hyperlink ref="E608" r:id="rId498" xr:uid="{00000000-0004-0000-0400-0000F1010000}"/>
    <hyperlink ref="E609" r:id="rId499" xr:uid="{00000000-0004-0000-0400-0000F2010000}"/>
    <hyperlink ref="E610" r:id="rId500" xr:uid="{00000000-0004-0000-0400-0000F3010000}"/>
    <hyperlink ref="E612" r:id="rId501" xr:uid="{00000000-0004-0000-0400-0000F4010000}"/>
    <hyperlink ref="E616" r:id="rId502" xr:uid="{00000000-0004-0000-0400-0000F5010000}"/>
    <hyperlink ref="E618" r:id="rId503" xr:uid="{00000000-0004-0000-0400-0000F6010000}"/>
    <hyperlink ref="E619" r:id="rId504" xr:uid="{00000000-0004-0000-0400-0000F7010000}"/>
    <hyperlink ref="E622" r:id="rId505" xr:uid="{00000000-0004-0000-0400-0000F8010000}"/>
    <hyperlink ref="E623" r:id="rId506" xr:uid="{00000000-0004-0000-0400-0000F9010000}"/>
    <hyperlink ref="E624" r:id="rId507" xr:uid="{00000000-0004-0000-0400-0000FA010000}"/>
    <hyperlink ref="E672" r:id="rId508" xr:uid="{00000000-0004-0000-0400-0000FB010000}"/>
    <hyperlink ref="E673" r:id="rId509" xr:uid="{00000000-0004-0000-0400-0000FC010000}"/>
    <hyperlink ref="E674" r:id="rId510" xr:uid="{00000000-0004-0000-0400-0000FD010000}"/>
    <hyperlink ref="E675" r:id="rId511" xr:uid="{00000000-0004-0000-0400-0000FE010000}"/>
    <hyperlink ref="E676" r:id="rId512" xr:uid="{00000000-0004-0000-0400-0000FF010000}"/>
    <hyperlink ref="E678" r:id="rId513" xr:uid="{00000000-0004-0000-0400-000000020000}"/>
    <hyperlink ref="E682" r:id="rId514" xr:uid="{00000000-0004-0000-0400-000001020000}"/>
    <hyperlink ref="E683" r:id="rId515" xr:uid="{00000000-0004-0000-0400-000002020000}"/>
    <hyperlink ref="E684" r:id="rId516" xr:uid="{00000000-0004-0000-0400-000003020000}"/>
    <hyperlink ref="E685" r:id="rId517" xr:uid="{00000000-0004-0000-0400-000004020000}"/>
    <hyperlink ref="E686" r:id="rId518" xr:uid="{00000000-0004-0000-0400-000005020000}"/>
    <hyperlink ref="E687" r:id="rId519" xr:uid="{00000000-0004-0000-0400-000006020000}"/>
    <hyperlink ref="E688" r:id="rId520" xr:uid="{00000000-0004-0000-0400-000007020000}"/>
    <hyperlink ref="E689" r:id="rId521" xr:uid="{00000000-0004-0000-0400-000008020000}"/>
    <hyperlink ref="E690" r:id="rId522" xr:uid="{00000000-0004-0000-0400-000009020000}"/>
    <hyperlink ref="E691" r:id="rId523" xr:uid="{00000000-0004-0000-0400-00000A020000}"/>
    <hyperlink ref="E710" r:id="rId524" xr:uid="{00000000-0004-0000-0400-00000B020000}"/>
    <hyperlink ref="E711" r:id="rId525" location="bi0005" xr:uid="{00000000-0004-0000-0400-00000C020000}"/>
    <hyperlink ref="E712" r:id="rId526" xr:uid="{00000000-0004-0000-0400-00000D020000}"/>
    <hyperlink ref="E713" r:id="rId527" xr:uid="{00000000-0004-0000-0400-00000E020000}"/>
    <hyperlink ref="E714" r:id="rId528" xr:uid="{00000000-0004-0000-0400-00000F020000}"/>
    <hyperlink ref="E715" r:id="rId529" xr:uid="{00000000-0004-0000-0400-000010020000}"/>
    <hyperlink ref="E716" r:id="rId530" xr:uid="{00000000-0004-0000-0400-000011020000}"/>
    <hyperlink ref="E717" r:id="rId531" xr:uid="{00000000-0004-0000-0400-000012020000}"/>
    <hyperlink ref="E718" r:id="rId532" xr:uid="{00000000-0004-0000-0400-000013020000}"/>
    <hyperlink ref="E719" r:id="rId533" xr:uid="{00000000-0004-0000-0400-000014020000}"/>
    <hyperlink ref="E721" r:id="rId534" xr:uid="{00000000-0004-0000-0400-000015020000}"/>
    <hyperlink ref="E722" r:id="rId535" xr:uid="{00000000-0004-0000-0400-000016020000}"/>
    <hyperlink ref="E723" r:id="rId536" xr:uid="{00000000-0004-0000-0400-000017020000}"/>
    <hyperlink ref="E724" r:id="rId537" xr:uid="{00000000-0004-0000-0400-000018020000}"/>
    <hyperlink ref="E725" r:id="rId538" xr:uid="{00000000-0004-0000-0400-000019020000}"/>
    <hyperlink ref="E726" r:id="rId539" xr:uid="{00000000-0004-0000-0400-00001A020000}"/>
    <hyperlink ref="E727" r:id="rId540" xr:uid="{00000000-0004-0000-0400-00001B020000}"/>
    <hyperlink ref="E728" r:id="rId541" xr:uid="{00000000-0004-0000-0400-00001C020000}"/>
    <hyperlink ref="E729" r:id="rId542" xr:uid="{00000000-0004-0000-0400-00001D020000}"/>
    <hyperlink ref="E730" r:id="rId543" xr:uid="{00000000-0004-0000-0400-00001E020000}"/>
    <hyperlink ref="E731" r:id="rId544" xr:uid="{00000000-0004-0000-0400-00001F020000}"/>
    <hyperlink ref="E732" r:id="rId545" xr:uid="{00000000-0004-0000-0400-000020020000}"/>
    <hyperlink ref="E733" r:id="rId546" xr:uid="{00000000-0004-0000-0400-000021020000}"/>
    <hyperlink ref="E734" r:id="rId547" xr:uid="{00000000-0004-0000-0400-000022020000}"/>
    <hyperlink ref="E735" r:id="rId548" xr:uid="{00000000-0004-0000-0400-000023020000}"/>
    <hyperlink ref="E736" r:id="rId549" xr:uid="{00000000-0004-0000-0400-000024020000}"/>
    <hyperlink ref="E737" r:id="rId550" xr:uid="{00000000-0004-0000-0400-000025020000}"/>
    <hyperlink ref="E738" r:id="rId551" xr:uid="{00000000-0004-0000-0400-000026020000}"/>
    <hyperlink ref="E739" r:id="rId552" xr:uid="{00000000-0004-0000-0400-000027020000}"/>
    <hyperlink ref="E740" r:id="rId553" xr:uid="{00000000-0004-0000-0400-000028020000}"/>
    <hyperlink ref="E741" r:id="rId554" xr:uid="{00000000-0004-0000-0400-000029020000}"/>
    <hyperlink ref="E742" r:id="rId555" xr:uid="{00000000-0004-0000-0400-00002A020000}"/>
    <hyperlink ref="E743" r:id="rId556" xr:uid="{00000000-0004-0000-0400-00002B020000}"/>
    <hyperlink ref="E744" r:id="rId557" xr:uid="{00000000-0004-0000-0400-00002C020000}"/>
    <hyperlink ref="E745" r:id="rId558" xr:uid="{00000000-0004-0000-0400-00002D020000}"/>
    <hyperlink ref="E746" r:id="rId559" xr:uid="{00000000-0004-0000-0400-00002E020000}"/>
    <hyperlink ref="E747" r:id="rId560" xr:uid="{00000000-0004-0000-0400-00002F020000}"/>
    <hyperlink ref="E748" r:id="rId561" xr:uid="{00000000-0004-0000-0400-000030020000}"/>
    <hyperlink ref="E750" r:id="rId562" xr:uid="{00000000-0004-0000-0400-000031020000}"/>
    <hyperlink ref="E752" r:id="rId563" xr:uid="{00000000-0004-0000-0400-000032020000}"/>
    <hyperlink ref="E753" r:id="rId564" xr:uid="{00000000-0004-0000-0400-000033020000}"/>
    <hyperlink ref="E754" r:id="rId565" xr:uid="{00000000-0004-0000-0400-000034020000}"/>
    <hyperlink ref="E755" r:id="rId566" xr:uid="{00000000-0004-0000-0400-000035020000}"/>
    <hyperlink ref="E756" r:id="rId567" xr:uid="{00000000-0004-0000-0400-000036020000}"/>
    <hyperlink ref="E757" r:id="rId568" xr:uid="{00000000-0004-0000-0400-000037020000}"/>
    <hyperlink ref="E758" r:id="rId569" xr:uid="{00000000-0004-0000-0400-000038020000}"/>
    <hyperlink ref="E759" r:id="rId570" xr:uid="{00000000-0004-0000-0400-000039020000}"/>
    <hyperlink ref="E760" r:id="rId571" xr:uid="{00000000-0004-0000-0400-00003A020000}"/>
    <hyperlink ref="E761" r:id="rId572" xr:uid="{00000000-0004-0000-0400-00003B020000}"/>
    <hyperlink ref="E762" r:id="rId573" xr:uid="{00000000-0004-0000-0400-00003C020000}"/>
    <hyperlink ref="E763" r:id="rId574" xr:uid="{00000000-0004-0000-0400-00003D020000}"/>
    <hyperlink ref="E764" r:id="rId575" xr:uid="{00000000-0004-0000-0400-00003E020000}"/>
    <hyperlink ref="E765" r:id="rId576" xr:uid="{00000000-0004-0000-0400-00003F020000}"/>
    <hyperlink ref="E766" r:id="rId577" xr:uid="{00000000-0004-0000-0400-000040020000}"/>
    <hyperlink ref="E767" r:id="rId578" xr:uid="{00000000-0004-0000-0400-000041020000}"/>
    <hyperlink ref="E768" r:id="rId579" xr:uid="{00000000-0004-0000-0400-000042020000}"/>
    <hyperlink ref="E769" r:id="rId580" xr:uid="{00000000-0004-0000-0400-000043020000}"/>
    <hyperlink ref="E770" r:id="rId581" xr:uid="{00000000-0004-0000-0400-000044020000}"/>
    <hyperlink ref="E771" r:id="rId582" xr:uid="{00000000-0004-0000-0400-000045020000}"/>
    <hyperlink ref="E772" r:id="rId583" xr:uid="{00000000-0004-0000-0400-000046020000}"/>
    <hyperlink ref="E773" r:id="rId584" xr:uid="{00000000-0004-0000-0400-000047020000}"/>
    <hyperlink ref="E774" r:id="rId585" xr:uid="{00000000-0004-0000-0400-000048020000}"/>
    <hyperlink ref="E775" r:id="rId586" xr:uid="{00000000-0004-0000-0400-000049020000}"/>
    <hyperlink ref="E776" r:id="rId587" xr:uid="{00000000-0004-0000-0400-00004A020000}"/>
    <hyperlink ref="E777" r:id="rId588" xr:uid="{00000000-0004-0000-0400-00004B020000}"/>
    <hyperlink ref="E778" r:id="rId589" xr:uid="{00000000-0004-0000-0400-00004C020000}"/>
    <hyperlink ref="E779" r:id="rId590" xr:uid="{00000000-0004-0000-0400-00004D020000}"/>
    <hyperlink ref="E780" r:id="rId591" xr:uid="{00000000-0004-0000-0400-00004E020000}"/>
    <hyperlink ref="E781" r:id="rId592" xr:uid="{00000000-0004-0000-0400-00004F020000}"/>
    <hyperlink ref="E782" r:id="rId593" xr:uid="{00000000-0004-0000-0400-000050020000}"/>
    <hyperlink ref="E783" r:id="rId594" xr:uid="{00000000-0004-0000-0400-000051020000}"/>
    <hyperlink ref="E784" r:id="rId595" xr:uid="{00000000-0004-0000-0400-000052020000}"/>
    <hyperlink ref="E785" r:id="rId596" xr:uid="{00000000-0004-0000-0400-000053020000}"/>
    <hyperlink ref="E786" r:id="rId597" xr:uid="{00000000-0004-0000-0400-000054020000}"/>
    <hyperlink ref="E787" r:id="rId598" xr:uid="{00000000-0004-0000-0400-000055020000}"/>
    <hyperlink ref="E788" r:id="rId599" xr:uid="{00000000-0004-0000-0400-000056020000}"/>
    <hyperlink ref="E789" r:id="rId600" xr:uid="{00000000-0004-0000-0400-000057020000}"/>
    <hyperlink ref="E790" r:id="rId601" xr:uid="{00000000-0004-0000-0400-000058020000}"/>
    <hyperlink ref="E791" r:id="rId602" xr:uid="{00000000-0004-0000-0400-000059020000}"/>
    <hyperlink ref="E792" r:id="rId603" xr:uid="{00000000-0004-0000-0400-00005A020000}"/>
    <hyperlink ref="E793" r:id="rId604" xr:uid="{00000000-0004-0000-0400-00005B020000}"/>
    <hyperlink ref="E794" r:id="rId605" xr:uid="{00000000-0004-0000-0400-00005C020000}"/>
    <hyperlink ref="E795" r:id="rId606" xr:uid="{00000000-0004-0000-0400-00005D020000}"/>
    <hyperlink ref="E796" r:id="rId607" xr:uid="{00000000-0004-0000-0400-00005E020000}"/>
    <hyperlink ref="E797" r:id="rId608" xr:uid="{00000000-0004-0000-0400-00005F020000}"/>
    <hyperlink ref="E798" r:id="rId609" xr:uid="{00000000-0004-0000-0400-000060020000}"/>
    <hyperlink ref="E799" r:id="rId610" xr:uid="{00000000-0004-0000-0400-000061020000}"/>
    <hyperlink ref="E800" r:id="rId611" xr:uid="{00000000-0004-0000-0400-000062020000}"/>
    <hyperlink ref="E801" r:id="rId612" xr:uid="{00000000-0004-0000-0400-000063020000}"/>
    <hyperlink ref="E802" r:id="rId613" xr:uid="{00000000-0004-0000-0400-000064020000}"/>
    <hyperlink ref="E803" r:id="rId614" xr:uid="{00000000-0004-0000-0400-000065020000}"/>
    <hyperlink ref="E804" r:id="rId615" xr:uid="{00000000-0004-0000-0400-000066020000}"/>
    <hyperlink ref="E805" r:id="rId616" xr:uid="{00000000-0004-0000-0400-000067020000}"/>
    <hyperlink ref="E806" r:id="rId617" xr:uid="{00000000-0004-0000-0400-000068020000}"/>
    <hyperlink ref="E807" r:id="rId618" xr:uid="{00000000-0004-0000-0400-000069020000}"/>
    <hyperlink ref="E808" r:id="rId619" xr:uid="{00000000-0004-0000-0400-00006A020000}"/>
    <hyperlink ref="E812" r:id="rId620" xr:uid="{00000000-0004-0000-0400-00006B020000}"/>
    <hyperlink ref="E813" r:id="rId621" xr:uid="{00000000-0004-0000-0400-00006C020000}"/>
    <hyperlink ref="E817" r:id="rId622" xr:uid="{00000000-0004-0000-0400-00006D020000}"/>
    <hyperlink ref="B819" r:id="rId623" xr:uid="{00000000-0004-0000-0400-00006E020000}"/>
    <hyperlink ref="B822" r:id="rId624" xr:uid="{00000000-0004-0000-0400-00006F020000}"/>
    <hyperlink ref="E825" r:id="rId625" xr:uid="{00000000-0004-0000-0400-000070020000}"/>
    <hyperlink ref="E826" r:id="rId626" xr:uid="{00000000-0004-0000-0400-000071020000}"/>
    <hyperlink ref="E827" r:id="rId627" xr:uid="{00000000-0004-0000-0400-000072020000}"/>
    <hyperlink ref="E828" r:id="rId628" xr:uid="{00000000-0004-0000-0400-000073020000}"/>
    <hyperlink ref="E829" r:id="rId629" xr:uid="{00000000-0004-0000-0400-000074020000}"/>
    <hyperlink ref="E830" r:id="rId630" xr:uid="{00000000-0004-0000-0400-000075020000}"/>
    <hyperlink ref="E831" r:id="rId631" xr:uid="{00000000-0004-0000-0400-000076020000}"/>
    <hyperlink ref="E832" r:id="rId632" xr:uid="{00000000-0004-0000-0400-000077020000}"/>
    <hyperlink ref="E833" r:id="rId633" xr:uid="{00000000-0004-0000-0400-000078020000}"/>
    <hyperlink ref="E834" r:id="rId634" xr:uid="{00000000-0004-0000-0400-000079020000}"/>
    <hyperlink ref="E835" r:id="rId635" xr:uid="{00000000-0004-0000-0400-00007A020000}"/>
    <hyperlink ref="E836" r:id="rId636" xr:uid="{00000000-0004-0000-0400-00007B020000}"/>
    <hyperlink ref="E837" r:id="rId637" xr:uid="{00000000-0004-0000-0400-00007C020000}"/>
    <hyperlink ref="E838" r:id="rId638" xr:uid="{00000000-0004-0000-0400-00007D020000}"/>
    <hyperlink ref="E839" r:id="rId639" xr:uid="{00000000-0004-0000-0400-00007E020000}"/>
    <hyperlink ref="E840" r:id="rId640" xr:uid="{00000000-0004-0000-0400-00007F020000}"/>
    <hyperlink ref="E841" r:id="rId641" xr:uid="{00000000-0004-0000-0400-000080020000}"/>
    <hyperlink ref="E842" r:id="rId642" xr:uid="{00000000-0004-0000-0400-000081020000}"/>
    <hyperlink ref="E843" r:id="rId643" xr:uid="{00000000-0004-0000-0400-000082020000}"/>
    <hyperlink ref="E844" r:id="rId644" xr:uid="{00000000-0004-0000-0400-000083020000}"/>
    <hyperlink ref="E845" r:id="rId645" xr:uid="{00000000-0004-0000-0400-000084020000}"/>
    <hyperlink ref="E846" r:id="rId646" xr:uid="{00000000-0004-0000-0400-000085020000}"/>
    <hyperlink ref="E847" r:id="rId647" xr:uid="{00000000-0004-0000-0400-000086020000}"/>
    <hyperlink ref="E848" r:id="rId648" xr:uid="{00000000-0004-0000-0400-000087020000}"/>
    <hyperlink ref="E849" r:id="rId649" xr:uid="{00000000-0004-0000-0400-000088020000}"/>
    <hyperlink ref="E850" r:id="rId650" xr:uid="{00000000-0004-0000-0400-000089020000}"/>
    <hyperlink ref="E851" r:id="rId651" xr:uid="{00000000-0004-0000-0400-00008A020000}"/>
    <hyperlink ref="E852" r:id="rId652" xr:uid="{00000000-0004-0000-0400-00008B020000}"/>
    <hyperlink ref="E853" r:id="rId653" xr:uid="{00000000-0004-0000-0400-00008C020000}"/>
    <hyperlink ref="E854" r:id="rId654" xr:uid="{00000000-0004-0000-0400-00008D020000}"/>
    <hyperlink ref="E855" r:id="rId655" xr:uid="{00000000-0004-0000-0400-00008E020000}"/>
    <hyperlink ref="E856" r:id="rId656" xr:uid="{00000000-0004-0000-0400-00008F020000}"/>
    <hyperlink ref="E857" r:id="rId657" xr:uid="{00000000-0004-0000-0400-000090020000}"/>
    <hyperlink ref="E858" r:id="rId658" xr:uid="{00000000-0004-0000-0400-000091020000}"/>
    <hyperlink ref="E859" r:id="rId659" xr:uid="{00000000-0004-0000-0400-000092020000}"/>
    <hyperlink ref="E860" r:id="rId660" xr:uid="{00000000-0004-0000-0400-000093020000}"/>
    <hyperlink ref="E861" r:id="rId661" xr:uid="{00000000-0004-0000-0400-000094020000}"/>
    <hyperlink ref="E862" r:id="rId662" xr:uid="{00000000-0004-0000-0400-000095020000}"/>
    <hyperlink ref="E863" r:id="rId663" xr:uid="{00000000-0004-0000-0400-000096020000}"/>
    <hyperlink ref="E864" r:id="rId664" xr:uid="{00000000-0004-0000-0400-000097020000}"/>
    <hyperlink ref="E865" r:id="rId665" xr:uid="{00000000-0004-0000-0400-000098020000}"/>
    <hyperlink ref="E866" r:id="rId666" xr:uid="{00000000-0004-0000-0400-000099020000}"/>
    <hyperlink ref="E867" r:id="rId667" xr:uid="{00000000-0004-0000-0400-00009A020000}"/>
    <hyperlink ref="E868" r:id="rId668" xr:uid="{00000000-0004-0000-0400-00009B020000}"/>
    <hyperlink ref="E869" r:id="rId669" xr:uid="{00000000-0004-0000-0400-00009C020000}"/>
    <hyperlink ref="E870" r:id="rId670" xr:uid="{00000000-0004-0000-0400-00009D020000}"/>
    <hyperlink ref="E871" r:id="rId671" xr:uid="{00000000-0004-0000-0400-00009E020000}"/>
    <hyperlink ref="F871" r:id="rId672" xr:uid="{00000000-0004-0000-0400-00009F020000}"/>
    <hyperlink ref="E872" r:id="rId673" xr:uid="{00000000-0004-0000-0400-0000A0020000}"/>
    <hyperlink ref="F872" r:id="rId674" xr:uid="{00000000-0004-0000-0400-0000A1020000}"/>
    <hyperlink ref="E873" r:id="rId675" xr:uid="{00000000-0004-0000-0400-0000A2020000}"/>
    <hyperlink ref="F873" r:id="rId676" xr:uid="{00000000-0004-0000-0400-0000A3020000}"/>
    <hyperlink ref="E874" r:id="rId677" xr:uid="{00000000-0004-0000-0400-0000A4020000}"/>
    <hyperlink ref="F874" r:id="rId678" xr:uid="{00000000-0004-0000-0400-0000A5020000}"/>
    <hyperlink ref="E875" r:id="rId679" xr:uid="{00000000-0004-0000-0400-0000A6020000}"/>
    <hyperlink ref="F875" r:id="rId680" xr:uid="{00000000-0004-0000-0400-0000A7020000}"/>
    <hyperlink ref="E876" r:id="rId681" xr:uid="{00000000-0004-0000-0400-0000A8020000}"/>
    <hyperlink ref="F876" r:id="rId682" xr:uid="{00000000-0004-0000-0400-0000A9020000}"/>
    <hyperlink ref="E877" r:id="rId683" xr:uid="{00000000-0004-0000-0400-0000AA020000}"/>
    <hyperlink ref="F877" r:id="rId684" xr:uid="{00000000-0004-0000-0400-0000AB020000}"/>
    <hyperlink ref="E878" r:id="rId685" xr:uid="{00000000-0004-0000-0400-0000AC020000}"/>
    <hyperlink ref="F878" r:id="rId686" xr:uid="{00000000-0004-0000-0400-0000AD020000}"/>
    <hyperlink ref="E879" r:id="rId687" location="citeas" xr:uid="{00000000-0004-0000-0400-0000AE020000}"/>
    <hyperlink ref="F879" r:id="rId688" xr:uid="{00000000-0004-0000-0400-0000AF020000}"/>
    <hyperlink ref="E880" r:id="rId689" xr:uid="{00000000-0004-0000-0400-0000B0020000}"/>
    <hyperlink ref="F880" r:id="rId690" xr:uid="{00000000-0004-0000-0400-0000B1020000}"/>
    <hyperlink ref="E881" r:id="rId691" xr:uid="{00000000-0004-0000-0400-0000B2020000}"/>
    <hyperlink ref="F881" r:id="rId692" xr:uid="{00000000-0004-0000-0400-0000B3020000}"/>
    <hyperlink ref="E882" r:id="rId693" xr:uid="{00000000-0004-0000-0400-0000B4020000}"/>
    <hyperlink ref="E883" r:id="rId694" xr:uid="{00000000-0004-0000-0400-0000B5020000}"/>
    <hyperlink ref="E889" r:id="rId695" xr:uid="{00000000-0004-0000-0400-0000B6020000}"/>
    <hyperlink ref="E890" r:id="rId696" xr:uid="{00000000-0004-0000-0400-0000B7020000}"/>
    <hyperlink ref="E891" r:id="rId697" xr:uid="{00000000-0004-0000-0400-0000B8020000}"/>
    <hyperlink ref="E892" r:id="rId698" xr:uid="{00000000-0004-0000-0400-0000B9020000}"/>
    <hyperlink ref="E893" r:id="rId699" xr:uid="{00000000-0004-0000-0400-0000BA020000}"/>
    <hyperlink ref="E894" r:id="rId700" xr:uid="{00000000-0004-0000-0400-0000BB020000}"/>
    <hyperlink ref="E895" r:id="rId701" xr:uid="{00000000-0004-0000-0400-0000BC020000}"/>
    <hyperlink ref="E898" r:id="rId702" xr:uid="{00000000-0004-0000-0400-0000BD020000}"/>
    <hyperlink ref="E924" r:id="rId703" xr:uid="{00000000-0004-0000-0400-0000BE020000}"/>
    <hyperlink ref="E925" r:id="rId704" xr:uid="{00000000-0004-0000-0400-0000BF020000}"/>
    <hyperlink ref="E926" r:id="rId705" xr:uid="{00000000-0004-0000-0400-0000C0020000}"/>
    <hyperlink ref="E927" r:id="rId706" xr:uid="{00000000-0004-0000-0400-0000C1020000}"/>
    <hyperlink ref="E928" r:id="rId707" xr:uid="{00000000-0004-0000-0400-0000C2020000}"/>
    <hyperlink ref="E929" r:id="rId708" xr:uid="{00000000-0004-0000-0400-0000C3020000}"/>
    <hyperlink ref="E930" r:id="rId709" xr:uid="{00000000-0004-0000-0400-0000C4020000}"/>
    <hyperlink ref="E931" r:id="rId710" xr:uid="{00000000-0004-0000-0400-0000C5020000}"/>
    <hyperlink ref="E932" r:id="rId711" xr:uid="{00000000-0004-0000-0400-0000C6020000}"/>
    <hyperlink ref="E934" r:id="rId712" xr:uid="{00000000-0004-0000-0400-0000C7020000}"/>
    <hyperlink ref="E936" r:id="rId713" xr:uid="{00000000-0004-0000-0400-0000C8020000}"/>
    <hyperlink ref="E937" r:id="rId714" xr:uid="{00000000-0004-0000-0400-0000C9020000}"/>
    <hyperlink ref="E939" r:id="rId715" xr:uid="{00000000-0004-0000-0400-0000CA020000}"/>
    <hyperlink ref="B941" r:id="rId716" xr:uid="{00000000-0004-0000-0400-0000CB020000}"/>
    <hyperlink ref="E942" r:id="rId717" xr:uid="{00000000-0004-0000-0400-0000CC020000}"/>
    <hyperlink ref="E943" r:id="rId718" xr:uid="{00000000-0004-0000-0400-0000CD020000}"/>
    <hyperlink ref="E944" r:id="rId719" xr:uid="{00000000-0004-0000-0400-0000CE020000}"/>
    <hyperlink ref="E945" r:id="rId720" xr:uid="{00000000-0004-0000-0400-0000CF020000}"/>
    <hyperlink ref="E947" r:id="rId721" xr:uid="{00000000-0004-0000-0400-0000D0020000}"/>
    <hyperlink ref="E948" r:id="rId722" xr:uid="{00000000-0004-0000-0400-0000D1020000}"/>
    <hyperlink ref="E949" r:id="rId723" xr:uid="{00000000-0004-0000-0400-0000D2020000}"/>
    <hyperlink ref="E950" r:id="rId724" location="citeas" xr:uid="{00000000-0004-0000-0400-0000D3020000}"/>
    <hyperlink ref="E951" r:id="rId725" xr:uid="{00000000-0004-0000-0400-0000D4020000}"/>
    <hyperlink ref="E952" r:id="rId726" xr:uid="{00000000-0004-0000-0400-0000D5020000}"/>
    <hyperlink ref="E966" r:id="rId727" xr:uid="{00000000-0004-0000-0400-0000D6020000}"/>
    <hyperlink ref="E983" r:id="rId728" xr:uid="{00000000-0004-0000-0400-0000D7020000}"/>
    <hyperlink ref="E984" r:id="rId729" xr:uid="{00000000-0004-0000-0400-0000D8020000}"/>
    <hyperlink ref="E994" r:id="rId730" xr:uid="{00000000-0004-0000-0400-0000D9020000}"/>
    <hyperlink ref="E1001" r:id="rId731" xr:uid="{00000000-0004-0000-0400-0000DA020000}"/>
    <hyperlink ref="E1002" r:id="rId732" xr:uid="{00000000-0004-0000-0400-0000DB020000}"/>
    <hyperlink ref="E1005" r:id="rId733" xr:uid="{00000000-0004-0000-0400-0000DC020000}"/>
    <hyperlink ref="E1008" r:id="rId734" xr:uid="{00000000-0004-0000-0400-0000DD020000}"/>
    <hyperlink ref="E1009" r:id="rId735" xr:uid="{00000000-0004-0000-0400-0000DE020000}"/>
    <hyperlink ref="E1010" r:id="rId736" xr:uid="{00000000-0004-0000-0400-0000DF020000}"/>
    <hyperlink ref="E1011" r:id="rId737" xr:uid="{00000000-0004-0000-0400-0000E0020000}"/>
    <hyperlink ref="E1012" r:id="rId738" xr:uid="{00000000-0004-0000-0400-0000E1020000}"/>
    <hyperlink ref="E1013" r:id="rId739" xr:uid="{00000000-0004-0000-0400-0000E2020000}"/>
    <hyperlink ref="E1014" r:id="rId740" xr:uid="{00000000-0004-0000-0400-0000E3020000}"/>
    <hyperlink ref="E1018" r:id="rId741" xr:uid="{00000000-0004-0000-0400-0000E4020000}"/>
    <hyperlink ref="E1019" r:id="rId742" xr:uid="{00000000-0004-0000-0400-0000E5020000}"/>
    <hyperlink ref="E1020" r:id="rId743" xr:uid="{00000000-0004-0000-0400-0000E6020000}"/>
    <hyperlink ref="E1021" r:id="rId744" xr:uid="{00000000-0004-0000-0400-0000E7020000}"/>
    <hyperlink ref="E1022" r:id="rId745" xr:uid="{00000000-0004-0000-0400-0000E8020000}"/>
    <hyperlink ref="E1023" r:id="rId746" xr:uid="{00000000-0004-0000-0400-0000E9020000}"/>
    <hyperlink ref="E1024" r:id="rId747" xr:uid="{00000000-0004-0000-0400-0000EA020000}"/>
    <hyperlink ref="E1025" r:id="rId748" xr:uid="{00000000-0004-0000-0400-0000EB020000}"/>
    <hyperlink ref="E1026" r:id="rId749" xr:uid="{00000000-0004-0000-0400-0000EC020000}"/>
    <hyperlink ref="E1027" r:id="rId750" xr:uid="{00000000-0004-0000-0400-0000ED020000}"/>
    <hyperlink ref="E1028" r:id="rId751" xr:uid="{00000000-0004-0000-0400-0000EE020000}"/>
    <hyperlink ref="E1029" r:id="rId752" xr:uid="{00000000-0004-0000-0400-0000EF020000}"/>
    <hyperlink ref="E1030" r:id="rId753" xr:uid="{00000000-0004-0000-0400-0000F0020000}"/>
    <hyperlink ref="E1031" r:id="rId754" xr:uid="{00000000-0004-0000-0400-0000F1020000}"/>
    <hyperlink ref="E1032" r:id="rId755" xr:uid="{00000000-0004-0000-0400-0000F2020000}"/>
    <hyperlink ref="E1033" r:id="rId756" xr:uid="{00000000-0004-0000-0400-0000F3020000}"/>
    <hyperlink ref="E1034" r:id="rId757" xr:uid="{00000000-0004-0000-0400-0000F4020000}"/>
    <hyperlink ref="E1035" r:id="rId758" xr:uid="{00000000-0004-0000-0400-0000F5020000}"/>
    <hyperlink ref="E1036" r:id="rId759" xr:uid="{00000000-0004-0000-0400-0000F6020000}"/>
    <hyperlink ref="E1037" r:id="rId760" xr:uid="{00000000-0004-0000-0400-0000F7020000}"/>
    <hyperlink ref="E1038" r:id="rId761" xr:uid="{00000000-0004-0000-0400-0000F8020000}"/>
    <hyperlink ref="E1039" r:id="rId762" xr:uid="{00000000-0004-0000-0400-0000F9020000}"/>
    <hyperlink ref="E1040" r:id="rId763" xr:uid="{00000000-0004-0000-0400-0000FA020000}"/>
    <hyperlink ref="E1041" r:id="rId764" xr:uid="{00000000-0004-0000-0400-0000FB020000}"/>
    <hyperlink ref="E1042" r:id="rId765" xr:uid="{00000000-0004-0000-0400-0000FC020000}"/>
    <hyperlink ref="E1043" r:id="rId766" xr:uid="{00000000-0004-0000-0400-0000FD020000}"/>
    <hyperlink ref="E1044" r:id="rId767" xr:uid="{00000000-0004-0000-0400-0000FE020000}"/>
    <hyperlink ref="E1047" r:id="rId768" xr:uid="{00000000-0004-0000-0400-0000FF020000}"/>
    <hyperlink ref="E1050" r:id="rId769" xr:uid="{00000000-0004-0000-0400-000000030000}"/>
    <hyperlink ref="E1051" r:id="rId770" xr:uid="{00000000-0004-0000-0400-000001030000}"/>
    <hyperlink ref="E1052" r:id="rId771" xr:uid="{00000000-0004-0000-0400-000002030000}"/>
    <hyperlink ref="E1053" r:id="rId772" xr:uid="{00000000-0004-0000-0400-000003030000}"/>
    <hyperlink ref="E1054" r:id="rId773" xr:uid="{00000000-0004-0000-0400-000004030000}"/>
    <hyperlink ref="E1055" r:id="rId774" xr:uid="{00000000-0004-0000-0400-000005030000}"/>
    <hyperlink ref="E1056" r:id="rId775" xr:uid="{00000000-0004-0000-0400-000006030000}"/>
    <hyperlink ref="E1057" r:id="rId776" xr:uid="{00000000-0004-0000-0400-000007030000}"/>
    <hyperlink ref="E1058" r:id="rId777" xr:uid="{00000000-0004-0000-0400-000008030000}"/>
    <hyperlink ref="E1059" r:id="rId778" xr:uid="{00000000-0004-0000-0400-000009030000}"/>
    <hyperlink ref="E1061" r:id="rId779" xr:uid="{00000000-0004-0000-0400-00000A030000}"/>
    <hyperlink ref="E1062" r:id="rId780" xr:uid="{00000000-0004-0000-0400-00000B030000}"/>
    <hyperlink ref="E1063" r:id="rId781" location="citeas" xr:uid="{00000000-0004-0000-0400-00000C030000}"/>
    <hyperlink ref="E1064" r:id="rId782" xr:uid="{00000000-0004-0000-0400-00000D030000}"/>
    <hyperlink ref="E1065" r:id="rId783" xr:uid="{00000000-0004-0000-0400-00000E030000}"/>
    <hyperlink ref="E1066" r:id="rId784" xr:uid="{00000000-0004-0000-0400-00000F030000}"/>
    <hyperlink ref="E1069" r:id="rId785" xr:uid="{00000000-0004-0000-0400-000010030000}"/>
    <hyperlink ref="E1070" r:id="rId786" xr:uid="{00000000-0004-0000-0400-000011030000}"/>
    <hyperlink ref="E1071" r:id="rId787" xr:uid="{00000000-0004-0000-0400-000012030000}"/>
    <hyperlink ref="E1072" r:id="rId788" xr:uid="{00000000-0004-0000-0400-000013030000}"/>
    <hyperlink ref="B1073" r:id="rId789" xr:uid="{00000000-0004-0000-0400-000014030000}"/>
    <hyperlink ref="B1074" r:id="rId790" xr:uid="{00000000-0004-0000-0400-000015030000}"/>
    <hyperlink ref="B1075" r:id="rId791" xr:uid="{00000000-0004-0000-0400-000016030000}"/>
    <hyperlink ref="B1076" r:id="rId792" xr:uid="{00000000-0004-0000-0400-000017030000}"/>
    <hyperlink ref="B1077" r:id="rId793" xr:uid="{00000000-0004-0000-0400-000018030000}"/>
    <hyperlink ref="B1078" r:id="rId794" xr:uid="{00000000-0004-0000-0400-000019030000}"/>
    <hyperlink ref="B1079" r:id="rId795" xr:uid="{00000000-0004-0000-0400-00001A030000}"/>
    <hyperlink ref="B1080" r:id="rId796" xr:uid="{00000000-0004-0000-0400-00001B030000}"/>
    <hyperlink ref="E1083" r:id="rId797" xr:uid="{00000000-0004-0000-0400-00001C030000}"/>
    <hyperlink ref="E1084" r:id="rId798" xr:uid="{00000000-0004-0000-0400-00001D030000}"/>
    <hyperlink ref="E1085" r:id="rId799" xr:uid="{00000000-0004-0000-0400-00001E030000}"/>
    <hyperlink ref="E1086" r:id="rId800" xr:uid="{00000000-0004-0000-0400-00001F030000}"/>
    <hyperlink ref="E1087" r:id="rId801" xr:uid="{00000000-0004-0000-0400-000020030000}"/>
    <hyperlink ref="E1088" r:id="rId802" xr:uid="{00000000-0004-0000-0400-000021030000}"/>
    <hyperlink ref="E1089" r:id="rId803" xr:uid="{00000000-0004-0000-0400-000022030000}"/>
    <hyperlink ref="E1091" r:id="rId804" xr:uid="{00000000-0004-0000-0400-000023030000}"/>
    <hyperlink ref="E1093" r:id="rId805" xr:uid="{00000000-0004-0000-0400-000024030000}"/>
    <hyperlink ref="E1095" r:id="rId806" xr:uid="{00000000-0004-0000-0400-000025030000}"/>
    <hyperlink ref="E1097" r:id="rId807" xr:uid="{00000000-0004-0000-0400-000026030000}"/>
    <hyperlink ref="E1101" r:id="rId808" xr:uid="{00000000-0004-0000-0400-000027030000}"/>
    <hyperlink ref="E1103" r:id="rId809" xr:uid="{00000000-0004-0000-0400-000028030000}"/>
    <hyperlink ref="E1104" r:id="rId810" xr:uid="{00000000-0004-0000-0400-000029030000}"/>
    <hyperlink ref="E1105" r:id="rId811" xr:uid="{00000000-0004-0000-0400-00002A030000}"/>
    <hyperlink ref="E1106" r:id="rId812" xr:uid="{00000000-0004-0000-0400-00002B030000}"/>
    <hyperlink ref="E1107" r:id="rId813" xr:uid="{00000000-0004-0000-0400-00002C030000}"/>
    <hyperlink ref="E1108" r:id="rId814" xr:uid="{00000000-0004-0000-0400-00002D030000}"/>
    <hyperlink ref="E1109" r:id="rId815" xr:uid="{00000000-0004-0000-0400-00002E030000}"/>
    <hyperlink ref="E1110" r:id="rId816" xr:uid="{00000000-0004-0000-0400-00002F030000}"/>
    <hyperlink ref="E1111" r:id="rId817" xr:uid="{00000000-0004-0000-0400-000030030000}"/>
    <hyperlink ref="E1112" r:id="rId818" xr:uid="{00000000-0004-0000-0400-000031030000}"/>
    <hyperlink ref="E1113" r:id="rId819" xr:uid="{00000000-0004-0000-0400-000032030000}"/>
    <hyperlink ref="E1114" r:id="rId820" xr:uid="{00000000-0004-0000-0400-000033030000}"/>
    <hyperlink ref="E1115" r:id="rId821" xr:uid="{00000000-0004-0000-0400-000034030000}"/>
    <hyperlink ref="E1116" r:id="rId822" xr:uid="{00000000-0004-0000-0400-000035030000}"/>
    <hyperlink ref="E1117" r:id="rId823" xr:uid="{00000000-0004-0000-0400-000036030000}"/>
    <hyperlink ref="E1118" r:id="rId824" xr:uid="{00000000-0004-0000-0400-000037030000}"/>
    <hyperlink ref="E1119" r:id="rId825" xr:uid="{00000000-0004-0000-0400-000038030000}"/>
    <hyperlink ref="E1120" r:id="rId826" xr:uid="{00000000-0004-0000-0400-000039030000}"/>
    <hyperlink ref="E1121" r:id="rId827" xr:uid="{00000000-0004-0000-0400-00003A030000}"/>
    <hyperlink ref="E1122" r:id="rId828" xr:uid="{00000000-0004-0000-0400-00003B030000}"/>
    <hyperlink ref="E1123" r:id="rId829" xr:uid="{00000000-0004-0000-0400-00003C030000}"/>
    <hyperlink ref="E1124" r:id="rId830" xr:uid="{00000000-0004-0000-0400-00003D030000}"/>
    <hyperlink ref="E1125" r:id="rId831" xr:uid="{00000000-0004-0000-0400-00003E030000}"/>
    <hyperlink ref="E1126" r:id="rId832" xr:uid="{00000000-0004-0000-0400-00003F030000}"/>
    <hyperlink ref="E1127" r:id="rId833" xr:uid="{00000000-0004-0000-0400-000040030000}"/>
    <hyperlink ref="E1128" r:id="rId834" xr:uid="{00000000-0004-0000-0400-000041030000}"/>
    <hyperlink ref="E1129" r:id="rId835" xr:uid="{00000000-0004-0000-0400-000042030000}"/>
    <hyperlink ref="E1130" r:id="rId836" xr:uid="{00000000-0004-0000-0400-000043030000}"/>
    <hyperlink ref="E1131" r:id="rId837" xr:uid="{00000000-0004-0000-0400-000044030000}"/>
    <hyperlink ref="E1132" r:id="rId838" xr:uid="{00000000-0004-0000-0400-000045030000}"/>
    <hyperlink ref="E1133" r:id="rId839" xr:uid="{00000000-0004-0000-0400-000046030000}"/>
    <hyperlink ref="E1134" r:id="rId840" xr:uid="{00000000-0004-0000-0400-000047030000}"/>
    <hyperlink ref="E1135" r:id="rId841" xr:uid="{00000000-0004-0000-0400-000048030000}"/>
    <hyperlink ref="E1136" r:id="rId842" xr:uid="{00000000-0004-0000-0400-000049030000}"/>
    <hyperlink ref="E1137" r:id="rId843" xr:uid="{00000000-0004-0000-0400-00004A030000}"/>
    <hyperlink ref="E1138" r:id="rId844" xr:uid="{00000000-0004-0000-0400-00004B030000}"/>
    <hyperlink ref="E1139" r:id="rId845" xr:uid="{00000000-0004-0000-0400-00004C030000}"/>
    <hyperlink ref="E1140" r:id="rId846" xr:uid="{00000000-0004-0000-0400-00004D030000}"/>
    <hyperlink ref="E1141" r:id="rId847" xr:uid="{00000000-0004-0000-0400-00004E030000}"/>
    <hyperlink ref="E1142" r:id="rId848" xr:uid="{00000000-0004-0000-0400-00004F030000}"/>
    <hyperlink ref="E1143" r:id="rId849" xr:uid="{00000000-0004-0000-0400-000050030000}"/>
    <hyperlink ref="E1144" r:id="rId850" xr:uid="{00000000-0004-0000-0400-000051030000}"/>
    <hyperlink ref="E1145" r:id="rId851" xr:uid="{00000000-0004-0000-0400-000052030000}"/>
    <hyperlink ref="E1146" r:id="rId852" xr:uid="{00000000-0004-0000-0400-000053030000}"/>
    <hyperlink ref="E1147" r:id="rId853" xr:uid="{00000000-0004-0000-0400-000054030000}"/>
    <hyperlink ref="E1148" r:id="rId854" xr:uid="{00000000-0004-0000-0400-000055030000}"/>
    <hyperlink ref="E1149" r:id="rId855" xr:uid="{00000000-0004-0000-0400-000056030000}"/>
    <hyperlink ref="E1150" r:id="rId856" xr:uid="{00000000-0004-0000-0400-000057030000}"/>
    <hyperlink ref="E1151" r:id="rId857" xr:uid="{00000000-0004-0000-0400-000058030000}"/>
    <hyperlink ref="E1152" r:id="rId858" xr:uid="{00000000-0004-0000-0400-000059030000}"/>
    <hyperlink ref="E1153" r:id="rId859" xr:uid="{00000000-0004-0000-0400-00005A030000}"/>
    <hyperlink ref="E1154" r:id="rId860" xr:uid="{00000000-0004-0000-0400-00005B030000}"/>
    <hyperlink ref="E1155" r:id="rId861" xr:uid="{00000000-0004-0000-0400-00005C030000}"/>
    <hyperlink ref="E1156" r:id="rId862" xr:uid="{00000000-0004-0000-0400-00005D030000}"/>
    <hyperlink ref="E1157" r:id="rId863" xr:uid="{00000000-0004-0000-0400-00005E030000}"/>
    <hyperlink ref="E1158" r:id="rId864" xr:uid="{00000000-0004-0000-0400-00005F030000}"/>
    <hyperlink ref="E1159" r:id="rId865" xr:uid="{00000000-0004-0000-0400-000060030000}"/>
    <hyperlink ref="E1160" r:id="rId866" xr:uid="{00000000-0004-0000-0400-000061030000}"/>
    <hyperlink ref="E1161" r:id="rId867" xr:uid="{00000000-0004-0000-0400-000062030000}"/>
    <hyperlink ref="E1162" r:id="rId868" xr:uid="{00000000-0004-0000-0400-000063030000}"/>
    <hyperlink ref="E1163" r:id="rId869" xr:uid="{00000000-0004-0000-0400-000064030000}"/>
    <hyperlink ref="E1164" r:id="rId870" xr:uid="{00000000-0004-0000-0400-000065030000}"/>
    <hyperlink ref="E1165" r:id="rId871" xr:uid="{00000000-0004-0000-0400-000066030000}"/>
    <hyperlink ref="E1166" r:id="rId872" xr:uid="{00000000-0004-0000-0400-000067030000}"/>
    <hyperlink ref="E1167" r:id="rId873" xr:uid="{00000000-0004-0000-0400-000068030000}"/>
    <hyperlink ref="E1168" r:id="rId874" xr:uid="{00000000-0004-0000-0400-000069030000}"/>
    <hyperlink ref="E1169" r:id="rId875" xr:uid="{00000000-0004-0000-0400-00006A030000}"/>
    <hyperlink ref="E1170" r:id="rId876" xr:uid="{00000000-0004-0000-0400-00006B030000}"/>
    <hyperlink ref="E1171" r:id="rId877" xr:uid="{00000000-0004-0000-0400-00006C030000}"/>
    <hyperlink ref="E1172" r:id="rId878" xr:uid="{00000000-0004-0000-0400-00006D030000}"/>
    <hyperlink ref="E1173" r:id="rId879" xr:uid="{00000000-0004-0000-0400-00006E030000}"/>
    <hyperlink ref="E1174" r:id="rId880" xr:uid="{00000000-0004-0000-0400-00006F030000}"/>
    <hyperlink ref="E1175" r:id="rId881" xr:uid="{00000000-0004-0000-0400-000070030000}"/>
    <hyperlink ref="E1176" r:id="rId882" xr:uid="{00000000-0004-0000-0400-000071030000}"/>
    <hyperlink ref="E1177" r:id="rId883" xr:uid="{00000000-0004-0000-0400-000072030000}"/>
    <hyperlink ref="E1178" r:id="rId884" xr:uid="{00000000-0004-0000-0400-000073030000}"/>
    <hyperlink ref="E1179" r:id="rId885" xr:uid="{00000000-0004-0000-0400-000074030000}"/>
    <hyperlink ref="E1180" r:id="rId886" xr:uid="{00000000-0004-0000-0400-000075030000}"/>
    <hyperlink ref="E1181" r:id="rId887" xr:uid="{00000000-0004-0000-0400-000076030000}"/>
    <hyperlink ref="E1182" r:id="rId888" xr:uid="{00000000-0004-0000-0400-000077030000}"/>
    <hyperlink ref="E1183" r:id="rId889" xr:uid="{00000000-0004-0000-0400-000078030000}"/>
    <hyperlink ref="E1184" r:id="rId890" xr:uid="{00000000-0004-0000-0400-000079030000}"/>
    <hyperlink ref="E1185" r:id="rId891" xr:uid="{00000000-0004-0000-0400-00007A030000}"/>
    <hyperlink ref="E1186" r:id="rId892" xr:uid="{00000000-0004-0000-0400-00007B030000}"/>
    <hyperlink ref="E1187" r:id="rId893" xr:uid="{00000000-0004-0000-0400-00007C030000}"/>
    <hyperlink ref="E1188" r:id="rId894" xr:uid="{00000000-0004-0000-0400-00007D030000}"/>
    <hyperlink ref="E1189" r:id="rId895" xr:uid="{00000000-0004-0000-0400-00007E030000}"/>
    <hyperlink ref="E1190" r:id="rId896" xr:uid="{00000000-0004-0000-0400-00007F030000}"/>
    <hyperlink ref="E1191" r:id="rId897" xr:uid="{00000000-0004-0000-0400-000080030000}"/>
    <hyperlink ref="E1192" r:id="rId898" xr:uid="{00000000-0004-0000-0400-000081030000}"/>
    <hyperlink ref="E1193" r:id="rId899" xr:uid="{00000000-0004-0000-0400-000082030000}"/>
    <hyperlink ref="E1194" r:id="rId900" xr:uid="{00000000-0004-0000-0400-000083030000}"/>
    <hyperlink ref="E1195" r:id="rId901" xr:uid="{00000000-0004-0000-0400-000084030000}"/>
    <hyperlink ref="E1196" r:id="rId902" xr:uid="{00000000-0004-0000-0400-000085030000}"/>
    <hyperlink ref="E1197" r:id="rId903" xr:uid="{00000000-0004-0000-0400-000086030000}"/>
    <hyperlink ref="E1198" r:id="rId904" xr:uid="{00000000-0004-0000-0400-000087030000}"/>
    <hyperlink ref="E1199" r:id="rId905" xr:uid="{00000000-0004-0000-0400-000088030000}"/>
    <hyperlink ref="E1200" r:id="rId906" xr:uid="{00000000-0004-0000-0400-000089030000}"/>
    <hyperlink ref="E1201" r:id="rId907" xr:uid="{00000000-0004-0000-0400-00008A030000}"/>
    <hyperlink ref="E1202" r:id="rId908" xr:uid="{00000000-0004-0000-0400-00008B030000}"/>
    <hyperlink ref="E1203" r:id="rId909" xr:uid="{00000000-0004-0000-0400-00008C030000}"/>
    <hyperlink ref="E1204" r:id="rId910" xr:uid="{00000000-0004-0000-0400-00008D030000}"/>
    <hyperlink ref="E1205" r:id="rId911" xr:uid="{00000000-0004-0000-0400-00008E030000}"/>
    <hyperlink ref="E1206" r:id="rId912" xr:uid="{00000000-0004-0000-0400-00008F030000}"/>
    <hyperlink ref="E1207" r:id="rId913" xr:uid="{00000000-0004-0000-0400-000090030000}"/>
    <hyperlink ref="E1208" r:id="rId914" xr:uid="{00000000-0004-0000-0400-000091030000}"/>
    <hyperlink ref="E1209" r:id="rId915" xr:uid="{00000000-0004-0000-0400-000092030000}"/>
    <hyperlink ref="E1210" r:id="rId916" xr:uid="{00000000-0004-0000-0400-000093030000}"/>
    <hyperlink ref="E1211" r:id="rId917" xr:uid="{00000000-0004-0000-0400-000094030000}"/>
    <hyperlink ref="E1212" r:id="rId918" xr:uid="{00000000-0004-0000-0400-000095030000}"/>
    <hyperlink ref="E1213" r:id="rId919" xr:uid="{00000000-0004-0000-0400-000096030000}"/>
    <hyperlink ref="E1214" r:id="rId920" xr:uid="{00000000-0004-0000-0400-000097030000}"/>
    <hyperlink ref="E1215" r:id="rId921" xr:uid="{00000000-0004-0000-0400-000098030000}"/>
    <hyperlink ref="E1216" r:id="rId922" xr:uid="{00000000-0004-0000-0400-000099030000}"/>
    <hyperlink ref="E1217" r:id="rId923" xr:uid="{00000000-0004-0000-0400-00009A030000}"/>
    <hyperlink ref="E1218" r:id="rId924" xr:uid="{00000000-0004-0000-0400-00009B030000}"/>
    <hyperlink ref="E1219" r:id="rId925" xr:uid="{00000000-0004-0000-0400-00009C030000}"/>
    <hyperlink ref="E1220" r:id="rId926" xr:uid="{00000000-0004-0000-0400-00009D030000}"/>
    <hyperlink ref="E1221" r:id="rId927" xr:uid="{00000000-0004-0000-0400-00009E030000}"/>
    <hyperlink ref="E1222" r:id="rId928" xr:uid="{00000000-0004-0000-0400-00009F030000}"/>
    <hyperlink ref="E1223" r:id="rId929" xr:uid="{00000000-0004-0000-0400-0000A0030000}"/>
    <hyperlink ref="E1224" r:id="rId930" xr:uid="{00000000-0004-0000-0400-0000A1030000}"/>
    <hyperlink ref="E1225" r:id="rId931" xr:uid="{00000000-0004-0000-0400-0000A2030000}"/>
    <hyperlink ref="E1226" r:id="rId932" xr:uid="{00000000-0004-0000-0400-0000A3030000}"/>
    <hyperlink ref="E1227" r:id="rId933" xr:uid="{00000000-0004-0000-0400-0000A4030000}"/>
    <hyperlink ref="E1228" r:id="rId934" xr:uid="{00000000-0004-0000-0400-0000A5030000}"/>
    <hyperlink ref="E1229" r:id="rId935" xr:uid="{00000000-0004-0000-0400-0000A6030000}"/>
    <hyperlink ref="E1230" r:id="rId936" xr:uid="{00000000-0004-0000-0400-0000A7030000}"/>
    <hyperlink ref="E1231" r:id="rId937" xr:uid="{00000000-0004-0000-0400-0000A8030000}"/>
    <hyperlink ref="E1232" r:id="rId938" xr:uid="{00000000-0004-0000-0400-0000A9030000}"/>
    <hyperlink ref="E1237" r:id="rId939" xr:uid="{00000000-0004-0000-0400-0000AA030000}"/>
    <hyperlink ref="E1254" r:id="rId940" xr:uid="{00000000-0004-0000-0400-0000AB030000}"/>
    <hyperlink ref="E1259" r:id="rId941" xr:uid="{00000000-0004-0000-0400-0000AC030000}"/>
    <hyperlink ref="E1260" r:id="rId942" xr:uid="{00000000-0004-0000-0400-0000AD030000}"/>
    <hyperlink ref="E1261" r:id="rId943" xr:uid="{00000000-0004-0000-0400-0000AE030000}"/>
    <hyperlink ref="E1262" r:id="rId944" xr:uid="{00000000-0004-0000-0400-0000AF030000}"/>
    <hyperlink ref="E1264" r:id="rId945" xr:uid="{00000000-0004-0000-0400-0000B0030000}"/>
    <hyperlink ref="E1266" r:id="rId946" xr:uid="{00000000-0004-0000-0400-0000B1030000}"/>
    <hyperlink ref="E1267" r:id="rId947" xr:uid="{00000000-0004-0000-0400-0000B2030000}"/>
    <hyperlink ref="E1268" r:id="rId948" xr:uid="{00000000-0004-0000-0400-0000B3030000}"/>
    <hyperlink ref="E1269" r:id="rId949" xr:uid="{00000000-0004-0000-0400-0000B4030000}"/>
    <hyperlink ref="E1270" r:id="rId950" xr:uid="{00000000-0004-0000-0400-0000B5030000}"/>
    <hyperlink ref="E1275" r:id="rId951" xr:uid="{00000000-0004-0000-0400-0000B6030000}"/>
    <hyperlink ref="E1276" r:id="rId952" xr:uid="{00000000-0004-0000-0400-0000B7030000}"/>
    <hyperlink ref="E1277" r:id="rId953" location="citeas" xr:uid="{00000000-0004-0000-0400-0000B8030000}"/>
    <hyperlink ref="E1283" r:id="rId954" xr:uid="{00000000-0004-0000-0400-0000B9030000}"/>
    <hyperlink ref="E1284" r:id="rId955" xr:uid="{00000000-0004-0000-0400-0000BA030000}"/>
    <hyperlink ref="E1285" r:id="rId956" xr:uid="{00000000-0004-0000-0400-0000BB030000}"/>
    <hyperlink ref="E1287" r:id="rId957" xr:uid="{00000000-0004-0000-0400-0000BC030000}"/>
    <hyperlink ref="E1289" r:id="rId958" xr:uid="{00000000-0004-0000-0400-0000BD030000}"/>
    <hyperlink ref="D1298" r:id="rId959" xr:uid="{00000000-0004-0000-0400-0000BE030000}"/>
    <hyperlink ref="D1313" r:id="rId960" xr:uid="{00000000-0004-0000-0400-0000BF030000}"/>
    <hyperlink ref="E1323" r:id="rId961" xr:uid="{00000000-0004-0000-0400-0000C0030000}"/>
    <hyperlink ref="D1325" r:id="rId962" xr:uid="{00000000-0004-0000-0400-0000C1030000}"/>
    <hyperlink ref="E1330" r:id="rId963" xr:uid="{00000000-0004-0000-0400-0000C2030000}"/>
    <hyperlink ref="B1340" r:id="rId964" xr:uid="{00000000-0004-0000-0400-0000C303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Y1000"/>
  <sheetViews>
    <sheetView workbookViewId="0"/>
  </sheetViews>
  <sheetFormatPr defaultColWidth="14.3984375" defaultRowHeight="15" customHeight="1"/>
  <cols>
    <col min="1" max="1" width="22.1328125" customWidth="1"/>
    <col min="2" max="2" width="9.73046875" customWidth="1"/>
    <col min="3" max="3" width="10.73046875" customWidth="1"/>
    <col min="4" max="4" width="12.3984375" customWidth="1"/>
    <col min="5" max="5" width="7" customWidth="1"/>
    <col min="6" max="6" width="9.1328125" customWidth="1"/>
    <col min="7" max="7" width="12.73046875" customWidth="1"/>
    <col min="8" max="10" width="15" customWidth="1"/>
    <col min="11" max="12" width="8.73046875" customWidth="1"/>
    <col min="13" max="16" width="8.86328125" customWidth="1"/>
    <col min="17" max="25" width="8" customWidth="1"/>
  </cols>
  <sheetData>
    <row r="1" spans="1:25" ht="14.25">
      <c r="A1" s="700"/>
      <c r="B1" s="701"/>
      <c r="C1" s="399"/>
      <c r="D1" s="702"/>
      <c r="E1" s="703"/>
      <c r="F1" s="703"/>
      <c r="G1" s="702"/>
      <c r="H1" s="702"/>
      <c r="I1" s="702"/>
      <c r="J1" s="702"/>
      <c r="K1" s="702"/>
      <c r="L1" s="702"/>
    </row>
    <row r="2" spans="1:25" ht="14.25">
      <c r="A2" s="1242" t="s">
        <v>4361</v>
      </c>
      <c r="B2" s="1227"/>
      <c r="C2" s="1227"/>
      <c r="D2" s="1227"/>
      <c r="E2" s="1227"/>
      <c r="F2" s="1227"/>
      <c r="G2" s="1227"/>
      <c r="H2" s="1227"/>
      <c r="I2" s="1227"/>
      <c r="J2" s="1227"/>
      <c r="K2" s="1227"/>
      <c r="L2" s="1228"/>
      <c r="M2" s="69"/>
      <c r="N2" s="69"/>
      <c r="O2" s="69"/>
      <c r="P2" s="69"/>
      <c r="Q2" s="69"/>
      <c r="R2" s="69"/>
      <c r="S2" s="69"/>
      <c r="T2" s="69"/>
      <c r="U2" s="69"/>
      <c r="V2" s="69"/>
      <c r="W2" s="69"/>
      <c r="X2" s="69"/>
      <c r="Y2" s="69"/>
    </row>
    <row r="3" spans="1:25" ht="14.25">
      <c r="A3" s="704"/>
      <c r="B3" s="704"/>
      <c r="C3" s="705"/>
      <c r="D3" s="705"/>
      <c r="E3" s="706"/>
      <c r="F3" s="706"/>
      <c r="G3" s="705"/>
      <c r="H3" s="705"/>
      <c r="I3" s="705"/>
      <c r="J3" s="705"/>
      <c r="K3" s="705"/>
      <c r="L3" s="705"/>
      <c r="M3" s="69"/>
      <c r="N3" s="69"/>
      <c r="O3" s="69"/>
      <c r="P3" s="69"/>
      <c r="Q3" s="69"/>
      <c r="R3" s="69"/>
      <c r="S3" s="69"/>
      <c r="T3" s="69"/>
      <c r="U3" s="69"/>
      <c r="V3" s="69"/>
      <c r="W3" s="69"/>
      <c r="X3" s="69"/>
      <c r="Y3" s="69"/>
    </row>
    <row r="4" spans="1:25" ht="39" customHeight="1">
      <c r="A4" s="1226" t="s">
        <v>4362</v>
      </c>
      <c r="B4" s="1227"/>
      <c r="C4" s="1227"/>
      <c r="D4" s="1227"/>
      <c r="E4" s="1227"/>
      <c r="F4" s="1227"/>
      <c r="G4" s="1227"/>
      <c r="H4" s="1227"/>
      <c r="I4" s="1227"/>
      <c r="J4" s="1227"/>
      <c r="K4" s="1227"/>
      <c r="L4" s="1228"/>
      <c r="M4" s="69"/>
      <c r="N4" s="69"/>
      <c r="O4" s="69"/>
      <c r="P4" s="69"/>
      <c r="Q4" s="69"/>
      <c r="R4" s="69"/>
      <c r="S4" s="69"/>
      <c r="T4" s="69"/>
      <c r="U4" s="69"/>
      <c r="V4" s="69"/>
      <c r="W4" s="69"/>
      <c r="X4" s="69"/>
      <c r="Y4" s="69"/>
    </row>
    <row r="5" spans="1:25" ht="24" customHeight="1">
      <c r="A5" s="1226" t="s">
        <v>4363</v>
      </c>
      <c r="B5" s="1227"/>
      <c r="C5" s="1227"/>
      <c r="D5" s="1227"/>
      <c r="E5" s="1227"/>
      <c r="F5" s="1227"/>
      <c r="G5" s="1227"/>
      <c r="H5" s="1227"/>
      <c r="I5" s="1227"/>
      <c r="J5" s="1227"/>
      <c r="K5" s="1227"/>
      <c r="L5" s="1228"/>
      <c r="M5" s="69"/>
      <c r="N5" s="69"/>
      <c r="O5" s="69"/>
      <c r="P5" s="69"/>
      <c r="Q5" s="69"/>
      <c r="R5" s="69"/>
      <c r="S5" s="69"/>
      <c r="T5" s="69"/>
      <c r="U5" s="69"/>
      <c r="V5" s="69"/>
      <c r="W5" s="69"/>
      <c r="X5" s="69"/>
      <c r="Y5" s="69"/>
    </row>
    <row r="6" spans="1:25" ht="14.25">
      <c r="A6" s="1226" t="s">
        <v>4363</v>
      </c>
      <c r="B6" s="1227"/>
      <c r="C6" s="1227"/>
      <c r="D6" s="1227"/>
      <c r="E6" s="1227"/>
      <c r="F6" s="1227"/>
      <c r="G6" s="1227"/>
      <c r="H6" s="1227"/>
      <c r="I6" s="1227"/>
      <c r="J6" s="1227"/>
      <c r="K6" s="1227"/>
      <c r="L6" s="1228"/>
      <c r="M6" s="69"/>
      <c r="N6" s="69"/>
      <c r="O6" s="69"/>
      <c r="P6" s="69"/>
      <c r="Q6" s="69"/>
      <c r="R6" s="69"/>
      <c r="S6" s="69"/>
      <c r="T6" s="69"/>
      <c r="U6" s="69"/>
      <c r="V6" s="69"/>
      <c r="W6" s="69"/>
      <c r="X6" s="69"/>
      <c r="Y6" s="69"/>
    </row>
    <row r="7" spans="1:25" ht="14.25">
      <c r="A7" s="1243" t="s">
        <v>4364</v>
      </c>
      <c r="B7" s="1240"/>
      <c r="C7" s="1240"/>
      <c r="D7" s="1240"/>
      <c r="E7" s="1240"/>
      <c r="F7" s="1240"/>
      <c r="G7" s="1240"/>
      <c r="H7" s="1240"/>
      <c r="I7" s="1240"/>
      <c r="J7" s="1240"/>
      <c r="K7" s="1240"/>
      <c r="L7" s="1241"/>
      <c r="M7" s="69"/>
      <c r="N7" s="69"/>
      <c r="O7" s="69"/>
      <c r="P7" s="69"/>
      <c r="Q7" s="69"/>
      <c r="R7" s="69"/>
      <c r="S7" s="69"/>
      <c r="T7" s="69"/>
      <c r="U7" s="69"/>
      <c r="V7" s="69"/>
      <c r="W7" s="69"/>
      <c r="X7" s="69"/>
      <c r="Y7" s="69"/>
    </row>
    <row r="8" spans="1:25" ht="14.25">
      <c r="A8" s="1243" t="s">
        <v>4365</v>
      </c>
      <c r="B8" s="1240"/>
      <c r="C8" s="1240"/>
      <c r="D8" s="1240"/>
      <c r="E8" s="1240"/>
      <c r="F8" s="1240"/>
      <c r="G8" s="1240"/>
      <c r="H8" s="1240"/>
      <c r="I8" s="1240"/>
      <c r="J8" s="1240"/>
      <c r="K8" s="1240"/>
      <c r="L8" s="1241"/>
      <c r="M8" s="69"/>
      <c r="N8" s="69"/>
      <c r="O8" s="69"/>
      <c r="P8" s="69"/>
      <c r="Q8" s="69"/>
      <c r="R8" s="69"/>
      <c r="S8" s="69"/>
      <c r="T8" s="69"/>
      <c r="U8" s="69"/>
      <c r="V8" s="69"/>
      <c r="W8" s="69"/>
      <c r="X8" s="69"/>
      <c r="Y8" s="69"/>
    </row>
    <row r="9" spans="1:25" ht="38.25" customHeight="1">
      <c r="A9" s="1239" t="s">
        <v>4366</v>
      </c>
      <c r="B9" s="1240"/>
      <c r="C9" s="1240"/>
      <c r="D9" s="1240"/>
      <c r="E9" s="1240"/>
      <c r="F9" s="1240"/>
      <c r="G9" s="1240"/>
      <c r="H9" s="1240"/>
      <c r="I9" s="1240"/>
      <c r="J9" s="1240"/>
      <c r="K9" s="1240"/>
      <c r="L9" s="1241"/>
      <c r="M9" s="69"/>
      <c r="N9" s="69"/>
      <c r="O9" s="69"/>
      <c r="P9" s="69"/>
      <c r="Q9" s="69"/>
      <c r="R9" s="69"/>
      <c r="S9" s="69"/>
      <c r="T9" s="69"/>
      <c r="U9" s="69"/>
      <c r="V9" s="69"/>
      <c r="W9" s="69"/>
      <c r="X9" s="69"/>
      <c r="Y9" s="69"/>
    </row>
    <row r="10" spans="1:25" ht="27" customHeight="1">
      <c r="A10" s="1239" t="s">
        <v>4367</v>
      </c>
      <c r="B10" s="1240"/>
      <c r="C10" s="1240"/>
      <c r="D10" s="1240"/>
      <c r="E10" s="1240"/>
      <c r="F10" s="1240"/>
      <c r="G10" s="1240"/>
      <c r="H10" s="1240"/>
      <c r="I10" s="1240"/>
      <c r="J10" s="1240"/>
      <c r="K10" s="1240"/>
      <c r="L10" s="1241"/>
      <c r="M10" s="69"/>
      <c r="N10" s="69"/>
      <c r="O10" s="69"/>
      <c r="P10" s="69"/>
      <c r="Q10" s="69"/>
      <c r="R10" s="69"/>
      <c r="S10" s="69"/>
      <c r="T10" s="69"/>
      <c r="U10" s="69"/>
      <c r="V10" s="69"/>
      <c r="W10" s="69"/>
      <c r="X10" s="69"/>
      <c r="Y10" s="69"/>
    </row>
    <row r="11" spans="1:25" ht="34.5" customHeight="1">
      <c r="A11" s="1229" t="s">
        <v>4368</v>
      </c>
      <c r="B11" s="1227"/>
      <c r="C11" s="1227"/>
      <c r="D11" s="1227"/>
      <c r="E11" s="1227"/>
      <c r="F11" s="1227"/>
      <c r="G11" s="1227"/>
      <c r="H11" s="1227"/>
      <c r="I11" s="1227"/>
      <c r="J11" s="1227"/>
      <c r="K11" s="1227"/>
      <c r="L11" s="1228"/>
      <c r="M11" s="69"/>
      <c r="N11" s="69"/>
      <c r="O11" s="69"/>
      <c r="P11" s="69"/>
      <c r="Q11" s="69"/>
      <c r="R11" s="69"/>
      <c r="S11" s="69"/>
      <c r="T11" s="69"/>
      <c r="U11" s="69"/>
      <c r="V11" s="69"/>
      <c r="W11" s="69"/>
      <c r="X11" s="69"/>
      <c r="Y11" s="69"/>
    </row>
    <row r="12" spans="1:25" ht="14.25">
      <c r="A12" s="707"/>
      <c r="B12" s="708"/>
      <c r="C12" s="709"/>
      <c r="D12" s="710"/>
      <c r="E12" s="711"/>
      <c r="F12" s="712"/>
      <c r="G12" s="713"/>
      <c r="H12" s="713"/>
      <c r="I12" s="713"/>
      <c r="J12" s="713"/>
      <c r="K12" s="713"/>
      <c r="L12" s="713"/>
      <c r="M12" s="69"/>
      <c r="N12" s="69"/>
      <c r="O12" s="69"/>
      <c r="P12" s="69"/>
      <c r="Q12" s="69"/>
      <c r="R12" s="69"/>
      <c r="S12" s="69"/>
      <c r="T12" s="69"/>
      <c r="U12" s="69"/>
      <c r="V12" s="69"/>
      <c r="W12" s="69"/>
      <c r="X12" s="69"/>
      <c r="Y12" s="69"/>
    </row>
    <row r="13" spans="1:25" ht="51" customHeight="1">
      <c r="A13" s="714" t="s">
        <v>4369</v>
      </c>
      <c r="B13" s="81" t="s">
        <v>4370</v>
      </c>
      <c r="C13" s="83" t="s">
        <v>7</v>
      </c>
      <c r="D13" s="82" t="s">
        <v>4371</v>
      </c>
      <c r="E13" s="715" t="s">
        <v>4372</v>
      </c>
      <c r="F13" s="715" t="s">
        <v>4373</v>
      </c>
      <c r="G13" s="85" t="s">
        <v>4374</v>
      </c>
      <c r="H13" s="83" t="s">
        <v>4375</v>
      </c>
      <c r="I13" s="83" t="s">
        <v>4376</v>
      </c>
      <c r="J13" s="83" t="s">
        <v>4377</v>
      </c>
      <c r="K13" s="81" t="s">
        <v>206</v>
      </c>
      <c r="L13" s="81" t="s">
        <v>210</v>
      </c>
      <c r="M13" s="336" t="s">
        <v>211</v>
      </c>
    </row>
    <row r="15" spans="1:25" ht="15" customHeight="1">
      <c r="A15" s="332" t="s">
        <v>169</v>
      </c>
      <c r="L15" s="332">
        <f>SUM(L13:L14)</f>
        <v>0</v>
      </c>
    </row>
    <row r="17" spans="1:8" ht="15" customHeight="1">
      <c r="A17" s="1231" t="s">
        <v>1156</v>
      </c>
      <c r="B17" s="1232"/>
      <c r="C17" s="1232"/>
      <c r="D17" s="1232"/>
      <c r="E17" s="1232"/>
      <c r="F17" s="1232"/>
      <c r="G17" s="1232"/>
      <c r="H17" s="1233"/>
    </row>
    <row r="21" spans="1:8" ht="15.75" customHeight="1"/>
    <row r="22" spans="1:8" ht="15.75" customHeight="1"/>
    <row r="23" spans="1:8" ht="15.75" customHeight="1"/>
    <row r="24" spans="1:8" ht="15.75" customHeight="1"/>
    <row r="25" spans="1:8" ht="15.75" customHeight="1"/>
    <row r="26" spans="1:8" ht="15.75" customHeight="1"/>
    <row r="27" spans="1:8" ht="15.75" customHeight="1"/>
    <row r="28" spans="1:8" ht="15.75" customHeight="1"/>
    <row r="29" spans="1:8" ht="15.75" customHeight="1"/>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17:H17"/>
    <mergeCell ref="A2:L2"/>
    <mergeCell ref="A4:L4"/>
    <mergeCell ref="A5:L5"/>
    <mergeCell ref="A6:L6"/>
    <mergeCell ref="A7:L7"/>
    <mergeCell ref="A8:L8"/>
    <mergeCell ref="A9:L9"/>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Z1000"/>
  <sheetViews>
    <sheetView workbookViewId="0"/>
  </sheetViews>
  <sheetFormatPr defaultColWidth="14.3984375" defaultRowHeight="15" customHeight="1"/>
  <cols>
    <col min="1" max="1" width="23.73046875" customWidth="1"/>
    <col min="2" max="2" width="20.86328125" customWidth="1"/>
    <col min="3" max="3" width="10.3984375" customWidth="1"/>
    <col min="4" max="4" width="15" customWidth="1"/>
    <col min="5" max="5" width="26.3984375" customWidth="1"/>
    <col min="6" max="8" width="9.1328125" customWidth="1"/>
    <col min="9" max="9" width="10.3984375" customWidth="1"/>
    <col min="10" max="14" width="8.86328125" customWidth="1"/>
    <col min="15" max="25" width="8" customWidth="1"/>
  </cols>
  <sheetData>
    <row r="1" spans="1:25" ht="14.25">
      <c r="A1" s="64"/>
      <c r="B1" s="65"/>
      <c r="C1" s="65"/>
      <c r="D1" s="1"/>
      <c r="E1" s="1"/>
      <c r="F1" s="1"/>
      <c r="G1" s="1"/>
      <c r="H1" s="1"/>
      <c r="I1" s="1"/>
    </row>
    <row r="2" spans="1:25" ht="35.25" customHeight="1">
      <c r="A2" s="1234" t="s">
        <v>4378</v>
      </c>
      <c r="B2" s="1227"/>
      <c r="C2" s="1227"/>
      <c r="D2" s="1227"/>
      <c r="E2" s="1227"/>
      <c r="F2" s="1227"/>
      <c r="G2" s="1227"/>
      <c r="H2" s="1227"/>
      <c r="I2" s="1228"/>
      <c r="J2" s="69"/>
      <c r="K2" s="69"/>
      <c r="L2" s="69"/>
      <c r="M2" s="69"/>
      <c r="N2" s="69"/>
      <c r="O2" s="69"/>
      <c r="P2" s="69"/>
      <c r="Q2" s="69"/>
      <c r="R2" s="69"/>
      <c r="S2" s="69"/>
      <c r="T2" s="69"/>
      <c r="U2" s="69"/>
      <c r="V2" s="69"/>
      <c r="W2" s="69"/>
      <c r="X2" s="69"/>
      <c r="Y2" s="69"/>
    </row>
    <row r="3" spans="1:25" ht="14.25">
      <c r="A3" s="77"/>
      <c r="B3" s="78"/>
      <c r="C3" s="78"/>
      <c r="D3" s="77"/>
      <c r="E3" s="77"/>
      <c r="F3" s="68"/>
      <c r="G3" s="68"/>
      <c r="H3" s="68"/>
      <c r="I3" s="68"/>
      <c r="J3" s="69"/>
      <c r="K3" s="69"/>
      <c r="L3" s="69"/>
      <c r="M3" s="69"/>
      <c r="N3" s="69"/>
      <c r="O3" s="69"/>
      <c r="P3" s="69"/>
      <c r="Q3" s="69"/>
      <c r="R3" s="69"/>
      <c r="S3" s="69"/>
      <c r="T3" s="69"/>
      <c r="U3" s="69"/>
      <c r="V3" s="69"/>
      <c r="W3" s="69"/>
      <c r="X3" s="69"/>
      <c r="Y3" s="69"/>
    </row>
    <row r="4" spans="1:25" ht="14.25">
      <c r="A4" s="1236" t="s">
        <v>4379</v>
      </c>
      <c r="B4" s="1227"/>
      <c r="C4" s="1227"/>
      <c r="D4" s="1227"/>
      <c r="E4" s="1227"/>
      <c r="F4" s="1227"/>
      <c r="G4" s="1227"/>
      <c r="H4" s="1227"/>
      <c r="I4" s="1228"/>
      <c r="J4" s="69"/>
      <c r="K4" s="69"/>
      <c r="L4" s="69"/>
      <c r="M4" s="69"/>
      <c r="N4" s="69"/>
      <c r="O4" s="69"/>
      <c r="P4" s="69"/>
      <c r="Q4" s="69"/>
      <c r="R4" s="69"/>
      <c r="S4" s="69"/>
      <c r="T4" s="69"/>
      <c r="U4" s="69"/>
      <c r="V4" s="69"/>
      <c r="W4" s="69"/>
      <c r="X4" s="69"/>
      <c r="Y4" s="69"/>
    </row>
    <row r="5" spans="1:25" ht="26.25" customHeight="1">
      <c r="A5" s="1226" t="s">
        <v>4380</v>
      </c>
      <c r="B5" s="1227"/>
      <c r="C5" s="1227"/>
      <c r="D5" s="1227"/>
      <c r="E5" s="1227"/>
      <c r="F5" s="1227"/>
      <c r="G5" s="1227"/>
      <c r="H5" s="1227"/>
      <c r="I5" s="1228"/>
      <c r="J5" s="69"/>
      <c r="K5" s="69"/>
      <c r="L5" s="69"/>
      <c r="M5" s="69"/>
      <c r="N5" s="69"/>
      <c r="O5" s="69"/>
      <c r="P5" s="69"/>
      <c r="Q5" s="69"/>
      <c r="R5" s="69"/>
      <c r="S5" s="69"/>
      <c r="T5" s="69"/>
      <c r="U5" s="69"/>
      <c r="V5" s="69"/>
      <c r="W5" s="69"/>
      <c r="X5" s="69"/>
      <c r="Y5" s="69"/>
    </row>
    <row r="6" spans="1:25" ht="27" customHeight="1">
      <c r="A6" s="1226" t="s">
        <v>4381</v>
      </c>
      <c r="B6" s="1227"/>
      <c r="C6" s="1227"/>
      <c r="D6" s="1227"/>
      <c r="E6" s="1227"/>
      <c r="F6" s="1227"/>
      <c r="G6" s="1227"/>
      <c r="H6" s="1227"/>
      <c r="I6" s="1228"/>
      <c r="J6" s="69"/>
      <c r="K6" s="69"/>
      <c r="L6" s="69"/>
      <c r="M6" s="69"/>
      <c r="N6" s="69"/>
      <c r="O6" s="69"/>
      <c r="P6" s="69"/>
      <c r="Q6" s="69"/>
      <c r="R6" s="69"/>
      <c r="S6" s="69"/>
      <c r="T6" s="69"/>
      <c r="U6" s="69"/>
      <c r="V6" s="69"/>
      <c r="W6" s="69"/>
      <c r="X6" s="69"/>
      <c r="Y6" s="69"/>
    </row>
    <row r="7" spans="1:25" ht="26.25" customHeight="1">
      <c r="A7" s="1244" t="s">
        <v>4382</v>
      </c>
      <c r="B7" s="1227"/>
      <c r="C7" s="1227"/>
      <c r="D7" s="1227"/>
      <c r="E7" s="1227"/>
      <c r="F7" s="1227"/>
      <c r="G7" s="1227"/>
      <c r="H7" s="1227"/>
      <c r="I7" s="1228"/>
      <c r="N7" s="246"/>
    </row>
    <row r="8" spans="1:25" ht="69" customHeight="1">
      <c r="A8" s="1244" t="s">
        <v>4383</v>
      </c>
      <c r="B8" s="1227"/>
      <c r="C8" s="1227"/>
      <c r="D8" s="1227"/>
      <c r="E8" s="1227"/>
      <c r="F8" s="1227"/>
      <c r="G8" s="1227"/>
      <c r="H8" s="1227"/>
      <c r="I8" s="1228"/>
    </row>
    <row r="9" spans="1:25" ht="30.75" customHeight="1">
      <c r="A9" s="77"/>
      <c r="B9" s="78"/>
      <c r="C9" s="78"/>
      <c r="D9" s="77"/>
      <c r="E9" s="77"/>
      <c r="F9" s="77"/>
      <c r="G9" s="77"/>
      <c r="H9" s="68"/>
      <c r="I9" s="68"/>
    </row>
    <row r="10" spans="1:25" ht="78" customHeight="1">
      <c r="A10" s="350" t="s">
        <v>4384</v>
      </c>
      <c r="B10" s="377" t="s">
        <v>4385</v>
      </c>
      <c r="C10" s="83" t="s">
        <v>7</v>
      </c>
      <c r="D10" s="377" t="s">
        <v>4386</v>
      </c>
      <c r="E10" s="82" t="s">
        <v>203</v>
      </c>
      <c r="F10" s="82" t="s">
        <v>204</v>
      </c>
      <c r="G10" s="82" t="s">
        <v>205</v>
      </c>
      <c r="H10" s="350" t="s">
        <v>206</v>
      </c>
      <c r="I10" s="350" t="s">
        <v>210</v>
      </c>
      <c r="J10" s="336" t="s">
        <v>211</v>
      </c>
      <c r="K10" s="69"/>
      <c r="L10" s="69"/>
      <c r="M10" s="69"/>
      <c r="N10" s="69"/>
      <c r="O10" s="69"/>
      <c r="P10" s="69"/>
      <c r="Q10" s="69"/>
      <c r="R10" s="69"/>
      <c r="S10" s="69"/>
      <c r="T10" s="69"/>
      <c r="U10" s="69"/>
      <c r="V10" s="69"/>
      <c r="W10" s="69"/>
      <c r="X10" s="69"/>
      <c r="Y10" s="69"/>
    </row>
    <row r="11" spans="1:25" ht="15" customHeight="1">
      <c r="A11" s="134" t="s">
        <v>4387</v>
      </c>
      <c r="B11" s="1" t="s">
        <v>4388</v>
      </c>
      <c r="C11" s="99" t="s">
        <v>51</v>
      </c>
      <c r="D11" s="716" t="s">
        <v>4389</v>
      </c>
      <c r="E11" s="99">
        <v>3</v>
      </c>
      <c r="F11" s="99">
        <v>3</v>
      </c>
      <c r="G11" s="99">
        <v>7</v>
      </c>
      <c r="H11" s="185">
        <v>1000</v>
      </c>
      <c r="I11" s="114">
        <v>333.33</v>
      </c>
      <c r="J11" s="338" t="s">
        <v>1331</v>
      </c>
    </row>
    <row r="12" spans="1:25" ht="15" customHeight="1">
      <c r="A12" s="1" t="s">
        <v>4390</v>
      </c>
      <c r="B12" s="1" t="s">
        <v>4391</v>
      </c>
      <c r="C12" s="1" t="s">
        <v>51</v>
      </c>
      <c r="D12" s="1" t="s">
        <v>4392</v>
      </c>
      <c r="E12" s="1">
        <v>3</v>
      </c>
      <c r="F12" s="1">
        <v>3</v>
      </c>
      <c r="G12" s="1">
        <v>8</v>
      </c>
      <c r="H12" s="68">
        <v>1000</v>
      </c>
      <c r="I12" s="68">
        <v>333.33</v>
      </c>
      <c r="J12" s="338" t="s">
        <v>1331</v>
      </c>
    </row>
    <row r="13" spans="1:25" ht="15" customHeight="1">
      <c r="A13" s="134" t="s">
        <v>4393</v>
      </c>
      <c r="B13" s="134" t="s">
        <v>4394</v>
      </c>
      <c r="C13" s="99" t="s">
        <v>51</v>
      </c>
      <c r="D13" s="717">
        <v>44719</v>
      </c>
      <c r="E13" s="99">
        <v>3</v>
      </c>
      <c r="F13" s="99">
        <v>3</v>
      </c>
      <c r="G13" s="99">
        <v>3</v>
      </c>
      <c r="H13" s="185">
        <v>200</v>
      </c>
      <c r="I13" s="114">
        <v>66.67</v>
      </c>
      <c r="J13" s="338" t="s">
        <v>482</v>
      </c>
    </row>
    <row r="14" spans="1:25" ht="15" customHeight="1">
      <c r="A14" s="134" t="s">
        <v>4395</v>
      </c>
      <c r="B14" s="134" t="s">
        <v>4394</v>
      </c>
      <c r="C14" s="99" t="s">
        <v>51</v>
      </c>
      <c r="D14" s="717">
        <v>44719</v>
      </c>
      <c r="E14" s="99">
        <v>3</v>
      </c>
      <c r="F14" s="99">
        <v>3</v>
      </c>
      <c r="G14" s="99">
        <v>3</v>
      </c>
      <c r="H14" s="185">
        <v>200</v>
      </c>
      <c r="I14" s="114">
        <v>66.67</v>
      </c>
      <c r="J14" s="338" t="s">
        <v>482</v>
      </c>
    </row>
    <row r="15" spans="1:25" ht="15" customHeight="1">
      <c r="A15" s="134" t="s">
        <v>4396</v>
      </c>
      <c r="B15" s="134" t="s">
        <v>4397</v>
      </c>
      <c r="C15" s="99" t="s">
        <v>51</v>
      </c>
      <c r="D15" s="134" t="s">
        <v>4398</v>
      </c>
      <c r="E15" s="99">
        <v>2</v>
      </c>
      <c r="F15" s="99">
        <v>2</v>
      </c>
      <c r="G15" s="99">
        <v>7</v>
      </c>
      <c r="H15" s="185">
        <v>1000</v>
      </c>
      <c r="I15" s="114">
        <f>1000/2</f>
        <v>500</v>
      </c>
      <c r="J15" s="338" t="s">
        <v>608</v>
      </c>
    </row>
    <row r="16" spans="1:25" ht="15" customHeight="1">
      <c r="A16" s="134" t="s">
        <v>4390</v>
      </c>
      <c r="B16" s="134" t="s">
        <v>4391</v>
      </c>
      <c r="C16" s="94" t="s">
        <v>51</v>
      </c>
      <c r="D16" s="134" t="s">
        <v>4399</v>
      </c>
      <c r="E16" s="99">
        <v>3</v>
      </c>
      <c r="F16" s="99">
        <v>3</v>
      </c>
      <c r="G16" s="99">
        <v>8</v>
      </c>
      <c r="H16" s="185">
        <v>1000</v>
      </c>
      <c r="I16" s="114">
        <f t="shared" ref="I16:I17" si="0">1000/3</f>
        <v>333.33333333333331</v>
      </c>
      <c r="J16" s="338" t="s">
        <v>608</v>
      </c>
    </row>
    <row r="17" spans="1:26" ht="15" customHeight="1">
      <c r="A17" s="134" t="s">
        <v>4400</v>
      </c>
      <c r="B17" s="134" t="s">
        <v>4388</v>
      </c>
      <c r="C17" s="99" t="s">
        <v>51</v>
      </c>
      <c r="D17" s="134" t="s">
        <v>4401</v>
      </c>
      <c r="E17" s="99">
        <v>3</v>
      </c>
      <c r="F17" s="99">
        <v>3</v>
      </c>
      <c r="G17" s="99">
        <v>7</v>
      </c>
      <c r="H17" s="185">
        <v>1000</v>
      </c>
      <c r="I17" s="114">
        <f t="shared" si="0"/>
        <v>333.33333333333331</v>
      </c>
      <c r="J17" s="338" t="s">
        <v>608</v>
      </c>
    </row>
    <row r="18" spans="1:26" ht="15" customHeight="1">
      <c r="A18" s="134" t="s">
        <v>4402</v>
      </c>
      <c r="B18" s="134" t="s">
        <v>4403</v>
      </c>
      <c r="C18" s="99" t="s">
        <v>105</v>
      </c>
      <c r="D18" s="718">
        <v>44620</v>
      </c>
      <c r="E18" s="99">
        <v>10</v>
      </c>
      <c r="F18" s="99">
        <v>10</v>
      </c>
      <c r="G18" s="99">
        <v>10</v>
      </c>
      <c r="H18" s="185">
        <v>1000</v>
      </c>
      <c r="I18" s="114">
        <f>H18/G18</f>
        <v>100</v>
      </c>
      <c r="J18" s="338" t="s">
        <v>952</v>
      </c>
      <c r="K18" s="216"/>
      <c r="L18" s="216"/>
      <c r="M18" s="216"/>
      <c r="N18" s="216"/>
      <c r="O18" s="216"/>
      <c r="P18" s="216"/>
      <c r="Q18" s="216"/>
      <c r="R18" s="216"/>
      <c r="S18" s="216"/>
      <c r="T18" s="216"/>
      <c r="U18" s="216"/>
      <c r="V18" s="216"/>
      <c r="W18" s="216"/>
      <c r="X18" s="216"/>
      <c r="Y18" s="216"/>
      <c r="Z18" s="216"/>
    </row>
    <row r="19" spans="1:26" ht="15" customHeight="1">
      <c r="A19" s="134" t="s">
        <v>4404</v>
      </c>
      <c r="B19" s="134" t="s">
        <v>4405</v>
      </c>
      <c r="C19" s="99" t="s">
        <v>105</v>
      </c>
      <c r="D19" s="238" t="s">
        <v>4406</v>
      </c>
      <c r="E19" s="99">
        <v>10</v>
      </c>
      <c r="F19" s="99">
        <v>10</v>
      </c>
      <c r="G19" s="99">
        <v>10</v>
      </c>
      <c r="H19" s="185">
        <v>1000</v>
      </c>
      <c r="I19" s="114">
        <v>100</v>
      </c>
      <c r="J19" s="338" t="s">
        <v>104</v>
      </c>
      <c r="K19" s="216"/>
      <c r="L19" s="216"/>
      <c r="M19" s="216"/>
      <c r="N19" s="216"/>
      <c r="O19" s="216"/>
      <c r="P19" s="216"/>
      <c r="Q19" s="216"/>
      <c r="R19" s="216"/>
      <c r="S19" s="216"/>
      <c r="T19" s="216"/>
      <c r="U19" s="216"/>
      <c r="V19" s="216"/>
      <c r="W19" s="216"/>
      <c r="X19" s="216"/>
      <c r="Y19" s="216"/>
      <c r="Z19" s="216"/>
    </row>
    <row r="20" spans="1:26" ht="15" customHeight="1">
      <c r="A20" s="134" t="s">
        <v>4404</v>
      </c>
      <c r="B20" s="91" t="s">
        <v>4407</v>
      </c>
      <c r="C20" s="99" t="s">
        <v>105</v>
      </c>
      <c r="D20" s="718" t="s">
        <v>4406</v>
      </c>
      <c r="E20" s="99">
        <v>10</v>
      </c>
      <c r="F20" s="99">
        <v>10</v>
      </c>
      <c r="G20" s="99">
        <v>10</v>
      </c>
      <c r="H20" s="185">
        <v>1000</v>
      </c>
      <c r="I20" s="114">
        <f>H20/G20</f>
        <v>100</v>
      </c>
      <c r="J20" s="338" t="s">
        <v>132</v>
      </c>
      <c r="K20" s="216"/>
      <c r="L20" s="216"/>
      <c r="M20" s="216"/>
      <c r="N20" s="216"/>
      <c r="O20" s="216"/>
      <c r="P20" s="216"/>
      <c r="Q20" s="216"/>
      <c r="R20" s="216"/>
      <c r="S20" s="216"/>
      <c r="T20" s="216"/>
      <c r="U20" s="216"/>
      <c r="V20" s="216"/>
      <c r="W20" s="216"/>
      <c r="X20" s="216"/>
      <c r="Y20" s="216"/>
      <c r="Z20" s="216"/>
    </row>
    <row r="21" spans="1:26" ht="15" customHeight="1">
      <c r="A21" s="134" t="s">
        <v>4404</v>
      </c>
      <c r="B21" s="134" t="s">
        <v>4405</v>
      </c>
      <c r="C21" s="99" t="s">
        <v>105</v>
      </c>
      <c r="D21" s="238" t="s">
        <v>4406</v>
      </c>
      <c r="E21" s="99">
        <v>10</v>
      </c>
      <c r="F21" s="99">
        <v>10</v>
      </c>
      <c r="G21" s="99">
        <v>10</v>
      </c>
      <c r="H21" s="185">
        <v>1000</v>
      </c>
      <c r="I21" s="114">
        <v>100</v>
      </c>
      <c r="J21" s="338" t="s">
        <v>971</v>
      </c>
      <c r="K21" s="216"/>
      <c r="L21" s="216"/>
      <c r="M21" s="216"/>
      <c r="N21" s="216"/>
      <c r="O21" s="216"/>
      <c r="P21" s="216"/>
      <c r="Q21" s="216"/>
      <c r="R21" s="216"/>
      <c r="S21" s="216"/>
      <c r="T21" s="216"/>
      <c r="U21" s="216"/>
      <c r="V21" s="216"/>
      <c r="W21" s="216"/>
      <c r="X21" s="216"/>
      <c r="Y21" s="216"/>
      <c r="Z21" s="216"/>
    </row>
    <row r="22" spans="1:26" ht="15" customHeight="1">
      <c r="A22" s="134" t="s">
        <v>4402</v>
      </c>
      <c r="B22" s="134" t="s">
        <v>4403</v>
      </c>
      <c r="C22" s="99" t="s">
        <v>105</v>
      </c>
      <c r="D22" s="718">
        <v>44620</v>
      </c>
      <c r="E22" s="99">
        <v>10</v>
      </c>
      <c r="F22" s="99">
        <v>10</v>
      </c>
      <c r="G22" s="99">
        <v>10</v>
      </c>
      <c r="H22" s="185">
        <v>1000</v>
      </c>
      <c r="I22" s="114">
        <f t="shared" ref="I22:I23" si="1">H22/G22</f>
        <v>100</v>
      </c>
      <c r="J22" s="338" t="s">
        <v>126</v>
      </c>
      <c r="K22" s="216"/>
      <c r="L22" s="216"/>
      <c r="M22" s="216"/>
      <c r="N22" s="216"/>
      <c r="O22" s="216"/>
      <c r="P22" s="216"/>
      <c r="Q22" s="216"/>
      <c r="R22" s="216"/>
      <c r="S22" s="216"/>
      <c r="T22" s="216"/>
      <c r="U22" s="216"/>
      <c r="V22" s="216"/>
      <c r="W22" s="216"/>
      <c r="X22" s="216"/>
      <c r="Y22" s="216"/>
      <c r="Z22" s="216"/>
    </row>
    <row r="23" spans="1:26" ht="15" customHeight="1">
      <c r="A23" s="134" t="s">
        <v>4402</v>
      </c>
      <c r="B23" s="134" t="s">
        <v>4403</v>
      </c>
      <c r="C23" s="99" t="s">
        <v>105</v>
      </c>
      <c r="D23" s="718">
        <v>44620</v>
      </c>
      <c r="E23" s="99">
        <v>10</v>
      </c>
      <c r="F23" s="99">
        <v>10</v>
      </c>
      <c r="G23" s="99">
        <v>10</v>
      </c>
      <c r="H23" s="185">
        <v>1000</v>
      </c>
      <c r="I23" s="114">
        <f t="shared" si="1"/>
        <v>100</v>
      </c>
      <c r="J23" s="338" t="s">
        <v>119</v>
      </c>
      <c r="K23" s="216"/>
      <c r="L23" s="216"/>
      <c r="M23" s="216"/>
      <c r="N23" s="216"/>
      <c r="O23" s="216"/>
      <c r="P23" s="216"/>
      <c r="Q23" s="216"/>
      <c r="R23" s="216"/>
      <c r="S23" s="216"/>
      <c r="T23" s="216"/>
      <c r="U23" s="216"/>
      <c r="V23" s="216"/>
      <c r="W23" s="216"/>
      <c r="X23" s="216"/>
      <c r="Y23" s="216"/>
      <c r="Z23" s="216"/>
    </row>
    <row r="24" spans="1:26" ht="15" customHeight="1">
      <c r="A24" s="134" t="s">
        <v>4408</v>
      </c>
      <c r="B24" s="134" t="s">
        <v>4409</v>
      </c>
      <c r="C24" s="99" t="s">
        <v>105</v>
      </c>
      <c r="D24" s="134" t="s">
        <v>4410</v>
      </c>
      <c r="E24" s="99">
        <v>10</v>
      </c>
      <c r="F24" s="99">
        <v>10</v>
      </c>
      <c r="G24" s="99">
        <v>10</v>
      </c>
      <c r="H24" s="185">
        <v>1000</v>
      </c>
      <c r="I24" s="114">
        <f t="shared" ref="I24:I25" si="2">H24/E24</f>
        <v>100</v>
      </c>
      <c r="J24" s="338" t="s">
        <v>111</v>
      </c>
      <c r="K24" s="216"/>
      <c r="L24" s="216"/>
      <c r="M24" s="216"/>
      <c r="N24" s="216"/>
      <c r="O24" s="216"/>
      <c r="P24" s="216"/>
      <c r="Q24" s="216"/>
      <c r="R24" s="216"/>
      <c r="S24" s="216"/>
      <c r="T24" s="216"/>
      <c r="U24" s="216"/>
      <c r="V24" s="216"/>
      <c r="W24" s="216"/>
      <c r="X24" s="216"/>
      <c r="Y24" s="216"/>
      <c r="Z24" s="216"/>
    </row>
    <row r="25" spans="1:26" ht="15" customHeight="1">
      <c r="A25" s="134" t="s">
        <v>4411</v>
      </c>
      <c r="B25" s="133" t="s">
        <v>4412</v>
      </c>
      <c r="C25" s="99" t="s">
        <v>105</v>
      </c>
      <c r="D25" s="99" t="s">
        <v>4410</v>
      </c>
      <c r="E25" s="99">
        <v>10</v>
      </c>
      <c r="F25" s="99">
        <v>10</v>
      </c>
      <c r="G25" s="99">
        <v>10</v>
      </c>
      <c r="H25" s="99">
        <v>1000</v>
      </c>
      <c r="I25" s="719">
        <f t="shared" si="2"/>
        <v>100</v>
      </c>
      <c r="J25" s="338" t="s">
        <v>112</v>
      </c>
      <c r="K25" s="216"/>
      <c r="L25" s="216"/>
      <c r="M25" s="216"/>
      <c r="N25" s="216"/>
      <c r="O25" s="216"/>
      <c r="P25" s="216"/>
      <c r="Q25" s="216"/>
      <c r="R25" s="216"/>
      <c r="S25" s="216"/>
      <c r="T25" s="216"/>
      <c r="U25" s="216"/>
      <c r="V25" s="216"/>
      <c r="W25" s="216"/>
      <c r="X25" s="216"/>
      <c r="Y25" s="216"/>
      <c r="Z25" s="216"/>
    </row>
    <row r="26" spans="1:26" ht="15" customHeight="1">
      <c r="A26" s="134" t="s">
        <v>4402</v>
      </c>
      <c r="B26" s="134" t="s">
        <v>4403</v>
      </c>
      <c r="C26" s="99" t="s">
        <v>105</v>
      </c>
      <c r="D26" s="718">
        <v>44620</v>
      </c>
      <c r="E26" s="99">
        <v>10</v>
      </c>
      <c r="F26" s="99">
        <v>10</v>
      </c>
      <c r="G26" s="99">
        <v>10</v>
      </c>
      <c r="H26" s="185">
        <v>1000</v>
      </c>
      <c r="I26" s="114">
        <f>H26/G26</f>
        <v>100</v>
      </c>
      <c r="J26" s="338" t="s">
        <v>113</v>
      </c>
      <c r="K26" s="216"/>
      <c r="L26" s="216"/>
      <c r="M26" s="216"/>
      <c r="N26" s="216"/>
      <c r="O26" s="216"/>
      <c r="P26" s="216"/>
      <c r="Q26" s="216"/>
      <c r="R26" s="216"/>
      <c r="S26" s="216"/>
      <c r="T26" s="216"/>
      <c r="U26" s="216"/>
      <c r="V26" s="216"/>
      <c r="W26" s="216"/>
      <c r="X26" s="216"/>
      <c r="Y26" s="216"/>
      <c r="Z26" s="216"/>
    </row>
    <row r="27" spans="1:26" ht="15.75" customHeight="1"/>
    <row r="28" spans="1:26" ht="15" customHeight="1">
      <c r="A28" s="332" t="s">
        <v>169</v>
      </c>
      <c r="I28" s="345">
        <f>SUM(I11:I26)</f>
        <v>2866.6666666666665</v>
      </c>
    </row>
    <row r="29" spans="1:26" ht="15.75" customHeight="1"/>
    <row r="30" spans="1:26" ht="15" customHeight="1">
      <c r="A30" s="1231" t="s">
        <v>1156</v>
      </c>
      <c r="B30" s="1232"/>
      <c r="C30" s="1232"/>
      <c r="D30" s="1232"/>
      <c r="E30" s="1232"/>
      <c r="F30" s="1232"/>
      <c r="G30" s="1232"/>
      <c r="H30" s="1233"/>
    </row>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I8"/>
    <mergeCell ref="A30:H30"/>
    <mergeCell ref="A2:I2"/>
    <mergeCell ref="A4:I4"/>
    <mergeCell ref="A5:I5"/>
    <mergeCell ref="A6:I6"/>
    <mergeCell ref="A7:I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X1000"/>
  <sheetViews>
    <sheetView workbookViewId="0"/>
  </sheetViews>
  <sheetFormatPr defaultColWidth="14.3984375" defaultRowHeight="15" customHeight="1"/>
  <cols>
    <col min="1" max="1" width="23.73046875" customWidth="1"/>
    <col min="2" max="2" width="17.1328125" customWidth="1"/>
    <col min="3" max="3" width="10.86328125" customWidth="1"/>
    <col min="4" max="4" width="13.3984375" customWidth="1"/>
    <col min="5" max="5" width="11.73046875" customWidth="1"/>
    <col min="6" max="6" width="26.3984375" customWidth="1"/>
    <col min="7" max="7" width="7.86328125" customWidth="1"/>
    <col min="8" max="8" width="12.265625" customWidth="1"/>
    <col min="9" max="10" width="9.1328125" customWidth="1"/>
    <col min="11" max="24" width="8" customWidth="1"/>
  </cols>
  <sheetData>
    <row r="1" spans="1:24" ht="14.25">
      <c r="A1" s="64"/>
      <c r="B1" s="64"/>
      <c r="C1" s="65"/>
      <c r="D1" s="1"/>
      <c r="E1" s="1"/>
      <c r="F1" s="1"/>
      <c r="G1" s="1"/>
      <c r="H1" s="1"/>
      <c r="I1" s="1"/>
      <c r="J1" s="1"/>
    </row>
    <row r="2" spans="1:24" ht="33" customHeight="1">
      <c r="A2" s="1234" t="s">
        <v>4413</v>
      </c>
      <c r="B2" s="1227"/>
      <c r="C2" s="1227"/>
      <c r="D2" s="1227"/>
      <c r="E2" s="1227"/>
      <c r="F2" s="1227"/>
      <c r="G2" s="1227"/>
      <c r="H2" s="1228"/>
      <c r="I2" s="68"/>
      <c r="J2" s="68"/>
      <c r="K2" s="69"/>
      <c r="L2" s="69"/>
      <c r="M2" s="69"/>
      <c r="N2" s="69"/>
      <c r="O2" s="69"/>
      <c r="P2" s="69"/>
      <c r="Q2" s="69"/>
      <c r="R2" s="69"/>
      <c r="S2" s="69"/>
      <c r="T2" s="69"/>
      <c r="U2" s="69"/>
      <c r="V2" s="69"/>
      <c r="W2" s="69"/>
      <c r="X2" s="69"/>
    </row>
    <row r="3" spans="1:24" ht="14.25">
      <c r="A3" s="80"/>
      <c r="B3" s="80"/>
      <c r="C3" s="80"/>
      <c r="D3" s="80"/>
      <c r="E3" s="80"/>
      <c r="F3" s="80"/>
      <c r="G3" s="80"/>
      <c r="H3" s="80"/>
      <c r="I3" s="68"/>
      <c r="J3" s="68"/>
      <c r="K3" s="69"/>
      <c r="L3" s="69"/>
      <c r="M3" s="69"/>
      <c r="N3" s="69"/>
      <c r="O3" s="69"/>
      <c r="P3" s="69"/>
      <c r="Q3" s="69"/>
      <c r="R3" s="69"/>
      <c r="S3" s="69"/>
      <c r="T3" s="69"/>
      <c r="U3" s="69"/>
      <c r="V3" s="69"/>
      <c r="W3" s="69"/>
      <c r="X3" s="69"/>
    </row>
    <row r="4" spans="1:24" ht="19.5" customHeight="1">
      <c r="A4" s="1245" t="s">
        <v>4414</v>
      </c>
      <c r="B4" s="1227"/>
      <c r="C4" s="1227"/>
      <c r="D4" s="1227"/>
      <c r="E4" s="1227"/>
      <c r="F4" s="1227"/>
      <c r="G4" s="1227"/>
      <c r="H4" s="1228"/>
      <c r="I4" s="68"/>
      <c r="J4" s="68"/>
      <c r="K4" s="720"/>
      <c r="L4" s="720"/>
      <c r="M4" s="720"/>
      <c r="N4" s="720"/>
      <c r="O4" s="720"/>
      <c r="P4" s="720"/>
      <c r="Q4" s="720"/>
      <c r="R4" s="720"/>
      <c r="S4" s="720"/>
      <c r="T4" s="720"/>
      <c r="U4" s="720"/>
      <c r="V4" s="720"/>
      <c r="W4" s="720"/>
      <c r="X4" s="720"/>
    </row>
    <row r="5" spans="1:24" ht="14.25">
      <c r="A5" s="1245" t="s">
        <v>4415</v>
      </c>
      <c r="B5" s="1227"/>
      <c r="C5" s="1227"/>
      <c r="D5" s="1227"/>
      <c r="E5" s="1227"/>
      <c r="F5" s="1227"/>
      <c r="G5" s="1227"/>
      <c r="H5" s="1228"/>
      <c r="I5" s="68"/>
      <c r="J5" s="68"/>
      <c r="K5" s="720"/>
      <c r="L5" s="720"/>
      <c r="M5" s="720"/>
      <c r="N5" s="720"/>
      <c r="O5" s="720"/>
      <c r="P5" s="720"/>
      <c r="Q5" s="720"/>
      <c r="R5" s="720"/>
      <c r="S5" s="720"/>
      <c r="T5" s="720"/>
      <c r="U5" s="720"/>
      <c r="V5" s="720"/>
      <c r="W5" s="720"/>
      <c r="X5" s="720"/>
    </row>
    <row r="6" spans="1:24" ht="13.5" customHeight="1">
      <c r="A6" s="1245" t="s">
        <v>4416</v>
      </c>
      <c r="B6" s="1227"/>
      <c r="C6" s="1227"/>
      <c r="D6" s="1227"/>
      <c r="E6" s="1227"/>
      <c r="F6" s="1227"/>
      <c r="G6" s="1227"/>
      <c r="H6" s="1228"/>
      <c r="I6" s="721"/>
      <c r="J6" s="721"/>
      <c r="K6" s="722"/>
      <c r="L6" s="722"/>
      <c r="M6" s="722"/>
      <c r="N6" s="722"/>
      <c r="O6" s="722"/>
      <c r="P6" s="722"/>
      <c r="Q6" s="722"/>
      <c r="R6" s="722"/>
      <c r="S6" s="722"/>
      <c r="T6" s="722"/>
      <c r="U6" s="722"/>
      <c r="V6" s="722"/>
      <c r="W6" s="722"/>
      <c r="X6" s="722"/>
    </row>
    <row r="7" spans="1:24" ht="14.25">
      <c r="A7" s="1245" t="s">
        <v>4417</v>
      </c>
      <c r="B7" s="1227"/>
      <c r="C7" s="1227"/>
      <c r="D7" s="1227"/>
      <c r="E7" s="1227"/>
      <c r="F7" s="1227"/>
      <c r="G7" s="1227"/>
      <c r="H7" s="1228"/>
      <c r="I7" s="721"/>
      <c r="J7" s="721"/>
      <c r="K7" s="722"/>
      <c r="L7" s="722"/>
      <c r="M7" s="722"/>
      <c r="N7" s="722"/>
      <c r="O7" s="722"/>
      <c r="P7" s="722"/>
      <c r="Q7" s="722"/>
      <c r="R7" s="722"/>
      <c r="S7" s="722"/>
      <c r="T7" s="722"/>
      <c r="U7" s="722"/>
      <c r="V7" s="722"/>
      <c r="W7" s="722"/>
      <c r="X7" s="722"/>
    </row>
    <row r="8" spans="1:24" ht="323.25" customHeight="1">
      <c r="A8" s="1245" t="s">
        <v>4418</v>
      </c>
      <c r="B8" s="1227"/>
      <c r="C8" s="1227"/>
      <c r="D8" s="1227"/>
      <c r="E8" s="1227"/>
      <c r="F8" s="1227"/>
      <c r="G8" s="1227"/>
      <c r="H8" s="1228"/>
      <c r="I8" s="721"/>
      <c r="J8" s="721"/>
      <c r="K8" s="722"/>
      <c r="L8" s="722"/>
      <c r="M8" s="722"/>
      <c r="N8" s="722"/>
      <c r="O8" s="722"/>
      <c r="P8" s="722"/>
      <c r="Q8" s="722"/>
      <c r="R8" s="722"/>
      <c r="S8" s="722"/>
      <c r="T8" s="722"/>
      <c r="U8" s="722"/>
      <c r="V8" s="722"/>
      <c r="W8" s="722"/>
      <c r="X8" s="722"/>
    </row>
    <row r="9" spans="1:24" ht="14.25">
      <c r="A9" s="77"/>
      <c r="B9" s="77"/>
      <c r="C9" s="78"/>
      <c r="D9" s="77"/>
      <c r="E9" s="77"/>
      <c r="F9" s="77"/>
      <c r="G9" s="77"/>
      <c r="H9" s="77"/>
      <c r="I9" s="68"/>
      <c r="J9" s="68"/>
      <c r="K9" s="720"/>
      <c r="L9" s="720"/>
      <c r="M9" s="720"/>
      <c r="N9" s="720"/>
      <c r="O9" s="720"/>
      <c r="P9" s="720"/>
      <c r="Q9" s="720"/>
      <c r="R9" s="720"/>
      <c r="S9" s="720"/>
      <c r="T9" s="720"/>
      <c r="U9" s="720"/>
      <c r="V9" s="720"/>
      <c r="W9" s="720"/>
      <c r="X9" s="720"/>
    </row>
    <row r="10" spans="1:24" ht="57" customHeight="1">
      <c r="A10" s="85" t="s">
        <v>4419</v>
      </c>
      <c r="B10" s="85" t="s">
        <v>7</v>
      </c>
      <c r="C10" s="85" t="s">
        <v>4420</v>
      </c>
      <c r="D10" s="85" t="s">
        <v>4421</v>
      </c>
      <c r="E10" s="85" t="s">
        <v>4422</v>
      </c>
      <c r="F10" s="85" t="s">
        <v>4423</v>
      </c>
      <c r="G10" s="350" t="s">
        <v>206</v>
      </c>
      <c r="H10" s="350" t="s">
        <v>210</v>
      </c>
      <c r="I10" s="336" t="s">
        <v>211</v>
      </c>
      <c r="J10" s="68"/>
      <c r="K10" s="720"/>
      <c r="L10" s="720"/>
      <c r="M10" s="720"/>
      <c r="N10" s="720"/>
      <c r="O10" s="720"/>
      <c r="P10" s="720"/>
      <c r="Q10" s="720"/>
      <c r="R10" s="720"/>
      <c r="S10" s="720"/>
      <c r="T10" s="720"/>
      <c r="U10" s="720"/>
      <c r="V10" s="720"/>
      <c r="W10" s="720"/>
      <c r="X10" s="720"/>
    </row>
    <row r="12" spans="1:24" ht="15" customHeight="1">
      <c r="A12" s="332" t="s">
        <v>169</v>
      </c>
      <c r="H12" s="332">
        <f>SUM(H10:H11)</f>
        <v>0</v>
      </c>
    </row>
    <row r="14" spans="1:24" ht="15" customHeight="1">
      <c r="A14" s="1231" t="s">
        <v>1156</v>
      </c>
      <c r="B14" s="1232"/>
      <c r="C14" s="1232"/>
      <c r="D14" s="1232"/>
      <c r="E14" s="1232"/>
      <c r="F14" s="1232"/>
      <c r="G14" s="1232"/>
      <c r="H14" s="123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H8"/>
    <mergeCell ref="A14:H14"/>
    <mergeCell ref="A2:H2"/>
    <mergeCell ref="A4:H4"/>
    <mergeCell ref="A5:H5"/>
    <mergeCell ref="A6:H6"/>
    <mergeCell ref="A7:H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Z1000"/>
  <sheetViews>
    <sheetView workbookViewId="0"/>
  </sheetViews>
  <sheetFormatPr defaultColWidth="14.3984375" defaultRowHeight="15" customHeight="1"/>
  <cols>
    <col min="1" max="1" width="23.73046875" customWidth="1"/>
    <col min="2" max="2" width="19.86328125" customWidth="1"/>
    <col min="3" max="3" width="14" customWidth="1"/>
    <col min="4" max="5" width="15.265625" customWidth="1"/>
    <col min="6" max="7" width="26.3984375" customWidth="1"/>
    <col min="8" max="8" width="15.73046875" customWidth="1"/>
    <col min="9" max="9" width="11.3984375" customWidth="1"/>
    <col min="10" max="13" width="8.86328125" customWidth="1"/>
  </cols>
  <sheetData>
    <row r="1" spans="1:26" ht="7.5" customHeight="1">
      <c r="A1" s="64"/>
      <c r="B1" s="64"/>
      <c r="C1" s="65"/>
      <c r="D1" s="1"/>
      <c r="E1" s="1"/>
      <c r="F1" s="1"/>
      <c r="G1" s="1"/>
      <c r="H1" s="1"/>
      <c r="I1" s="1"/>
    </row>
    <row r="2" spans="1:26" ht="28.5" customHeight="1">
      <c r="A2" s="1248" t="s">
        <v>4424</v>
      </c>
      <c r="B2" s="1227"/>
      <c r="C2" s="1227"/>
      <c r="D2" s="1227"/>
      <c r="E2" s="1227"/>
      <c r="F2" s="1227"/>
      <c r="G2" s="1227"/>
      <c r="H2" s="1227"/>
      <c r="I2" s="1235"/>
    </row>
    <row r="3" spans="1:26" ht="15.4">
      <c r="A3" s="375"/>
      <c r="B3" s="375"/>
      <c r="C3" s="375"/>
      <c r="D3" s="375"/>
      <c r="E3" s="375"/>
      <c r="F3" s="375"/>
      <c r="G3" s="375"/>
      <c r="H3" s="375"/>
      <c r="I3" s="375"/>
    </row>
    <row r="4" spans="1:26" ht="16.5" customHeight="1">
      <c r="A4" s="1247" t="s">
        <v>4414</v>
      </c>
      <c r="B4" s="1227"/>
      <c r="C4" s="1227"/>
      <c r="D4" s="1227"/>
      <c r="E4" s="1227"/>
      <c r="F4" s="1227"/>
      <c r="G4" s="1227"/>
      <c r="H4" s="1227"/>
      <c r="I4" s="1235"/>
    </row>
    <row r="5" spans="1:26" ht="14.25">
      <c r="A5" s="1229" t="s">
        <v>4425</v>
      </c>
      <c r="B5" s="1227"/>
      <c r="C5" s="1227"/>
      <c r="D5" s="1227"/>
      <c r="E5" s="1227"/>
      <c r="F5" s="1227"/>
      <c r="G5" s="1227"/>
      <c r="H5" s="1227"/>
      <c r="I5" s="1235"/>
    </row>
    <row r="6" spans="1:26" ht="19.5" customHeight="1">
      <c r="A6" s="1229" t="s">
        <v>4426</v>
      </c>
      <c r="B6" s="1227"/>
      <c r="C6" s="1227"/>
      <c r="D6" s="1227"/>
      <c r="E6" s="1227"/>
      <c r="F6" s="1227"/>
      <c r="G6" s="1227"/>
      <c r="H6" s="1227"/>
      <c r="I6" s="1235"/>
    </row>
    <row r="7" spans="1:26" ht="14.25">
      <c r="A7" s="1246" t="s">
        <v>4427</v>
      </c>
      <c r="B7" s="1227"/>
      <c r="C7" s="1227"/>
      <c r="D7" s="1227"/>
      <c r="E7" s="1227"/>
      <c r="F7" s="1227"/>
      <c r="G7" s="1227"/>
      <c r="H7" s="1227"/>
      <c r="I7" s="1235"/>
      <c r="K7" s="723"/>
    </row>
    <row r="8" spans="1:26" ht="14.25">
      <c r="A8" s="1246" t="s">
        <v>4428</v>
      </c>
      <c r="B8" s="1227"/>
      <c r="C8" s="1227"/>
      <c r="D8" s="1227"/>
      <c r="E8" s="1227"/>
      <c r="F8" s="1227"/>
      <c r="G8" s="1227"/>
      <c r="H8" s="1227"/>
      <c r="I8" s="1235"/>
      <c r="K8" s="723"/>
    </row>
    <row r="9" spans="1:26" ht="14.25">
      <c r="A9" s="1246" t="s">
        <v>4429</v>
      </c>
      <c r="B9" s="1227"/>
      <c r="C9" s="1227"/>
      <c r="D9" s="1227"/>
      <c r="E9" s="1227"/>
      <c r="F9" s="1227"/>
      <c r="G9" s="1227"/>
      <c r="H9" s="1227"/>
      <c r="I9" s="1235"/>
      <c r="K9" s="723"/>
    </row>
    <row r="10" spans="1:26" ht="14.25">
      <c r="A10" s="1246" t="s">
        <v>4430</v>
      </c>
      <c r="B10" s="1227"/>
      <c r="C10" s="1227"/>
      <c r="D10" s="1227"/>
      <c r="E10" s="1227"/>
      <c r="F10" s="1227"/>
      <c r="G10" s="1227"/>
      <c r="H10" s="1227"/>
      <c r="I10" s="1235"/>
      <c r="K10" s="723"/>
    </row>
    <row r="11" spans="1:26" ht="14.25">
      <c r="A11" s="1247" t="s">
        <v>4431</v>
      </c>
      <c r="B11" s="1227"/>
      <c r="C11" s="1227"/>
      <c r="D11" s="1227"/>
      <c r="E11" s="1227"/>
      <c r="F11" s="1227"/>
      <c r="G11" s="1227"/>
      <c r="H11" s="1227"/>
      <c r="I11" s="1235"/>
      <c r="K11" s="723"/>
    </row>
    <row r="12" spans="1:26" ht="91.5" customHeight="1">
      <c r="A12" s="1229" t="s">
        <v>4432</v>
      </c>
      <c r="B12" s="1227"/>
      <c r="C12" s="1227"/>
      <c r="D12" s="1227"/>
      <c r="E12" s="1227"/>
      <c r="F12" s="1227"/>
      <c r="G12" s="1227"/>
      <c r="H12" s="1227"/>
      <c r="I12" s="1235"/>
      <c r="K12" s="723"/>
    </row>
    <row r="13" spans="1:26" ht="14.25">
      <c r="A13" s="77"/>
      <c r="B13" s="77"/>
      <c r="C13" s="78"/>
      <c r="D13" s="77"/>
      <c r="E13" s="77"/>
      <c r="F13" s="77"/>
      <c r="G13" s="77"/>
      <c r="H13" s="77"/>
      <c r="I13" s="77"/>
      <c r="M13" s="216"/>
    </row>
    <row r="14" spans="1:26" ht="39" customHeight="1">
      <c r="A14" s="85" t="s">
        <v>4419</v>
      </c>
      <c r="B14" s="85" t="s">
        <v>7</v>
      </c>
      <c r="C14" s="85" t="s">
        <v>4420</v>
      </c>
      <c r="D14" s="85" t="s">
        <v>4421</v>
      </c>
      <c r="E14" s="85" t="s">
        <v>4422</v>
      </c>
      <c r="F14" s="85" t="s">
        <v>4423</v>
      </c>
      <c r="G14" s="81" t="s">
        <v>4433</v>
      </c>
      <c r="H14" s="81" t="s">
        <v>206</v>
      </c>
      <c r="I14" s="81" t="s">
        <v>4434</v>
      </c>
      <c r="J14" s="336" t="s">
        <v>211</v>
      </c>
      <c r="K14" s="723"/>
    </row>
    <row r="15" spans="1:26" ht="63.75">
      <c r="A15" s="134" t="s">
        <v>1204</v>
      </c>
      <c r="B15" s="134" t="s">
        <v>141</v>
      </c>
      <c r="C15" s="94" t="s">
        <v>4435</v>
      </c>
      <c r="D15" s="99" t="s">
        <v>4436</v>
      </c>
      <c r="E15" s="724" t="s">
        <v>4437</v>
      </c>
      <c r="F15" s="99" t="s">
        <v>4438</v>
      </c>
      <c r="G15" s="99" t="s">
        <v>4439</v>
      </c>
      <c r="H15" s="99">
        <v>300</v>
      </c>
      <c r="I15" s="125">
        <v>300</v>
      </c>
      <c r="J15" s="216" t="s">
        <v>1204</v>
      </c>
      <c r="K15" s="216"/>
      <c r="L15" s="216"/>
      <c r="M15" s="216"/>
      <c r="N15" s="216"/>
      <c r="O15" s="216"/>
      <c r="P15" s="216"/>
      <c r="Q15" s="216"/>
      <c r="R15" s="216"/>
      <c r="S15" s="216"/>
      <c r="T15" s="216"/>
      <c r="U15" s="216"/>
      <c r="V15" s="216"/>
      <c r="W15" s="216"/>
      <c r="X15" s="216"/>
      <c r="Y15" s="216"/>
      <c r="Z15" s="216"/>
    </row>
    <row r="17" spans="1:9" ht="15" customHeight="1">
      <c r="A17" s="332" t="s">
        <v>169</v>
      </c>
      <c r="I17" s="332">
        <f>SUM(I14:I16)</f>
        <v>300</v>
      </c>
    </row>
    <row r="19" spans="1:9" ht="15" customHeight="1">
      <c r="A19" s="1231" t="s">
        <v>1156</v>
      </c>
      <c r="B19" s="1232"/>
      <c r="C19" s="1232"/>
      <c r="D19" s="1232"/>
      <c r="E19" s="1232"/>
      <c r="F19" s="1232"/>
      <c r="G19" s="1232"/>
      <c r="H19" s="1233"/>
    </row>
    <row r="21" spans="1:9" ht="15.75" customHeight="1"/>
    <row r="22" spans="1:9" ht="15.75" customHeight="1"/>
    <row r="23" spans="1:9" ht="15.75" customHeight="1"/>
    <row r="24" spans="1:9" ht="15.75" customHeight="1"/>
    <row r="25" spans="1:9" ht="15.75" customHeight="1"/>
    <row r="26" spans="1:9" ht="15.75" customHeight="1"/>
    <row r="27" spans="1:9" ht="15.75" customHeight="1"/>
    <row r="28" spans="1:9" ht="15.75" customHeight="1"/>
    <row r="29" spans="1:9" ht="15.75" customHeight="1"/>
    <row r="30" spans="1:9" ht="15.75" customHeight="1"/>
    <row r="31" spans="1:9" ht="15.75" customHeight="1"/>
    <row r="32" spans="1: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19:H19"/>
    <mergeCell ref="A2:I2"/>
    <mergeCell ref="A4:I4"/>
    <mergeCell ref="A5:I5"/>
    <mergeCell ref="A6:I6"/>
    <mergeCell ref="A7:I7"/>
    <mergeCell ref="A8:I8"/>
    <mergeCell ref="A9:I9"/>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Centralizator facultate</vt:lpstr>
      <vt:lpstr>IC01</vt:lpstr>
      <vt:lpstr>IC02</vt:lpstr>
      <vt:lpstr>IC03</vt:lpstr>
      <vt:lpstr>IC04</vt:lpstr>
      <vt:lpstr>IC05</vt:lpstr>
      <vt:lpstr>IC06</vt:lpstr>
      <vt:lpstr>IC07</vt:lpstr>
      <vt:lpstr>IC08</vt:lpstr>
      <vt:lpstr>IC09</vt:lpstr>
      <vt:lpstr>IC10</vt:lpstr>
      <vt:lpstr>IC11</vt:lpstr>
      <vt:lpstr>IC12</vt:lpstr>
      <vt:lpstr>IC13</vt:lpstr>
      <vt:lpstr>IC14</vt:lpstr>
      <vt:lpstr>IC15</vt:lpstr>
      <vt:lpstr>IC16</vt:lpstr>
      <vt:lpstr>IC17</vt:lpstr>
      <vt:lpstr>ID01</vt:lpstr>
      <vt:lpstr>ID02</vt:lpstr>
      <vt:lpstr>ID03</vt:lpstr>
      <vt:lpstr>ID04</vt:lpstr>
      <vt:lpstr>ID05</vt:lpstr>
      <vt:lpstr>ID06</vt:lpstr>
      <vt:lpstr>ID07</vt:lpstr>
      <vt:lpstr>ID08</vt:lpstr>
      <vt:lpstr>ID09</vt:lpstr>
      <vt:lpstr>ID10</vt:lpstr>
      <vt:lpstr>ID11</vt:lpstr>
      <vt:lpstr>ID12</vt:lpstr>
      <vt:lpstr>ID13</vt:lpstr>
      <vt:lpstr>ID14</vt:lpstr>
      <vt:lpstr>ID15</vt:lpstr>
      <vt:lpstr>ID16</vt:lpstr>
      <vt:lpstr>ID17</vt:lpstr>
      <vt:lpstr>ID18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Adi Vlase</cp:lastModifiedBy>
  <dcterms:created xsi:type="dcterms:W3CDTF">2009-01-26T16:08:00Z</dcterms:created>
  <dcterms:modified xsi:type="dcterms:W3CDTF">2023-07-20T05:49:17Z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